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fileSharing readOnlyRecommended="1" userName="grasielacunha" reservationPassword="8DF1"/>
  <workbookPr backupFile="1" codeName="ThisWorkbook" defaultThemeVersion="124226"/>
  <bookViews>
    <workbookView xWindow="-315" yWindow="-60" windowWidth="12015" windowHeight="5325" tabRatio="675" firstSheet="3" activeTab="3"/>
  </bookViews>
  <sheets>
    <sheet name="Compal" sheetId="1" state="hidden" r:id="rId1"/>
    <sheet name="NEs" sheetId="2" state="hidden" r:id="rId2"/>
    <sheet name="DAs" sheetId="3" state="hidden" r:id="rId3"/>
    <sheet name="In transit " sheetId="41" r:id="rId4"/>
    <sheet name="In House" sheetId="5" state="hidden" r:id="rId5"/>
    <sheet name="In House - NEs" sheetId="6" state="hidden" r:id="rId6"/>
    <sheet name="In house - diversos" sheetId="7" state="hidden" r:id="rId7"/>
    <sheet name="In_House_2023" sheetId="46" r:id="rId8"/>
    <sheet name="In_House_2023_old" sheetId="47" r:id="rId9"/>
    <sheet name="In_House_2022" sheetId="45" r:id="rId10"/>
    <sheet name="In_House_2021" sheetId="43" r:id="rId11"/>
    <sheet name="In_House_2020" sheetId="42" r:id="rId12"/>
    <sheet name="In_House_2019" sheetId="40" r:id="rId13"/>
    <sheet name="PLan" sheetId="9" state="hidden" r:id="rId14"/>
    <sheet name="CAPA" sheetId="16" r:id="rId15"/>
    <sheet name="CAPA1" sheetId="15" r:id="rId16"/>
    <sheet name="Sheet1" sheetId="38" r:id="rId17"/>
    <sheet name="Data_Embarque" sheetId="44" r:id="rId18"/>
  </sheets>
  <externalReferences>
    <externalReference r:id="rId19"/>
  </externalReferences>
  <definedNames>
    <definedName name="_xlnm._FilterDatabase" localSheetId="2" hidden="1">DAs!$A$2:$M$14</definedName>
    <definedName name="_xlnm._FilterDatabase" localSheetId="4" hidden="1">'In House'!$A$1:$AV$613</definedName>
    <definedName name="_xlnm._FilterDatabase" localSheetId="6" hidden="1">'In house - diversos'!$B$1:$K$113</definedName>
    <definedName name="_xlnm._FilterDatabase" localSheetId="5" hidden="1">'In House - NEs'!$A$1:$F$64</definedName>
    <definedName name="_xlnm._FilterDatabase" localSheetId="3" hidden="1">'In transit '!$A$1:$W$241</definedName>
    <definedName name="_xlnm._FilterDatabase" localSheetId="12" hidden="1">In_House_2019!$A$1:$BI$34</definedName>
    <definedName name="_xlnm._FilterDatabase" localSheetId="11" hidden="1">In_House_2020!$A$1:$BI$88</definedName>
    <definedName name="_xlnm._FilterDatabase" localSheetId="10" hidden="1">In_House_2021!$A$1:$BH$119</definedName>
    <definedName name="_xlnm._FilterDatabase" localSheetId="9" hidden="1">In_House_2022!$A$1:$BH$157</definedName>
    <definedName name="_xlnm._FilterDatabase" localSheetId="7" hidden="1">In_House_2023!$A$1:$AD$1</definedName>
    <definedName name="_xlnm._FilterDatabase" localSheetId="8" hidden="1">In_House_2023_old!$A$1:$BI$1</definedName>
    <definedName name="_xlnm._FilterDatabase" localSheetId="1" hidden="1">NEs!$A$1:$AI$1</definedName>
    <definedName name="_xlnm.Print_Area" localSheetId="1">NEs!#REF!</definedName>
    <definedName name="_xlnm.Print_Titles" localSheetId="1">NEs!#REF!</definedName>
    <definedName name="Z_047E467C_22AF_400C_833B_CF0D8C2538C6_.wvu.FilterData" localSheetId="3" hidden="1">'In transit '!#REF!</definedName>
    <definedName name="Z_047E467C_22AF_400C_833B_CF0D8C2538C6_.wvu.FilterData" localSheetId="12" hidden="1">In_House_2019!#REF!</definedName>
    <definedName name="Z_047E467C_22AF_400C_833B_CF0D8C2538C6_.wvu.FilterData" localSheetId="11" hidden="1">In_House_2020!#REF!</definedName>
    <definedName name="Z_047E467C_22AF_400C_833B_CF0D8C2538C6_.wvu.FilterData" localSheetId="10" hidden="1">In_House_2021!#REF!</definedName>
    <definedName name="Z_047E467C_22AF_400C_833B_CF0D8C2538C6_.wvu.FilterData" localSheetId="9" hidden="1">In_House_2022!#REF!</definedName>
    <definedName name="Z_047E467C_22AF_400C_833B_CF0D8C2538C6_.wvu.FilterData" localSheetId="7" hidden="1">In_House_2023!#REF!</definedName>
    <definedName name="Z_047E467C_22AF_400C_833B_CF0D8C2538C6_.wvu.FilterData" localSheetId="8" hidden="1">In_House_2023_old!#REF!</definedName>
    <definedName name="Z_04C1CD15_19C8_48FC_B95A_A6650DE271A9_.wvu.FilterData" localSheetId="3" hidden="1">'In transit '!#REF!</definedName>
    <definedName name="Z_04C1CD15_19C8_48FC_B95A_A6650DE271A9_.wvu.FilterData" localSheetId="12" hidden="1">In_House_2019!#REF!</definedName>
    <definedName name="Z_04C1CD15_19C8_48FC_B95A_A6650DE271A9_.wvu.FilterData" localSheetId="11" hidden="1">In_House_2020!#REF!</definedName>
    <definedName name="Z_04C1CD15_19C8_48FC_B95A_A6650DE271A9_.wvu.FilterData" localSheetId="10" hidden="1">In_House_2021!#REF!</definedName>
    <definedName name="Z_04C1CD15_19C8_48FC_B95A_A6650DE271A9_.wvu.FilterData" localSheetId="9" hidden="1">In_House_2022!#REF!</definedName>
    <definedName name="Z_04C1CD15_19C8_48FC_B95A_A6650DE271A9_.wvu.FilterData" localSheetId="7" hidden="1">In_House_2023!#REF!</definedName>
    <definedName name="Z_04C1CD15_19C8_48FC_B95A_A6650DE271A9_.wvu.FilterData" localSheetId="8" hidden="1">In_House_2023_old!#REF!</definedName>
    <definedName name="Z_05D40243_B5C7_494F_B971_1674C320B395_.wvu.FilterData" localSheetId="3" hidden="1">'In transit '!#REF!</definedName>
    <definedName name="Z_05D40243_B5C7_494F_B971_1674C320B395_.wvu.FilterData" localSheetId="12" hidden="1">In_House_2019!#REF!</definedName>
    <definedName name="Z_05D40243_B5C7_494F_B971_1674C320B395_.wvu.FilterData" localSheetId="11" hidden="1">In_House_2020!#REF!</definedName>
    <definedName name="Z_05D40243_B5C7_494F_B971_1674C320B395_.wvu.FilterData" localSheetId="10" hidden="1">In_House_2021!#REF!</definedName>
    <definedName name="Z_05D40243_B5C7_494F_B971_1674C320B395_.wvu.FilterData" localSheetId="9" hidden="1">In_House_2022!#REF!</definedName>
    <definedName name="Z_05D40243_B5C7_494F_B971_1674C320B395_.wvu.FilterData" localSheetId="7" hidden="1">In_House_2023!#REF!</definedName>
    <definedName name="Z_05D40243_B5C7_494F_B971_1674C320B395_.wvu.FilterData" localSheetId="8" hidden="1">In_House_2023_old!#REF!</definedName>
    <definedName name="Z_06FE62E1_A8AE_4368_BBCE_9733ADB030D0_.wvu.FilterData" localSheetId="3" hidden="1">'In transit '!#REF!</definedName>
    <definedName name="Z_06FE62E1_A8AE_4368_BBCE_9733ADB030D0_.wvu.FilterData" localSheetId="12" hidden="1">In_House_2019!#REF!</definedName>
    <definedName name="Z_06FE62E1_A8AE_4368_BBCE_9733ADB030D0_.wvu.FilterData" localSheetId="11" hidden="1">In_House_2020!#REF!</definedName>
    <definedName name="Z_06FE62E1_A8AE_4368_BBCE_9733ADB030D0_.wvu.FilterData" localSheetId="10" hidden="1">In_House_2021!#REF!</definedName>
    <definedName name="Z_06FE62E1_A8AE_4368_BBCE_9733ADB030D0_.wvu.FilterData" localSheetId="9" hidden="1">In_House_2022!#REF!</definedName>
    <definedName name="Z_06FE62E1_A8AE_4368_BBCE_9733ADB030D0_.wvu.FilterData" localSheetId="7" hidden="1">In_House_2023!#REF!</definedName>
    <definedName name="Z_06FE62E1_A8AE_4368_BBCE_9733ADB030D0_.wvu.FilterData" localSheetId="8" hidden="1">In_House_2023_old!#REF!</definedName>
    <definedName name="Z_0928B49A_8A41_4028_93C6_702E6F3CFD85_.wvu.FilterData" localSheetId="3" hidden="1">'In transit '!#REF!</definedName>
    <definedName name="Z_0928B49A_8A41_4028_93C6_702E6F3CFD85_.wvu.FilterData" localSheetId="12" hidden="1">In_House_2019!#REF!</definedName>
    <definedName name="Z_0928B49A_8A41_4028_93C6_702E6F3CFD85_.wvu.FilterData" localSheetId="11" hidden="1">In_House_2020!#REF!</definedName>
    <definedName name="Z_0928B49A_8A41_4028_93C6_702E6F3CFD85_.wvu.FilterData" localSheetId="10" hidden="1">In_House_2021!#REF!</definedName>
    <definedName name="Z_0928B49A_8A41_4028_93C6_702E6F3CFD85_.wvu.FilterData" localSheetId="9" hidden="1">In_House_2022!#REF!</definedName>
    <definedName name="Z_0928B49A_8A41_4028_93C6_702E6F3CFD85_.wvu.FilterData" localSheetId="7" hidden="1">In_House_2023!#REF!</definedName>
    <definedName name="Z_0928B49A_8A41_4028_93C6_702E6F3CFD85_.wvu.FilterData" localSheetId="8" hidden="1">In_House_2023_old!#REF!</definedName>
    <definedName name="Z_09A1B2AE_738E_476B_AEDA_807CE6E80201_.wvu.FilterData" localSheetId="3" hidden="1">'In transit '!#REF!</definedName>
    <definedName name="Z_09A1B2AE_738E_476B_AEDA_807CE6E80201_.wvu.FilterData" localSheetId="12" hidden="1">In_House_2019!#REF!</definedName>
    <definedName name="Z_09A1B2AE_738E_476B_AEDA_807CE6E80201_.wvu.FilterData" localSheetId="11" hidden="1">In_House_2020!#REF!</definedName>
    <definedName name="Z_09A1B2AE_738E_476B_AEDA_807CE6E80201_.wvu.FilterData" localSheetId="10" hidden="1">In_House_2021!#REF!</definedName>
    <definedName name="Z_09A1B2AE_738E_476B_AEDA_807CE6E80201_.wvu.FilterData" localSheetId="9" hidden="1">In_House_2022!#REF!</definedName>
    <definedName name="Z_09A1B2AE_738E_476B_AEDA_807CE6E80201_.wvu.FilterData" localSheetId="7" hidden="1">In_House_2023!#REF!</definedName>
    <definedName name="Z_09A1B2AE_738E_476B_AEDA_807CE6E80201_.wvu.FilterData" localSheetId="8" hidden="1">In_House_2023_old!#REF!</definedName>
    <definedName name="Z_0B63AFEF_728A_46AE_BFB0_C8E12A046F15_.wvu.FilterData" localSheetId="3" hidden="1">'In transit '!#REF!</definedName>
    <definedName name="Z_0B63AFEF_728A_46AE_BFB0_C8E12A046F15_.wvu.FilterData" localSheetId="12" hidden="1">In_House_2019!#REF!</definedName>
    <definedName name="Z_0B63AFEF_728A_46AE_BFB0_C8E12A046F15_.wvu.FilterData" localSheetId="11" hidden="1">In_House_2020!#REF!</definedName>
    <definedName name="Z_0B63AFEF_728A_46AE_BFB0_C8E12A046F15_.wvu.FilterData" localSheetId="10" hidden="1">In_House_2021!#REF!</definedName>
    <definedName name="Z_0B63AFEF_728A_46AE_BFB0_C8E12A046F15_.wvu.FilterData" localSheetId="9" hidden="1">In_House_2022!#REF!</definedName>
    <definedName name="Z_0B63AFEF_728A_46AE_BFB0_C8E12A046F15_.wvu.FilterData" localSheetId="7" hidden="1">In_House_2023!#REF!</definedName>
    <definedName name="Z_0B63AFEF_728A_46AE_BFB0_C8E12A046F15_.wvu.FilterData" localSheetId="8" hidden="1">In_House_2023_old!#REF!</definedName>
    <definedName name="Z_0C7B649B_21AE_4830_AF29_4AF46EF97D98_.wvu.FilterData" localSheetId="3" hidden="1">'In transit '!#REF!</definedName>
    <definedName name="Z_0C7B649B_21AE_4830_AF29_4AF46EF97D98_.wvu.FilterData" localSheetId="12" hidden="1">In_House_2019!#REF!</definedName>
    <definedName name="Z_0C7B649B_21AE_4830_AF29_4AF46EF97D98_.wvu.FilterData" localSheetId="11" hidden="1">In_House_2020!#REF!</definedName>
    <definedName name="Z_0C7B649B_21AE_4830_AF29_4AF46EF97D98_.wvu.FilterData" localSheetId="10" hidden="1">In_House_2021!#REF!</definedName>
    <definedName name="Z_0C7B649B_21AE_4830_AF29_4AF46EF97D98_.wvu.FilterData" localSheetId="9" hidden="1">In_House_2022!#REF!</definedName>
    <definedName name="Z_0C7B649B_21AE_4830_AF29_4AF46EF97D98_.wvu.FilterData" localSheetId="7" hidden="1">In_House_2023!#REF!</definedName>
    <definedName name="Z_0C7B649B_21AE_4830_AF29_4AF46EF97D98_.wvu.FilterData" localSheetId="8" hidden="1">In_House_2023_old!#REF!</definedName>
    <definedName name="Z_0D9C1F5F_08B4_4779_9112_ECF02E94C1BA_.wvu.FilterData" localSheetId="3" hidden="1">'In transit '!#REF!</definedName>
    <definedName name="Z_0D9C1F5F_08B4_4779_9112_ECF02E94C1BA_.wvu.FilterData" localSheetId="12" hidden="1">In_House_2019!#REF!</definedName>
    <definedName name="Z_0D9C1F5F_08B4_4779_9112_ECF02E94C1BA_.wvu.FilterData" localSheetId="11" hidden="1">In_House_2020!#REF!</definedName>
    <definedName name="Z_0D9C1F5F_08B4_4779_9112_ECF02E94C1BA_.wvu.FilterData" localSheetId="10" hidden="1">In_House_2021!#REF!</definedName>
    <definedName name="Z_0D9C1F5F_08B4_4779_9112_ECF02E94C1BA_.wvu.FilterData" localSheetId="9" hidden="1">In_House_2022!#REF!</definedName>
    <definedName name="Z_0D9C1F5F_08B4_4779_9112_ECF02E94C1BA_.wvu.FilterData" localSheetId="7" hidden="1">In_House_2023!#REF!</definedName>
    <definedName name="Z_0D9C1F5F_08B4_4779_9112_ECF02E94C1BA_.wvu.FilterData" localSheetId="8" hidden="1">In_House_2023_old!#REF!</definedName>
    <definedName name="Z_0FA94006_ADD0_4C69_959A_3B42E5DAD2B2_.wvu.FilterData" localSheetId="3" hidden="1">'In transit '!#REF!</definedName>
    <definedName name="Z_0FA94006_ADD0_4C69_959A_3B42E5DAD2B2_.wvu.FilterData" localSheetId="12" hidden="1">In_House_2019!#REF!</definedName>
    <definedName name="Z_0FA94006_ADD0_4C69_959A_3B42E5DAD2B2_.wvu.FilterData" localSheetId="11" hidden="1">In_House_2020!#REF!</definedName>
    <definedName name="Z_0FA94006_ADD0_4C69_959A_3B42E5DAD2B2_.wvu.FilterData" localSheetId="10" hidden="1">In_House_2021!#REF!</definedName>
    <definedName name="Z_0FA94006_ADD0_4C69_959A_3B42E5DAD2B2_.wvu.FilterData" localSheetId="9" hidden="1">In_House_2022!#REF!</definedName>
    <definedName name="Z_0FA94006_ADD0_4C69_959A_3B42E5DAD2B2_.wvu.FilterData" localSheetId="7" hidden="1">In_House_2023!#REF!</definedName>
    <definedName name="Z_0FA94006_ADD0_4C69_959A_3B42E5DAD2B2_.wvu.FilterData" localSheetId="8" hidden="1">In_House_2023_old!#REF!</definedName>
    <definedName name="Z_1118854D_0480_484B_B0E6_A7111A8CF48A_.wvu.FilterData" localSheetId="3" hidden="1">'In transit '!#REF!</definedName>
    <definedName name="Z_1118854D_0480_484B_B0E6_A7111A8CF48A_.wvu.FilterData" localSheetId="12" hidden="1">In_House_2019!#REF!</definedName>
    <definedName name="Z_1118854D_0480_484B_B0E6_A7111A8CF48A_.wvu.FilterData" localSheetId="11" hidden="1">In_House_2020!#REF!</definedName>
    <definedName name="Z_1118854D_0480_484B_B0E6_A7111A8CF48A_.wvu.FilterData" localSheetId="10" hidden="1">In_House_2021!#REF!</definedName>
    <definedName name="Z_1118854D_0480_484B_B0E6_A7111A8CF48A_.wvu.FilterData" localSheetId="9" hidden="1">In_House_2022!#REF!</definedName>
    <definedName name="Z_1118854D_0480_484B_B0E6_A7111A8CF48A_.wvu.FilterData" localSheetId="7" hidden="1">In_House_2023!#REF!</definedName>
    <definedName name="Z_1118854D_0480_484B_B0E6_A7111A8CF48A_.wvu.FilterData" localSheetId="8" hidden="1">In_House_2023_old!#REF!</definedName>
    <definedName name="Z_112576A9_380F_472D_9268_B15B6D532867_.wvu.FilterData" localSheetId="3" hidden="1">'In transit '!#REF!</definedName>
    <definedName name="Z_112576A9_380F_472D_9268_B15B6D532867_.wvu.FilterData" localSheetId="12" hidden="1">In_House_2019!#REF!</definedName>
    <definedName name="Z_112576A9_380F_472D_9268_B15B6D532867_.wvu.FilterData" localSheetId="11" hidden="1">In_House_2020!#REF!</definedName>
    <definedName name="Z_112576A9_380F_472D_9268_B15B6D532867_.wvu.FilterData" localSheetId="10" hidden="1">In_House_2021!#REF!</definedName>
    <definedName name="Z_112576A9_380F_472D_9268_B15B6D532867_.wvu.FilterData" localSheetId="9" hidden="1">In_House_2022!#REF!</definedName>
    <definedName name="Z_112576A9_380F_472D_9268_B15B6D532867_.wvu.FilterData" localSheetId="7" hidden="1">In_House_2023!#REF!</definedName>
    <definedName name="Z_112576A9_380F_472D_9268_B15B6D532867_.wvu.FilterData" localSheetId="8" hidden="1">In_House_2023_old!#REF!</definedName>
    <definedName name="Z_1281FFE3_8CA9_45E5_BFEE_C416D22FB4B4_.wvu.FilterData" localSheetId="3" hidden="1">'In transit '!#REF!</definedName>
    <definedName name="Z_1281FFE3_8CA9_45E5_BFEE_C416D22FB4B4_.wvu.FilterData" localSheetId="12" hidden="1">In_House_2019!#REF!</definedName>
    <definedName name="Z_1281FFE3_8CA9_45E5_BFEE_C416D22FB4B4_.wvu.FilterData" localSheetId="11" hidden="1">In_House_2020!#REF!</definedName>
    <definedName name="Z_1281FFE3_8CA9_45E5_BFEE_C416D22FB4B4_.wvu.FilterData" localSheetId="10" hidden="1">In_House_2021!#REF!</definedName>
    <definedName name="Z_1281FFE3_8CA9_45E5_BFEE_C416D22FB4B4_.wvu.FilterData" localSheetId="9" hidden="1">In_House_2022!#REF!</definedName>
    <definedName name="Z_1281FFE3_8CA9_45E5_BFEE_C416D22FB4B4_.wvu.FilterData" localSheetId="7" hidden="1">In_House_2023!#REF!</definedName>
    <definedName name="Z_1281FFE3_8CA9_45E5_BFEE_C416D22FB4B4_.wvu.FilterData" localSheetId="8" hidden="1">In_House_2023_old!#REF!</definedName>
    <definedName name="Z_185C7A91_CDFC_46FD_8686_BBC6A5B679D0_.wvu.FilterData" localSheetId="3" hidden="1">'In transit '!#REF!</definedName>
    <definedName name="Z_185C7A91_CDFC_46FD_8686_BBC6A5B679D0_.wvu.FilterData" localSheetId="12" hidden="1">In_House_2019!#REF!</definedName>
    <definedName name="Z_185C7A91_CDFC_46FD_8686_BBC6A5B679D0_.wvu.FilterData" localSheetId="11" hidden="1">In_House_2020!#REF!</definedName>
    <definedName name="Z_185C7A91_CDFC_46FD_8686_BBC6A5B679D0_.wvu.FilterData" localSheetId="10" hidden="1">In_House_2021!#REF!</definedName>
    <definedName name="Z_185C7A91_CDFC_46FD_8686_BBC6A5B679D0_.wvu.FilterData" localSheetId="9" hidden="1">In_House_2022!#REF!</definedName>
    <definedName name="Z_185C7A91_CDFC_46FD_8686_BBC6A5B679D0_.wvu.FilterData" localSheetId="7" hidden="1">In_House_2023!#REF!</definedName>
    <definedName name="Z_185C7A91_CDFC_46FD_8686_BBC6A5B679D0_.wvu.FilterData" localSheetId="8" hidden="1">In_House_2023_old!#REF!</definedName>
    <definedName name="Z_18BA306C_7278_46EB_B886_CE696A34B8CA_.wvu.FilterData" localSheetId="3" hidden="1">'In transit '!#REF!</definedName>
    <definedName name="Z_18BA306C_7278_46EB_B886_CE696A34B8CA_.wvu.FilterData" localSheetId="12" hidden="1">In_House_2019!#REF!</definedName>
    <definedName name="Z_18BA306C_7278_46EB_B886_CE696A34B8CA_.wvu.FilterData" localSheetId="11" hidden="1">In_House_2020!#REF!</definedName>
    <definedName name="Z_18BA306C_7278_46EB_B886_CE696A34B8CA_.wvu.FilterData" localSheetId="10" hidden="1">In_House_2021!#REF!</definedName>
    <definedName name="Z_18BA306C_7278_46EB_B886_CE696A34B8CA_.wvu.FilterData" localSheetId="9" hidden="1">In_House_2022!#REF!</definedName>
    <definedName name="Z_18BA306C_7278_46EB_B886_CE696A34B8CA_.wvu.FilterData" localSheetId="7" hidden="1">In_House_2023!#REF!</definedName>
    <definedName name="Z_18BA306C_7278_46EB_B886_CE696A34B8CA_.wvu.FilterData" localSheetId="8" hidden="1">In_House_2023_old!#REF!</definedName>
    <definedName name="Z_1946355A_7DB5_438C_B4A5_1969DFB9310C_.wvu.FilterData" localSheetId="3" hidden="1">'In transit '!#REF!</definedName>
    <definedName name="Z_1946355A_7DB5_438C_B4A5_1969DFB9310C_.wvu.FilterData" localSheetId="12" hidden="1">In_House_2019!#REF!</definedName>
    <definedName name="Z_1946355A_7DB5_438C_B4A5_1969DFB9310C_.wvu.FilterData" localSheetId="11" hidden="1">In_House_2020!#REF!</definedName>
    <definedName name="Z_1946355A_7DB5_438C_B4A5_1969DFB9310C_.wvu.FilterData" localSheetId="10" hidden="1">In_House_2021!#REF!</definedName>
    <definedName name="Z_1946355A_7DB5_438C_B4A5_1969DFB9310C_.wvu.FilterData" localSheetId="9" hidden="1">In_House_2022!#REF!</definedName>
    <definedName name="Z_1946355A_7DB5_438C_B4A5_1969DFB9310C_.wvu.FilterData" localSheetId="7" hidden="1">In_House_2023!#REF!</definedName>
    <definedName name="Z_1946355A_7DB5_438C_B4A5_1969DFB9310C_.wvu.FilterData" localSheetId="8" hidden="1">In_House_2023_old!#REF!</definedName>
    <definedName name="Z_1E2BE085_79E1_433C_8835_A1BCC522D1D0_.wvu.FilterData" localSheetId="2" hidden="1">DAs!$A$2:$M$2</definedName>
    <definedName name="Z_1F2E380C_5492_41F7_B915_1A3DAA87EF5E_.wvu.FilterData" localSheetId="3" hidden="1">'In transit '!#REF!</definedName>
    <definedName name="Z_1F2E380C_5492_41F7_B915_1A3DAA87EF5E_.wvu.FilterData" localSheetId="12" hidden="1">In_House_2019!#REF!</definedName>
    <definedName name="Z_1F2E380C_5492_41F7_B915_1A3DAA87EF5E_.wvu.FilterData" localSheetId="11" hidden="1">In_House_2020!#REF!</definedName>
    <definedName name="Z_1F2E380C_5492_41F7_B915_1A3DAA87EF5E_.wvu.FilterData" localSheetId="10" hidden="1">In_House_2021!#REF!</definedName>
    <definedName name="Z_1F2E380C_5492_41F7_B915_1A3DAA87EF5E_.wvu.FilterData" localSheetId="9" hidden="1">In_House_2022!#REF!</definedName>
    <definedName name="Z_1F2E380C_5492_41F7_B915_1A3DAA87EF5E_.wvu.FilterData" localSheetId="7" hidden="1">In_House_2023!#REF!</definedName>
    <definedName name="Z_1F2E380C_5492_41F7_B915_1A3DAA87EF5E_.wvu.FilterData" localSheetId="8" hidden="1">In_House_2023_old!#REF!</definedName>
    <definedName name="Z_20227800_A815_41DA_BEB6_86A8CA3D0234_.wvu.FilterData" localSheetId="3" hidden="1">'In transit '!#REF!</definedName>
    <definedName name="Z_20227800_A815_41DA_BEB6_86A8CA3D0234_.wvu.FilterData" localSheetId="12" hidden="1">In_House_2019!#REF!</definedName>
    <definedName name="Z_20227800_A815_41DA_BEB6_86A8CA3D0234_.wvu.FilterData" localSheetId="11" hidden="1">In_House_2020!#REF!</definedName>
    <definedName name="Z_20227800_A815_41DA_BEB6_86A8CA3D0234_.wvu.FilterData" localSheetId="10" hidden="1">In_House_2021!#REF!</definedName>
    <definedName name="Z_20227800_A815_41DA_BEB6_86A8CA3D0234_.wvu.FilterData" localSheetId="9" hidden="1">In_House_2022!#REF!</definedName>
    <definedName name="Z_20227800_A815_41DA_BEB6_86A8CA3D0234_.wvu.FilterData" localSheetId="7" hidden="1">In_House_2023!#REF!</definedName>
    <definedName name="Z_20227800_A815_41DA_BEB6_86A8CA3D0234_.wvu.FilterData" localSheetId="8" hidden="1">In_House_2023_old!#REF!</definedName>
    <definedName name="Z_24088EA1_CB53_4BC0_B8F8_3DB0E1F840C1_.wvu.FilterData" localSheetId="3" hidden="1">'In transit '!#REF!</definedName>
    <definedName name="Z_24088EA1_CB53_4BC0_B8F8_3DB0E1F840C1_.wvu.FilterData" localSheetId="12" hidden="1">In_House_2019!#REF!</definedName>
    <definedName name="Z_24088EA1_CB53_4BC0_B8F8_3DB0E1F840C1_.wvu.FilterData" localSheetId="11" hidden="1">In_House_2020!#REF!</definedName>
    <definedName name="Z_24088EA1_CB53_4BC0_B8F8_3DB0E1F840C1_.wvu.FilterData" localSheetId="10" hidden="1">In_House_2021!#REF!</definedName>
    <definedName name="Z_24088EA1_CB53_4BC0_B8F8_3DB0E1F840C1_.wvu.FilterData" localSheetId="9" hidden="1">In_House_2022!#REF!</definedName>
    <definedName name="Z_24088EA1_CB53_4BC0_B8F8_3DB0E1F840C1_.wvu.FilterData" localSheetId="7" hidden="1">In_House_2023!#REF!</definedName>
    <definedName name="Z_24088EA1_CB53_4BC0_B8F8_3DB0E1F840C1_.wvu.FilterData" localSheetId="8" hidden="1">In_House_2023_old!#REF!</definedName>
    <definedName name="Z_2417F025_06D5_4AFD_8E8B_CCC1B10B96E8_.wvu.FilterData" localSheetId="3" hidden="1">'In transit '!#REF!</definedName>
    <definedName name="Z_2417F025_06D5_4AFD_8E8B_CCC1B10B96E8_.wvu.FilterData" localSheetId="12" hidden="1">In_House_2019!#REF!</definedName>
    <definedName name="Z_2417F025_06D5_4AFD_8E8B_CCC1B10B96E8_.wvu.FilterData" localSheetId="11" hidden="1">In_House_2020!#REF!</definedName>
    <definedName name="Z_2417F025_06D5_4AFD_8E8B_CCC1B10B96E8_.wvu.FilterData" localSheetId="10" hidden="1">In_House_2021!#REF!</definedName>
    <definedName name="Z_2417F025_06D5_4AFD_8E8B_CCC1B10B96E8_.wvu.FilterData" localSheetId="9" hidden="1">In_House_2022!#REF!</definedName>
    <definedName name="Z_2417F025_06D5_4AFD_8E8B_CCC1B10B96E8_.wvu.FilterData" localSheetId="7" hidden="1">In_House_2023!#REF!</definedName>
    <definedName name="Z_2417F025_06D5_4AFD_8E8B_CCC1B10B96E8_.wvu.FilterData" localSheetId="8" hidden="1">In_House_2023_old!#REF!</definedName>
    <definedName name="Z_2480A4FF_65AB_41EC_9340_4163653E8C2C_.wvu.FilterData" localSheetId="2" hidden="1">DAs!$A$2:$M$14</definedName>
    <definedName name="Z_2480A4FF_65AB_41EC_9340_4163653E8C2C_.wvu.FilterData" localSheetId="4" hidden="1">'In House'!$A$1:$AV$613</definedName>
    <definedName name="Z_2480A4FF_65AB_41EC_9340_4163653E8C2C_.wvu.FilterData" localSheetId="6" hidden="1">'In house - diversos'!$B$1:$K$113</definedName>
    <definedName name="Z_2480A4FF_65AB_41EC_9340_4163653E8C2C_.wvu.FilterData" localSheetId="5" hidden="1">'In House - NEs'!$A$1:$F$64</definedName>
    <definedName name="Z_2480A4FF_65AB_41EC_9340_4163653E8C2C_.wvu.FilterData" localSheetId="3" hidden="1">'In transit '!#REF!</definedName>
    <definedName name="Z_2480A4FF_65AB_41EC_9340_4163653E8C2C_.wvu.FilterData" localSheetId="12" hidden="1">In_House_2019!#REF!</definedName>
    <definedName name="Z_2480A4FF_65AB_41EC_9340_4163653E8C2C_.wvu.FilterData" localSheetId="11" hidden="1">In_House_2020!#REF!</definedName>
    <definedName name="Z_2480A4FF_65AB_41EC_9340_4163653E8C2C_.wvu.FilterData" localSheetId="10" hidden="1">In_House_2021!#REF!</definedName>
    <definedName name="Z_2480A4FF_65AB_41EC_9340_4163653E8C2C_.wvu.FilterData" localSheetId="9" hidden="1">In_House_2022!#REF!</definedName>
    <definedName name="Z_2480A4FF_65AB_41EC_9340_4163653E8C2C_.wvu.FilterData" localSheetId="7" hidden="1">In_House_2023!#REF!</definedName>
    <definedName name="Z_2480A4FF_65AB_41EC_9340_4163653E8C2C_.wvu.FilterData" localSheetId="8" hidden="1">In_House_2023_old!#REF!</definedName>
    <definedName name="Z_2480A4FF_65AB_41EC_9340_4163653E8C2C_.wvu.FilterData" localSheetId="1" hidden="1">NEs!$A$1:$AI$1</definedName>
    <definedName name="Z_2480A4FF_65AB_41EC_9340_4163653E8C2C_.wvu.Rows" localSheetId="4" hidden="1">'In House'!$2:$612</definedName>
    <definedName name="Z_2480A4FF_65AB_41EC_9340_4163653E8C2C_.wvu.Rows" localSheetId="5" hidden="1">'In House - NEs'!$2:$42</definedName>
    <definedName name="Z_24EEEE76_7DDB_4A9A_9ECC_8C5B5F91A192_.wvu.FilterData" localSheetId="3" hidden="1">'In transit '!#REF!</definedName>
    <definedName name="Z_24EEEE76_7DDB_4A9A_9ECC_8C5B5F91A192_.wvu.FilterData" localSheetId="12" hidden="1">In_House_2019!#REF!</definedName>
    <definedName name="Z_24EEEE76_7DDB_4A9A_9ECC_8C5B5F91A192_.wvu.FilterData" localSheetId="11" hidden="1">In_House_2020!#REF!</definedName>
    <definedName name="Z_24EEEE76_7DDB_4A9A_9ECC_8C5B5F91A192_.wvu.FilterData" localSheetId="10" hidden="1">In_House_2021!#REF!</definedName>
    <definedName name="Z_24EEEE76_7DDB_4A9A_9ECC_8C5B5F91A192_.wvu.FilterData" localSheetId="9" hidden="1">In_House_2022!#REF!</definedName>
    <definedName name="Z_24EEEE76_7DDB_4A9A_9ECC_8C5B5F91A192_.wvu.FilterData" localSheetId="7" hidden="1">In_House_2023!#REF!</definedName>
    <definedName name="Z_24EEEE76_7DDB_4A9A_9ECC_8C5B5F91A192_.wvu.FilterData" localSheetId="8" hidden="1">In_House_2023_old!#REF!</definedName>
    <definedName name="Z_269F1B10_4E07_42BC_BAEF_00343A929B24_.wvu.FilterData" localSheetId="2" hidden="1">DAs!$A$2:$M$14</definedName>
    <definedName name="Z_269F1B10_4E07_42BC_BAEF_00343A929B24_.wvu.FilterData" localSheetId="4" hidden="1">'In House'!$A$1:$AV$613</definedName>
    <definedName name="Z_269F1B10_4E07_42BC_BAEF_00343A929B24_.wvu.FilterData" localSheetId="6" hidden="1">'In house - diversos'!$B$1:$K$113</definedName>
    <definedName name="Z_269F1B10_4E07_42BC_BAEF_00343A929B24_.wvu.FilterData" localSheetId="5" hidden="1">'In House - NEs'!$A$1:$F$64</definedName>
    <definedName name="Z_269F1B10_4E07_42BC_BAEF_00343A929B24_.wvu.FilterData" localSheetId="3" hidden="1">'In transit '!#REF!</definedName>
    <definedName name="Z_269F1B10_4E07_42BC_BAEF_00343A929B24_.wvu.FilterData" localSheetId="12" hidden="1">In_House_2019!#REF!</definedName>
    <definedName name="Z_269F1B10_4E07_42BC_BAEF_00343A929B24_.wvu.FilterData" localSheetId="11" hidden="1">In_House_2020!#REF!</definedName>
    <definedName name="Z_269F1B10_4E07_42BC_BAEF_00343A929B24_.wvu.FilterData" localSheetId="10" hidden="1">In_House_2021!#REF!</definedName>
    <definedName name="Z_269F1B10_4E07_42BC_BAEF_00343A929B24_.wvu.FilterData" localSheetId="9" hidden="1">In_House_2022!#REF!</definedName>
    <definedName name="Z_269F1B10_4E07_42BC_BAEF_00343A929B24_.wvu.FilterData" localSheetId="7" hidden="1">In_House_2023!#REF!</definedName>
    <definedName name="Z_269F1B10_4E07_42BC_BAEF_00343A929B24_.wvu.FilterData" localSheetId="8" hidden="1">In_House_2023_old!#REF!</definedName>
    <definedName name="Z_269F1B10_4E07_42BC_BAEF_00343A929B24_.wvu.FilterData" localSheetId="1" hidden="1">NEs!$A$1:$AI$1</definedName>
    <definedName name="Z_269F1B10_4E07_42BC_BAEF_00343A929B24_.wvu.Rows" localSheetId="4" hidden="1">'In House'!$2:$612</definedName>
    <definedName name="Z_269F1B10_4E07_42BC_BAEF_00343A929B24_.wvu.Rows" localSheetId="5" hidden="1">'In House - NEs'!$2:$42</definedName>
    <definedName name="Z_2898781F_070C_42A3_B6FD_D3C0DFA998C4_.wvu.FilterData" localSheetId="3" hidden="1">'In transit '!#REF!</definedName>
    <definedName name="Z_2898781F_070C_42A3_B6FD_D3C0DFA998C4_.wvu.FilterData" localSheetId="12" hidden="1">In_House_2019!#REF!</definedName>
    <definedName name="Z_2898781F_070C_42A3_B6FD_D3C0DFA998C4_.wvu.FilterData" localSheetId="11" hidden="1">In_House_2020!#REF!</definedName>
    <definedName name="Z_2898781F_070C_42A3_B6FD_D3C0DFA998C4_.wvu.FilterData" localSheetId="10" hidden="1">In_House_2021!#REF!</definedName>
    <definedName name="Z_2898781F_070C_42A3_B6FD_D3C0DFA998C4_.wvu.FilterData" localSheetId="9" hidden="1">In_House_2022!#REF!</definedName>
    <definedName name="Z_2898781F_070C_42A3_B6FD_D3C0DFA998C4_.wvu.FilterData" localSheetId="7" hidden="1">In_House_2023!#REF!</definedName>
    <definedName name="Z_2898781F_070C_42A3_B6FD_D3C0DFA998C4_.wvu.FilterData" localSheetId="8" hidden="1">In_House_2023_old!#REF!</definedName>
    <definedName name="Z_2A76A548_D24F_4CD1_AA03_38992FBC3A31_.wvu.FilterData" localSheetId="3" hidden="1">'In transit '!#REF!</definedName>
    <definedName name="Z_2A76A548_D24F_4CD1_AA03_38992FBC3A31_.wvu.FilterData" localSheetId="12" hidden="1">In_House_2019!#REF!</definedName>
    <definedName name="Z_2A76A548_D24F_4CD1_AA03_38992FBC3A31_.wvu.FilterData" localSheetId="11" hidden="1">In_House_2020!#REF!</definedName>
    <definedName name="Z_2A76A548_D24F_4CD1_AA03_38992FBC3A31_.wvu.FilterData" localSheetId="10" hidden="1">In_House_2021!#REF!</definedName>
    <definedName name="Z_2A76A548_D24F_4CD1_AA03_38992FBC3A31_.wvu.FilterData" localSheetId="9" hidden="1">In_House_2022!#REF!</definedName>
    <definedName name="Z_2A76A548_D24F_4CD1_AA03_38992FBC3A31_.wvu.FilterData" localSheetId="7" hidden="1">In_House_2023!#REF!</definedName>
    <definedName name="Z_2A76A548_D24F_4CD1_AA03_38992FBC3A31_.wvu.FilterData" localSheetId="8" hidden="1">In_House_2023_old!#REF!</definedName>
    <definedName name="Z_2CD839B6_6EF7_4F59_8BDD_BC73FBAD9865_.wvu.FilterData" localSheetId="3" hidden="1">'In transit '!#REF!</definedName>
    <definedName name="Z_2CD839B6_6EF7_4F59_8BDD_BC73FBAD9865_.wvu.FilterData" localSheetId="12" hidden="1">In_House_2019!#REF!</definedName>
    <definedName name="Z_2CD839B6_6EF7_4F59_8BDD_BC73FBAD9865_.wvu.FilterData" localSheetId="11" hidden="1">In_House_2020!#REF!</definedName>
    <definedName name="Z_2CD839B6_6EF7_4F59_8BDD_BC73FBAD9865_.wvu.FilterData" localSheetId="10" hidden="1">In_House_2021!#REF!</definedName>
    <definedName name="Z_2CD839B6_6EF7_4F59_8BDD_BC73FBAD9865_.wvu.FilterData" localSheetId="9" hidden="1">In_House_2022!#REF!</definedName>
    <definedName name="Z_2CD839B6_6EF7_4F59_8BDD_BC73FBAD9865_.wvu.FilterData" localSheetId="7" hidden="1">In_House_2023!#REF!</definedName>
    <definedName name="Z_2CD839B6_6EF7_4F59_8BDD_BC73FBAD9865_.wvu.FilterData" localSheetId="8" hidden="1">In_House_2023_old!#REF!</definedName>
    <definedName name="Z_2EFDF49C_596E_46D5_9C96_54E1CA16FE82_.wvu.FilterData" localSheetId="3" hidden="1">'In transit '!#REF!</definedName>
    <definedName name="Z_2EFDF49C_596E_46D5_9C96_54E1CA16FE82_.wvu.FilterData" localSheetId="12" hidden="1">In_House_2019!#REF!</definedName>
    <definedName name="Z_2EFDF49C_596E_46D5_9C96_54E1CA16FE82_.wvu.FilterData" localSheetId="11" hidden="1">In_House_2020!#REF!</definedName>
    <definedName name="Z_2EFDF49C_596E_46D5_9C96_54E1CA16FE82_.wvu.FilterData" localSheetId="10" hidden="1">In_House_2021!#REF!</definedName>
    <definedName name="Z_2EFDF49C_596E_46D5_9C96_54E1CA16FE82_.wvu.FilterData" localSheetId="9" hidden="1">In_House_2022!#REF!</definedName>
    <definedName name="Z_2EFDF49C_596E_46D5_9C96_54E1CA16FE82_.wvu.FilterData" localSheetId="7" hidden="1">In_House_2023!#REF!</definedName>
    <definedName name="Z_2EFDF49C_596E_46D5_9C96_54E1CA16FE82_.wvu.FilterData" localSheetId="8" hidden="1">In_House_2023_old!#REF!</definedName>
    <definedName name="Z_300D2294_17E7_4CF4_80E2_80E3EE62770C_.wvu.FilterData" localSheetId="3" hidden="1">'In transit '!#REF!</definedName>
    <definedName name="Z_300D2294_17E7_4CF4_80E2_80E3EE62770C_.wvu.FilterData" localSheetId="12" hidden="1">In_House_2019!#REF!</definedName>
    <definedName name="Z_300D2294_17E7_4CF4_80E2_80E3EE62770C_.wvu.FilterData" localSheetId="11" hidden="1">In_House_2020!#REF!</definedName>
    <definedName name="Z_300D2294_17E7_4CF4_80E2_80E3EE62770C_.wvu.FilterData" localSheetId="10" hidden="1">In_House_2021!#REF!</definedName>
    <definedName name="Z_300D2294_17E7_4CF4_80E2_80E3EE62770C_.wvu.FilterData" localSheetId="9" hidden="1">In_House_2022!#REF!</definedName>
    <definedName name="Z_300D2294_17E7_4CF4_80E2_80E3EE62770C_.wvu.FilterData" localSheetId="7" hidden="1">In_House_2023!#REF!</definedName>
    <definedName name="Z_300D2294_17E7_4CF4_80E2_80E3EE62770C_.wvu.FilterData" localSheetId="8" hidden="1">In_House_2023_old!#REF!</definedName>
    <definedName name="Z_3027D8DA_687E_4039_BEC4_EC380F144A90_.wvu.FilterData" localSheetId="3" hidden="1">'In transit '!#REF!</definedName>
    <definedName name="Z_3027D8DA_687E_4039_BEC4_EC380F144A90_.wvu.FilterData" localSheetId="12" hidden="1">In_House_2019!#REF!</definedName>
    <definedName name="Z_3027D8DA_687E_4039_BEC4_EC380F144A90_.wvu.FilterData" localSheetId="11" hidden="1">In_House_2020!#REF!</definedName>
    <definedName name="Z_3027D8DA_687E_4039_BEC4_EC380F144A90_.wvu.FilterData" localSheetId="10" hidden="1">In_House_2021!#REF!</definedName>
    <definedName name="Z_3027D8DA_687E_4039_BEC4_EC380F144A90_.wvu.FilterData" localSheetId="9" hidden="1">In_House_2022!#REF!</definedName>
    <definedName name="Z_3027D8DA_687E_4039_BEC4_EC380F144A90_.wvu.FilterData" localSheetId="7" hidden="1">In_House_2023!#REF!</definedName>
    <definedName name="Z_3027D8DA_687E_4039_BEC4_EC380F144A90_.wvu.FilterData" localSheetId="8" hidden="1">In_House_2023_old!#REF!</definedName>
    <definedName name="Z_3098421D_F634_4E06_882E_B3A44B615E68_.wvu.FilterData" localSheetId="3" hidden="1">'In transit '!#REF!</definedName>
    <definedName name="Z_3098421D_F634_4E06_882E_B3A44B615E68_.wvu.FilterData" localSheetId="12" hidden="1">In_House_2019!#REF!</definedName>
    <definedName name="Z_3098421D_F634_4E06_882E_B3A44B615E68_.wvu.FilterData" localSheetId="11" hidden="1">In_House_2020!#REF!</definedName>
    <definedName name="Z_3098421D_F634_4E06_882E_B3A44B615E68_.wvu.FilterData" localSheetId="10" hidden="1">In_House_2021!#REF!</definedName>
    <definedName name="Z_3098421D_F634_4E06_882E_B3A44B615E68_.wvu.FilterData" localSheetId="9" hidden="1">In_House_2022!#REF!</definedName>
    <definedName name="Z_3098421D_F634_4E06_882E_B3A44B615E68_.wvu.FilterData" localSheetId="7" hidden="1">In_House_2023!#REF!</definedName>
    <definedName name="Z_3098421D_F634_4E06_882E_B3A44B615E68_.wvu.FilterData" localSheetId="8" hidden="1">In_House_2023_old!#REF!</definedName>
    <definedName name="Z_316BA082_4614_439F_9CB4_340D61BDC344_.wvu.FilterData" localSheetId="2" hidden="1">DAs!$A$2:$M$14</definedName>
    <definedName name="Z_316BA082_4614_439F_9CB4_340D61BDC344_.wvu.FilterData" localSheetId="4" hidden="1">'In House'!$A$1:$AV$613</definedName>
    <definedName name="Z_316BA082_4614_439F_9CB4_340D61BDC344_.wvu.FilterData" localSheetId="6" hidden="1">'In house - diversos'!$B$1:$K$113</definedName>
    <definedName name="Z_316BA082_4614_439F_9CB4_340D61BDC344_.wvu.FilterData" localSheetId="5" hidden="1">'In House - NEs'!$A$1:$F$64</definedName>
    <definedName name="Z_316BA082_4614_439F_9CB4_340D61BDC344_.wvu.FilterData" localSheetId="3" hidden="1">'In transit '!#REF!</definedName>
    <definedName name="Z_316BA082_4614_439F_9CB4_340D61BDC344_.wvu.FilterData" localSheetId="12" hidden="1">In_House_2019!#REF!</definedName>
    <definedName name="Z_316BA082_4614_439F_9CB4_340D61BDC344_.wvu.FilterData" localSheetId="11" hidden="1">In_House_2020!#REF!</definedName>
    <definedName name="Z_316BA082_4614_439F_9CB4_340D61BDC344_.wvu.FilterData" localSheetId="10" hidden="1">In_House_2021!#REF!</definedName>
    <definedName name="Z_316BA082_4614_439F_9CB4_340D61BDC344_.wvu.FilterData" localSheetId="9" hidden="1">In_House_2022!#REF!</definedName>
    <definedName name="Z_316BA082_4614_439F_9CB4_340D61BDC344_.wvu.FilterData" localSheetId="7" hidden="1">In_House_2023!#REF!</definedName>
    <definedName name="Z_316BA082_4614_439F_9CB4_340D61BDC344_.wvu.FilterData" localSheetId="8" hidden="1">In_House_2023_old!#REF!</definedName>
    <definedName name="Z_316BA082_4614_439F_9CB4_340D61BDC344_.wvu.FilterData" localSheetId="1" hidden="1">NEs!$A$1:$AI$1</definedName>
    <definedName name="Z_316BA082_4614_439F_9CB4_340D61BDC344_.wvu.Rows" localSheetId="4" hidden="1">'In House'!$2:$612</definedName>
    <definedName name="Z_316BA082_4614_439F_9CB4_340D61BDC344_.wvu.Rows" localSheetId="5" hidden="1">'In House - NEs'!$2:$42</definedName>
    <definedName name="Z_3170A2B5_0C80_4E9C_8DCC_31218666BAD5_.wvu.FilterData" localSheetId="3" hidden="1">'In transit '!#REF!</definedName>
    <definedName name="Z_3170A2B5_0C80_4E9C_8DCC_31218666BAD5_.wvu.FilterData" localSheetId="12" hidden="1">In_House_2019!#REF!</definedName>
    <definedName name="Z_3170A2B5_0C80_4E9C_8DCC_31218666BAD5_.wvu.FilterData" localSheetId="11" hidden="1">In_House_2020!#REF!</definedName>
    <definedName name="Z_3170A2B5_0C80_4E9C_8DCC_31218666BAD5_.wvu.FilterData" localSheetId="10" hidden="1">In_House_2021!#REF!</definedName>
    <definedName name="Z_3170A2B5_0C80_4E9C_8DCC_31218666BAD5_.wvu.FilterData" localSheetId="9" hidden="1">In_House_2022!#REF!</definedName>
    <definedName name="Z_3170A2B5_0C80_4E9C_8DCC_31218666BAD5_.wvu.FilterData" localSheetId="7" hidden="1">In_House_2023!#REF!</definedName>
    <definedName name="Z_3170A2B5_0C80_4E9C_8DCC_31218666BAD5_.wvu.FilterData" localSheetId="8" hidden="1">In_House_2023_old!#REF!</definedName>
    <definedName name="Z_31F349F5_B228_48F0_95AE_E84E1FA84884_.wvu.FilterData" localSheetId="3" hidden="1">'In transit '!#REF!</definedName>
    <definedName name="Z_31F349F5_B228_48F0_95AE_E84E1FA84884_.wvu.FilterData" localSheetId="12" hidden="1">In_House_2019!#REF!</definedName>
    <definedName name="Z_31F349F5_B228_48F0_95AE_E84E1FA84884_.wvu.FilterData" localSheetId="11" hidden="1">In_House_2020!#REF!</definedName>
    <definedName name="Z_31F349F5_B228_48F0_95AE_E84E1FA84884_.wvu.FilterData" localSheetId="10" hidden="1">In_House_2021!#REF!</definedName>
    <definedName name="Z_31F349F5_B228_48F0_95AE_E84E1FA84884_.wvu.FilterData" localSheetId="9" hidden="1">In_House_2022!#REF!</definedName>
    <definedName name="Z_31F349F5_B228_48F0_95AE_E84E1FA84884_.wvu.FilterData" localSheetId="7" hidden="1">In_House_2023!#REF!</definedName>
    <definedName name="Z_31F349F5_B228_48F0_95AE_E84E1FA84884_.wvu.FilterData" localSheetId="8" hidden="1">In_House_2023_old!#REF!</definedName>
    <definedName name="Z_320F1448_649C_4798_92A6_9805FE8FE92B_.wvu.FilterData" localSheetId="3" hidden="1">'In transit '!#REF!</definedName>
    <definedName name="Z_320F1448_649C_4798_92A6_9805FE8FE92B_.wvu.FilterData" localSheetId="12" hidden="1">In_House_2019!#REF!</definedName>
    <definedName name="Z_320F1448_649C_4798_92A6_9805FE8FE92B_.wvu.FilterData" localSheetId="11" hidden="1">In_House_2020!#REF!</definedName>
    <definedName name="Z_320F1448_649C_4798_92A6_9805FE8FE92B_.wvu.FilterData" localSheetId="10" hidden="1">In_House_2021!#REF!</definedName>
    <definedName name="Z_320F1448_649C_4798_92A6_9805FE8FE92B_.wvu.FilterData" localSheetId="9" hidden="1">In_House_2022!#REF!</definedName>
    <definedName name="Z_320F1448_649C_4798_92A6_9805FE8FE92B_.wvu.FilterData" localSheetId="7" hidden="1">In_House_2023!#REF!</definedName>
    <definedName name="Z_320F1448_649C_4798_92A6_9805FE8FE92B_.wvu.FilterData" localSheetId="8" hidden="1">In_House_2023_old!#REF!</definedName>
    <definedName name="Z_3272BB8E_0BD2_491F_8F5E_1EA65CDA3C48_.wvu.FilterData" localSheetId="3" hidden="1">'In transit '!#REF!</definedName>
    <definedName name="Z_3272BB8E_0BD2_491F_8F5E_1EA65CDA3C48_.wvu.FilterData" localSheetId="12" hidden="1">In_House_2019!#REF!</definedName>
    <definedName name="Z_3272BB8E_0BD2_491F_8F5E_1EA65CDA3C48_.wvu.FilterData" localSheetId="11" hidden="1">In_House_2020!#REF!</definedName>
    <definedName name="Z_3272BB8E_0BD2_491F_8F5E_1EA65CDA3C48_.wvu.FilterData" localSheetId="10" hidden="1">In_House_2021!#REF!</definedName>
    <definedName name="Z_3272BB8E_0BD2_491F_8F5E_1EA65CDA3C48_.wvu.FilterData" localSheetId="9" hidden="1">In_House_2022!#REF!</definedName>
    <definedName name="Z_3272BB8E_0BD2_491F_8F5E_1EA65CDA3C48_.wvu.FilterData" localSheetId="7" hidden="1">In_House_2023!#REF!</definedName>
    <definedName name="Z_3272BB8E_0BD2_491F_8F5E_1EA65CDA3C48_.wvu.FilterData" localSheetId="8" hidden="1">In_House_2023_old!#REF!</definedName>
    <definedName name="Z_32BDA514_EF35_4E04_8B05_8C512528E883_.wvu.FilterData" localSheetId="3" hidden="1">'In transit '!#REF!</definedName>
    <definedName name="Z_32BDA514_EF35_4E04_8B05_8C512528E883_.wvu.FilterData" localSheetId="12" hidden="1">In_House_2019!#REF!</definedName>
    <definedName name="Z_32BDA514_EF35_4E04_8B05_8C512528E883_.wvu.FilterData" localSheetId="11" hidden="1">In_House_2020!#REF!</definedName>
    <definedName name="Z_32BDA514_EF35_4E04_8B05_8C512528E883_.wvu.FilterData" localSheetId="10" hidden="1">In_House_2021!#REF!</definedName>
    <definedName name="Z_32BDA514_EF35_4E04_8B05_8C512528E883_.wvu.FilterData" localSheetId="9" hidden="1">In_House_2022!#REF!</definedName>
    <definedName name="Z_32BDA514_EF35_4E04_8B05_8C512528E883_.wvu.FilterData" localSheetId="7" hidden="1">In_House_2023!#REF!</definedName>
    <definedName name="Z_32BDA514_EF35_4E04_8B05_8C512528E883_.wvu.FilterData" localSheetId="8" hidden="1">In_House_2023_old!#REF!</definedName>
    <definedName name="Z_34DF145F_06DA_4B1C_AA9C_B721AE89C131_.wvu.FilterData" localSheetId="3" hidden="1">'In transit '!#REF!</definedName>
    <definedName name="Z_34DF145F_06DA_4B1C_AA9C_B721AE89C131_.wvu.FilterData" localSheetId="12" hidden="1">In_House_2019!#REF!</definedName>
    <definedName name="Z_34DF145F_06DA_4B1C_AA9C_B721AE89C131_.wvu.FilterData" localSheetId="11" hidden="1">In_House_2020!#REF!</definedName>
    <definedName name="Z_34DF145F_06DA_4B1C_AA9C_B721AE89C131_.wvu.FilterData" localSheetId="10" hidden="1">In_House_2021!#REF!</definedName>
    <definedName name="Z_34DF145F_06DA_4B1C_AA9C_B721AE89C131_.wvu.FilterData" localSheetId="9" hidden="1">In_House_2022!#REF!</definedName>
    <definedName name="Z_34DF145F_06DA_4B1C_AA9C_B721AE89C131_.wvu.FilterData" localSheetId="7" hidden="1">In_House_2023!#REF!</definedName>
    <definedName name="Z_34DF145F_06DA_4B1C_AA9C_B721AE89C131_.wvu.FilterData" localSheetId="8" hidden="1">In_House_2023_old!#REF!</definedName>
    <definedName name="Z_354CB1E9_4D28_4476_9CB6_42F209DD5134_.wvu.FilterData" localSheetId="3" hidden="1">'In transit '!#REF!</definedName>
    <definedName name="Z_354CB1E9_4D28_4476_9CB6_42F209DD5134_.wvu.FilterData" localSheetId="12" hidden="1">In_House_2019!#REF!</definedName>
    <definedName name="Z_354CB1E9_4D28_4476_9CB6_42F209DD5134_.wvu.FilterData" localSheetId="11" hidden="1">In_House_2020!#REF!</definedName>
    <definedName name="Z_354CB1E9_4D28_4476_9CB6_42F209DD5134_.wvu.FilterData" localSheetId="10" hidden="1">In_House_2021!#REF!</definedName>
    <definedName name="Z_354CB1E9_4D28_4476_9CB6_42F209DD5134_.wvu.FilterData" localSheetId="9" hidden="1">In_House_2022!#REF!</definedName>
    <definedName name="Z_354CB1E9_4D28_4476_9CB6_42F209DD5134_.wvu.FilterData" localSheetId="7" hidden="1">In_House_2023!#REF!</definedName>
    <definedName name="Z_354CB1E9_4D28_4476_9CB6_42F209DD5134_.wvu.FilterData" localSheetId="8" hidden="1">In_House_2023_old!#REF!</definedName>
    <definedName name="Z_3634CF29_7FFE_49FE_AB18_49285E9FB576_.wvu.FilterData" localSheetId="3" hidden="1">'In transit '!#REF!</definedName>
    <definedName name="Z_3634CF29_7FFE_49FE_AB18_49285E9FB576_.wvu.FilterData" localSheetId="12" hidden="1">In_House_2019!#REF!</definedName>
    <definedName name="Z_3634CF29_7FFE_49FE_AB18_49285E9FB576_.wvu.FilterData" localSheetId="11" hidden="1">In_House_2020!#REF!</definedName>
    <definedName name="Z_3634CF29_7FFE_49FE_AB18_49285E9FB576_.wvu.FilterData" localSheetId="10" hidden="1">In_House_2021!#REF!</definedName>
    <definedName name="Z_3634CF29_7FFE_49FE_AB18_49285E9FB576_.wvu.FilterData" localSheetId="9" hidden="1">In_House_2022!#REF!</definedName>
    <definedName name="Z_3634CF29_7FFE_49FE_AB18_49285E9FB576_.wvu.FilterData" localSheetId="7" hidden="1">In_House_2023!#REF!</definedName>
    <definedName name="Z_3634CF29_7FFE_49FE_AB18_49285E9FB576_.wvu.FilterData" localSheetId="8" hidden="1">In_House_2023_old!#REF!</definedName>
    <definedName name="Z_37578992_E6DD_48E2_940E_9D76981B7E82_.wvu.FilterData" localSheetId="3" hidden="1">'In transit '!#REF!</definedName>
    <definedName name="Z_37578992_E6DD_48E2_940E_9D76981B7E82_.wvu.FilterData" localSheetId="12" hidden="1">In_House_2019!#REF!</definedName>
    <definedName name="Z_37578992_E6DD_48E2_940E_9D76981B7E82_.wvu.FilterData" localSheetId="11" hidden="1">In_House_2020!#REF!</definedName>
    <definedName name="Z_37578992_E6DD_48E2_940E_9D76981B7E82_.wvu.FilterData" localSheetId="10" hidden="1">In_House_2021!#REF!</definedName>
    <definedName name="Z_37578992_E6DD_48E2_940E_9D76981B7E82_.wvu.FilterData" localSheetId="9" hidden="1">In_House_2022!#REF!</definedName>
    <definedName name="Z_37578992_E6DD_48E2_940E_9D76981B7E82_.wvu.FilterData" localSheetId="7" hidden="1">In_House_2023!#REF!</definedName>
    <definedName name="Z_37578992_E6DD_48E2_940E_9D76981B7E82_.wvu.FilterData" localSheetId="8" hidden="1">In_House_2023_old!#REF!</definedName>
    <definedName name="Z_38CDF8B5_0F48_433A_A36F_EAD87AD19578_.wvu.FilterData" localSheetId="2" hidden="1">DAs!$A$2:$M$14</definedName>
    <definedName name="Z_38CDF8B5_0F48_433A_A36F_EAD87AD19578_.wvu.FilterData" localSheetId="4" hidden="1">'In House'!$A$1:$AV$613</definedName>
    <definedName name="Z_38CDF8B5_0F48_433A_A36F_EAD87AD19578_.wvu.FilterData" localSheetId="6" hidden="1">'In house - diversos'!$B$1:$K$113</definedName>
    <definedName name="Z_38CDF8B5_0F48_433A_A36F_EAD87AD19578_.wvu.FilterData" localSheetId="5" hidden="1">'In House - NEs'!$A$1:$F$64</definedName>
    <definedName name="Z_38CDF8B5_0F48_433A_A36F_EAD87AD19578_.wvu.FilterData" localSheetId="3" hidden="1">'In transit '!#REF!</definedName>
    <definedName name="Z_38CDF8B5_0F48_433A_A36F_EAD87AD19578_.wvu.FilterData" localSheetId="12" hidden="1">In_House_2019!#REF!</definedName>
    <definedName name="Z_38CDF8B5_0F48_433A_A36F_EAD87AD19578_.wvu.FilterData" localSheetId="11" hidden="1">In_House_2020!#REF!</definedName>
    <definedName name="Z_38CDF8B5_0F48_433A_A36F_EAD87AD19578_.wvu.FilterData" localSheetId="10" hidden="1">In_House_2021!#REF!</definedName>
    <definedName name="Z_38CDF8B5_0F48_433A_A36F_EAD87AD19578_.wvu.FilterData" localSheetId="9" hidden="1">In_House_2022!#REF!</definedName>
    <definedName name="Z_38CDF8B5_0F48_433A_A36F_EAD87AD19578_.wvu.FilterData" localSheetId="7" hidden="1">In_House_2023!#REF!</definedName>
    <definedName name="Z_38CDF8B5_0F48_433A_A36F_EAD87AD19578_.wvu.FilterData" localSheetId="8" hidden="1">In_House_2023_old!#REF!</definedName>
    <definedName name="Z_38CDF8B5_0F48_433A_A36F_EAD87AD19578_.wvu.FilterData" localSheetId="1" hidden="1">NEs!$A$1:$AI$1</definedName>
    <definedName name="Z_38CDF8B5_0F48_433A_A36F_EAD87AD19578_.wvu.Rows" localSheetId="4" hidden="1">'In House'!$2:$612</definedName>
    <definedName name="Z_38CDF8B5_0F48_433A_A36F_EAD87AD19578_.wvu.Rows" localSheetId="5" hidden="1">'In House - NEs'!$2:$42</definedName>
    <definedName name="Z_3B87A53E_74C8_4BE7_882B_8C94EDE5429D_.wvu.FilterData" localSheetId="3" hidden="1">'In transit '!#REF!</definedName>
    <definedName name="Z_3B87A53E_74C8_4BE7_882B_8C94EDE5429D_.wvu.FilterData" localSheetId="12" hidden="1">In_House_2019!#REF!</definedName>
    <definedName name="Z_3B87A53E_74C8_4BE7_882B_8C94EDE5429D_.wvu.FilterData" localSheetId="11" hidden="1">In_House_2020!#REF!</definedName>
    <definedName name="Z_3B87A53E_74C8_4BE7_882B_8C94EDE5429D_.wvu.FilterData" localSheetId="10" hidden="1">In_House_2021!#REF!</definedName>
    <definedName name="Z_3B87A53E_74C8_4BE7_882B_8C94EDE5429D_.wvu.FilterData" localSheetId="9" hidden="1">In_House_2022!#REF!</definedName>
    <definedName name="Z_3B87A53E_74C8_4BE7_882B_8C94EDE5429D_.wvu.FilterData" localSheetId="7" hidden="1">In_House_2023!#REF!</definedName>
    <definedName name="Z_3B87A53E_74C8_4BE7_882B_8C94EDE5429D_.wvu.FilterData" localSheetId="8" hidden="1">In_House_2023_old!#REF!</definedName>
    <definedName name="Z_3D93E39C_4856_487B_BEDB_B0688EC7A514_.wvu.FilterData" localSheetId="3" hidden="1">'In transit '!#REF!</definedName>
    <definedName name="Z_3D93E39C_4856_487B_BEDB_B0688EC7A514_.wvu.FilterData" localSheetId="12" hidden="1">In_House_2019!#REF!</definedName>
    <definedName name="Z_3D93E39C_4856_487B_BEDB_B0688EC7A514_.wvu.FilterData" localSheetId="11" hidden="1">In_House_2020!#REF!</definedName>
    <definedName name="Z_3D93E39C_4856_487B_BEDB_B0688EC7A514_.wvu.FilterData" localSheetId="10" hidden="1">In_House_2021!#REF!</definedName>
    <definedName name="Z_3D93E39C_4856_487B_BEDB_B0688EC7A514_.wvu.FilterData" localSheetId="9" hidden="1">In_House_2022!#REF!</definedName>
    <definedName name="Z_3D93E39C_4856_487B_BEDB_B0688EC7A514_.wvu.FilterData" localSheetId="7" hidden="1">In_House_2023!#REF!</definedName>
    <definedName name="Z_3D93E39C_4856_487B_BEDB_B0688EC7A514_.wvu.FilterData" localSheetId="8" hidden="1">In_House_2023_old!#REF!</definedName>
    <definedName name="Z_3DC6DB2D_2732_413F_B168_80FED6A56EC0_.wvu.Cols" localSheetId="3" hidden="1">'In transit '!$R:$R,'In transit '!#REF!</definedName>
    <definedName name="Z_3DC6DB2D_2732_413F_B168_80FED6A56EC0_.wvu.Cols" localSheetId="12" hidden="1">In_House_2019!$L:$L,In_House_2019!$Y:$Y</definedName>
    <definedName name="Z_3DC6DB2D_2732_413F_B168_80FED6A56EC0_.wvu.Cols" localSheetId="11" hidden="1">In_House_2020!$L:$L,In_House_2020!$Y:$Y</definedName>
    <definedName name="Z_3DC6DB2D_2732_413F_B168_80FED6A56EC0_.wvu.Cols" localSheetId="10" hidden="1">In_House_2021!$L:$L,In_House_2021!$W:$W</definedName>
    <definedName name="Z_3DC6DB2D_2732_413F_B168_80FED6A56EC0_.wvu.Cols" localSheetId="9" hidden="1">In_House_2022!$L:$L,In_House_2022!$W:$W</definedName>
    <definedName name="Z_3DC6DB2D_2732_413F_B168_80FED6A56EC0_.wvu.Cols" localSheetId="7" hidden="1">In_House_2023!$K:$K,In_House_2023!$AC:$AC</definedName>
    <definedName name="Z_3DC6DB2D_2732_413F_B168_80FED6A56EC0_.wvu.Cols" localSheetId="8" hidden="1">In_House_2023_old!$L:$L,In_House_2023_old!$W:$W</definedName>
    <definedName name="Z_3DC6DB2D_2732_413F_B168_80FED6A56EC0_.wvu.FilterData" localSheetId="2" hidden="1">DAs!$A$2:$M$14</definedName>
    <definedName name="Z_3DC6DB2D_2732_413F_B168_80FED6A56EC0_.wvu.FilterData" localSheetId="4" hidden="1">'In House'!$A$1:$AV$613</definedName>
    <definedName name="Z_3DC6DB2D_2732_413F_B168_80FED6A56EC0_.wvu.FilterData" localSheetId="6" hidden="1">'In house - diversos'!$B$1:$K$113</definedName>
    <definedName name="Z_3DC6DB2D_2732_413F_B168_80FED6A56EC0_.wvu.FilterData" localSheetId="5" hidden="1">'In House - NEs'!$A$1:$F$64</definedName>
    <definedName name="Z_3DC6DB2D_2732_413F_B168_80FED6A56EC0_.wvu.FilterData" localSheetId="3" hidden="1">'In transit '!#REF!</definedName>
    <definedName name="Z_3DC6DB2D_2732_413F_B168_80FED6A56EC0_.wvu.FilterData" localSheetId="12" hidden="1">In_House_2019!#REF!</definedName>
    <definedName name="Z_3DC6DB2D_2732_413F_B168_80FED6A56EC0_.wvu.FilterData" localSheetId="11" hidden="1">In_House_2020!#REF!</definedName>
    <definedName name="Z_3DC6DB2D_2732_413F_B168_80FED6A56EC0_.wvu.FilterData" localSheetId="10" hidden="1">In_House_2021!#REF!</definedName>
    <definedName name="Z_3DC6DB2D_2732_413F_B168_80FED6A56EC0_.wvu.FilterData" localSheetId="9" hidden="1">In_House_2022!#REF!</definedName>
    <definedName name="Z_3DC6DB2D_2732_413F_B168_80FED6A56EC0_.wvu.FilterData" localSheetId="7" hidden="1">In_House_2023!#REF!</definedName>
    <definedName name="Z_3DC6DB2D_2732_413F_B168_80FED6A56EC0_.wvu.FilterData" localSheetId="8" hidden="1">In_House_2023_old!#REF!</definedName>
    <definedName name="Z_3DC6DB2D_2732_413F_B168_80FED6A56EC0_.wvu.FilterData" localSheetId="1" hidden="1">NEs!$A$1:$AI$1</definedName>
    <definedName name="Z_3DC6DB2D_2732_413F_B168_80FED6A56EC0_.wvu.Rows" localSheetId="4" hidden="1">'In House'!$2:$612</definedName>
    <definedName name="Z_3DC6DB2D_2732_413F_B168_80FED6A56EC0_.wvu.Rows" localSheetId="5" hidden="1">'In House - NEs'!$2:$42</definedName>
    <definedName name="Z_402A716C_F95C_4DEA_A491_6496046A33D4_.wvu.FilterData" localSheetId="3" hidden="1">'In transit '!#REF!</definedName>
    <definedName name="Z_402A716C_F95C_4DEA_A491_6496046A33D4_.wvu.FilterData" localSheetId="12" hidden="1">In_House_2019!#REF!</definedName>
    <definedName name="Z_402A716C_F95C_4DEA_A491_6496046A33D4_.wvu.FilterData" localSheetId="11" hidden="1">In_House_2020!#REF!</definedName>
    <definedName name="Z_402A716C_F95C_4DEA_A491_6496046A33D4_.wvu.FilterData" localSheetId="10" hidden="1">In_House_2021!#REF!</definedName>
    <definedName name="Z_402A716C_F95C_4DEA_A491_6496046A33D4_.wvu.FilterData" localSheetId="9" hidden="1">In_House_2022!#REF!</definedName>
    <definedName name="Z_402A716C_F95C_4DEA_A491_6496046A33D4_.wvu.FilterData" localSheetId="7" hidden="1">In_House_2023!#REF!</definedName>
    <definedName name="Z_402A716C_F95C_4DEA_A491_6496046A33D4_.wvu.FilterData" localSheetId="8" hidden="1">In_House_2023_old!#REF!</definedName>
    <definedName name="Z_471B9EAC_32FD_4AB4_B189_11C2ED8F5F72_.wvu.FilterData" localSheetId="2" hidden="1">DAs!$A$2:$M$14</definedName>
    <definedName name="Z_471B9EAC_32FD_4AB4_B189_11C2ED8F5F72_.wvu.FilterData" localSheetId="4" hidden="1">'In House'!$A$1:$AV$613</definedName>
    <definedName name="Z_471B9EAC_32FD_4AB4_B189_11C2ED8F5F72_.wvu.FilterData" localSheetId="6" hidden="1">'In house - diversos'!$B$1:$K$113</definedName>
    <definedName name="Z_471B9EAC_32FD_4AB4_B189_11C2ED8F5F72_.wvu.FilterData" localSheetId="5" hidden="1">'In House - NEs'!$A$1:$F$49</definedName>
    <definedName name="Z_471B9EAC_32FD_4AB4_B189_11C2ED8F5F72_.wvu.FilterData" localSheetId="3" hidden="1">'In transit '!#REF!</definedName>
    <definedName name="Z_471B9EAC_32FD_4AB4_B189_11C2ED8F5F72_.wvu.FilterData" localSheetId="12" hidden="1">In_House_2019!#REF!</definedName>
    <definedName name="Z_471B9EAC_32FD_4AB4_B189_11C2ED8F5F72_.wvu.FilterData" localSheetId="11" hidden="1">In_House_2020!#REF!</definedName>
    <definedName name="Z_471B9EAC_32FD_4AB4_B189_11C2ED8F5F72_.wvu.FilterData" localSheetId="10" hidden="1">In_House_2021!#REF!</definedName>
    <definedName name="Z_471B9EAC_32FD_4AB4_B189_11C2ED8F5F72_.wvu.FilterData" localSheetId="9" hidden="1">In_House_2022!#REF!</definedName>
    <definedName name="Z_471B9EAC_32FD_4AB4_B189_11C2ED8F5F72_.wvu.FilterData" localSheetId="7" hidden="1">In_House_2023!#REF!</definedName>
    <definedName name="Z_471B9EAC_32FD_4AB4_B189_11C2ED8F5F72_.wvu.FilterData" localSheetId="8" hidden="1">In_House_2023_old!#REF!</definedName>
    <definedName name="Z_471B9EAC_32FD_4AB4_B189_11C2ED8F5F72_.wvu.FilterData" localSheetId="1" hidden="1">NEs!$A$1:$AI$1</definedName>
    <definedName name="Z_4A852A88_9DFC_4B7D_86F7_0E4DC4D98401_.wvu.FilterData" localSheetId="3" hidden="1">'In transit '!#REF!</definedName>
    <definedName name="Z_4A852A88_9DFC_4B7D_86F7_0E4DC4D98401_.wvu.FilterData" localSheetId="12" hidden="1">In_House_2019!#REF!</definedName>
    <definedName name="Z_4A852A88_9DFC_4B7D_86F7_0E4DC4D98401_.wvu.FilterData" localSheetId="11" hidden="1">In_House_2020!#REF!</definedName>
    <definedName name="Z_4A852A88_9DFC_4B7D_86F7_0E4DC4D98401_.wvu.FilterData" localSheetId="10" hidden="1">In_House_2021!#REF!</definedName>
    <definedName name="Z_4A852A88_9DFC_4B7D_86F7_0E4DC4D98401_.wvu.FilterData" localSheetId="9" hidden="1">In_House_2022!#REF!</definedName>
    <definedName name="Z_4A852A88_9DFC_4B7D_86F7_0E4DC4D98401_.wvu.FilterData" localSheetId="7" hidden="1">In_House_2023!#REF!</definedName>
    <definedName name="Z_4A852A88_9DFC_4B7D_86F7_0E4DC4D98401_.wvu.FilterData" localSheetId="8" hidden="1">In_House_2023_old!#REF!</definedName>
    <definedName name="Z_4D46FCDB_8279_4D68_BC40_916BEF8DD086_.wvu.FilterData" localSheetId="3" hidden="1">'In transit '!#REF!</definedName>
    <definedName name="Z_4D46FCDB_8279_4D68_BC40_916BEF8DD086_.wvu.FilterData" localSheetId="12" hidden="1">In_House_2019!#REF!</definedName>
    <definedName name="Z_4D46FCDB_8279_4D68_BC40_916BEF8DD086_.wvu.FilterData" localSheetId="11" hidden="1">In_House_2020!#REF!</definedName>
    <definedName name="Z_4D46FCDB_8279_4D68_BC40_916BEF8DD086_.wvu.FilterData" localSheetId="10" hidden="1">In_House_2021!#REF!</definedName>
    <definedName name="Z_4D46FCDB_8279_4D68_BC40_916BEF8DD086_.wvu.FilterData" localSheetId="9" hidden="1">In_House_2022!#REF!</definedName>
    <definedName name="Z_4D46FCDB_8279_4D68_BC40_916BEF8DD086_.wvu.FilterData" localSheetId="7" hidden="1">In_House_2023!#REF!</definedName>
    <definedName name="Z_4D46FCDB_8279_4D68_BC40_916BEF8DD086_.wvu.FilterData" localSheetId="8" hidden="1">In_House_2023_old!#REF!</definedName>
    <definedName name="Z_4FF15B1C_0C8A_49AD_9F09_9429FE03D959_.wvu.FilterData" localSheetId="3" hidden="1">'In transit '!#REF!</definedName>
    <definedName name="Z_4FF15B1C_0C8A_49AD_9F09_9429FE03D959_.wvu.FilterData" localSheetId="12" hidden="1">In_House_2019!#REF!</definedName>
    <definedName name="Z_4FF15B1C_0C8A_49AD_9F09_9429FE03D959_.wvu.FilterData" localSheetId="11" hidden="1">In_House_2020!#REF!</definedName>
    <definedName name="Z_4FF15B1C_0C8A_49AD_9F09_9429FE03D959_.wvu.FilterData" localSheetId="10" hidden="1">In_House_2021!#REF!</definedName>
    <definedName name="Z_4FF15B1C_0C8A_49AD_9F09_9429FE03D959_.wvu.FilterData" localSheetId="9" hidden="1">In_House_2022!#REF!</definedName>
    <definedName name="Z_4FF15B1C_0C8A_49AD_9F09_9429FE03D959_.wvu.FilterData" localSheetId="7" hidden="1">In_House_2023!#REF!</definedName>
    <definedName name="Z_4FF15B1C_0C8A_49AD_9F09_9429FE03D959_.wvu.FilterData" localSheetId="8" hidden="1">In_House_2023_old!#REF!</definedName>
    <definedName name="Z_50890819_A619_48D8_A69A_34B09240E47C_.wvu.FilterData" localSheetId="3" hidden="1">'In transit '!#REF!</definedName>
    <definedName name="Z_50890819_A619_48D8_A69A_34B09240E47C_.wvu.FilterData" localSheetId="12" hidden="1">In_House_2019!#REF!</definedName>
    <definedName name="Z_50890819_A619_48D8_A69A_34B09240E47C_.wvu.FilterData" localSheetId="11" hidden="1">In_House_2020!#REF!</definedName>
    <definedName name="Z_50890819_A619_48D8_A69A_34B09240E47C_.wvu.FilterData" localSheetId="10" hidden="1">In_House_2021!#REF!</definedName>
    <definedName name="Z_50890819_A619_48D8_A69A_34B09240E47C_.wvu.FilterData" localSheetId="9" hidden="1">In_House_2022!#REF!</definedName>
    <definedName name="Z_50890819_A619_48D8_A69A_34B09240E47C_.wvu.FilterData" localSheetId="7" hidden="1">In_House_2023!#REF!</definedName>
    <definedName name="Z_50890819_A619_48D8_A69A_34B09240E47C_.wvu.FilterData" localSheetId="8" hidden="1">In_House_2023_old!#REF!</definedName>
    <definedName name="Z_539B0514_CD13_4147_80EE_08AAB6C52C1A_.wvu.FilterData" localSheetId="3" hidden="1">'In transit '!#REF!</definedName>
    <definedName name="Z_539B0514_CD13_4147_80EE_08AAB6C52C1A_.wvu.FilterData" localSheetId="12" hidden="1">In_House_2019!#REF!</definedName>
    <definedName name="Z_539B0514_CD13_4147_80EE_08AAB6C52C1A_.wvu.FilterData" localSheetId="11" hidden="1">In_House_2020!#REF!</definedName>
    <definedName name="Z_539B0514_CD13_4147_80EE_08AAB6C52C1A_.wvu.FilterData" localSheetId="10" hidden="1">In_House_2021!#REF!</definedName>
    <definedName name="Z_539B0514_CD13_4147_80EE_08AAB6C52C1A_.wvu.FilterData" localSheetId="9" hidden="1">In_House_2022!#REF!</definedName>
    <definedName name="Z_539B0514_CD13_4147_80EE_08AAB6C52C1A_.wvu.FilterData" localSheetId="7" hidden="1">In_House_2023!#REF!</definedName>
    <definedName name="Z_539B0514_CD13_4147_80EE_08AAB6C52C1A_.wvu.FilterData" localSheetId="8" hidden="1">In_House_2023_old!#REF!</definedName>
    <definedName name="Z_54743B2A_FEBD_4C5B_B929_48FA1AF87B14_.wvu.FilterData" localSheetId="3" hidden="1">'In transit '!#REF!</definedName>
    <definedName name="Z_54743B2A_FEBD_4C5B_B929_48FA1AF87B14_.wvu.FilterData" localSheetId="12" hidden="1">In_House_2019!#REF!</definedName>
    <definedName name="Z_54743B2A_FEBD_4C5B_B929_48FA1AF87B14_.wvu.FilterData" localSheetId="11" hidden="1">In_House_2020!#REF!</definedName>
    <definedName name="Z_54743B2A_FEBD_4C5B_B929_48FA1AF87B14_.wvu.FilterData" localSheetId="10" hidden="1">In_House_2021!#REF!</definedName>
    <definedName name="Z_54743B2A_FEBD_4C5B_B929_48FA1AF87B14_.wvu.FilterData" localSheetId="9" hidden="1">In_House_2022!#REF!</definedName>
    <definedName name="Z_54743B2A_FEBD_4C5B_B929_48FA1AF87B14_.wvu.FilterData" localSheetId="7" hidden="1">In_House_2023!#REF!</definedName>
    <definedName name="Z_54743B2A_FEBD_4C5B_B929_48FA1AF87B14_.wvu.FilterData" localSheetId="8" hidden="1">In_House_2023_old!#REF!</definedName>
    <definedName name="Z_556BBCC3_D2AE_4F57_87F6_B24EF3D7220F_.wvu.FilterData" localSheetId="3" hidden="1">'In transit '!#REF!</definedName>
    <definedName name="Z_556BBCC3_D2AE_4F57_87F6_B24EF3D7220F_.wvu.FilterData" localSheetId="12" hidden="1">In_House_2019!#REF!</definedName>
    <definedName name="Z_556BBCC3_D2AE_4F57_87F6_B24EF3D7220F_.wvu.FilterData" localSheetId="11" hidden="1">In_House_2020!#REF!</definedName>
    <definedName name="Z_556BBCC3_D2AE_4F57_87F6_B24EF3D7220F_.wvu.FilterData" localSheetId="10" hidden="1">In_House_2021!#REF!</definedName>
    <definedName name="Z_556BBCC3_D2AE_4F57_87F6_B24EF3D7220F_.wvu.FilterData" localSheetId="9" hidden="1">In_House_2022!#REF!</definedName>
    <definedName name="Z_556BBCC3_D2AE_4F57_87F6_B24EF3D7220F_.wvu.FilterData" localSheetId="7" hidden="1">In_House_2023!#REF!</definedName>
    <definedName name="Z_556BBCC3_D2AE_4F57_87F6_B24EF3D7220F_.wvu.FilterData" localSheetId="8" hidden="1">In_House_2023_old!#REF!</definedName>
    <definedName name="Z_580F5A3F_FF34_49BB_90F6_FFE6504E099F_.wvu.FilterData" localSheetId="3" hidden="1">'In transit '!#REF!</definedName>
    <definedName name="Z_580F5A3F_FF34_49BB_90F6_FFE6504E099F_.wvu.FilterData" localSheetId="12" hidden="1">In_House_2019!#REF!</definedName>
    <definedName name="Z_580F5A3F_FF34_49BB_90F6_FFE6504E099F_.wvu.FilterData" localSheetId="11" hidden="1">In_House_2020!#REF!</definedName>
    <definedName name="Z_580F5A3F_FF34_49BB_90F6_FFE6504E099F_.wvu.FilterData" localSheetId="10" hidden="1">In_House_2021!#REF!</definedName>
    <definedName name="Z_580F5A3F_FF34_49BB_90F6_FFE6504E099F_.wvu.FilterData" localSheetId="9" hidden="1">In_House_2022!#REF!</definedName>
    <definedName name="Z_580F5A3F_FF34_49BB_90F6_FFE6504E099F_.wvu.FilterData" localSheetId="7" hidden="1">In_House_2023!#REF!</definedName>
    <definedName name="Z_580F5A3F_FF34_49BB_90F6_FFE6504E099F_.wvu.FilterData" localSheetId="8" hidden="1">In_House_2023_old!#REF!</definedName>
    <definedName name="Z_58614B69_D909_4DB1_A089_3B32755B84DB_.wvu.FilterData" localSheetId="3" hidden="1">'In transit '!#REF!</definedName>
    <definedName name="Z_58614B69_D909_4DB1_A089_3B32755B84DB_.wvu.FilterData" localSheetId="12" hidden="1">In_House_2019!#REF!</definedName>
    <definedName name="Z_58614B69_D909_4DB1_A089_3B32755B84DB_.wvu.FilterData" localSheetId="11" hidden="1">In_House_2020!#REF!</definedName>
    <definedName name="Z_58614B69_D909_4DB1_A089_3B32755B84DB_.wvu.FilterData" localSheetId="10" hidden="1">In_House_2021!#REF!</definedName>
    <definedName name="Z_58614B69_D909_4DB1_A089_3B32755B84DB_.wvu.FilterData" localSheetId="9" hidden="1">In_House_2022!#REF!</definedName>
    <definedName name="Z_58614B69_D909_4DB1_A089_3B32755B84DB_.wvu.FilterData" localSheetId="7" hidden="1">In_House_2023!#REF!</definedName>
    <definedName name="Z_58614B69_D909_4DB1_A089_3B32755B84DB_.wvu.FilterData" localSheetId="8" hidden="1">In_House_2023_old!#REF!</definedName>
    <definedName name="Z_5924C060_EA6B_4FE3_82A4_4BA2305D8C00_.wvu.FilterData" localSheetId="3" hidden="1">'In transit '!#REF!</definedName>
    <definedName name="Z_5924C060_EA6B_4FE3_82A4_4BA2305D8C00_.wvu.FilterData" localSheetId="12" hidden="1">In_House_2019!#REF!</definedName>
    <definedName name="Z_5924C060_EA6B_4FE3_82A4_4BA2305D8C00_.wvu.FilterData" localSheetId="11" hidden="1">In_House_2020!#REF!</definedName>
    <definedName name="Z_5924C060_EA6B_4FE3_82A4_4BA2305D8C00_.wvu.FilterData" localSheetId="10" hidden="1">In_House_2021!#REF!</definedName>
    <definedName name="Z_5924C060_EA6B_4FE3_82A4_4BA2305D8C00_.wvu.FilterData" localSheetId="9" hidden="1">In_House_2022!#REF!</definedName>
    <definedName name="Z_5924C060_EA6B_4FE3_82A4_4BA2305D8C00_.wvu.FilterData" localSheetId="7" hidden="1">In_House_2023!#REF!</definedName>
    <definedName name="Z_5924C060_EA6B_4FE3_82A4_4BA2305D8C00_.wvu.FilterData" localSheetId="8" hidden="1">In_House_2023_old!#REF!</definedName>
    <definedName name="Z_59835694_8676_41F1_9E50_55EE2AE9CD08_.wvu.FilterData" localSheetId="3" hidden="1">'In transit '!#REF!</definedName>
    <definedName name="Z_59835694_8676_41F1_9E50_55EE2AE9CD08_.wvu.FilterData" localSheetId="12" hidden="1">In_House_2019!#REF!</definedName>
    <definedName name="Z_59835694_8676_41F1_9E50_55EE2AE9CD08_.wvu.FilterData" localSheetId="11" hidden="1">In_House_2020!#REF!</definedName>
    <definedName name="Z_59835694_8676_41F1_9E50_55EE2AE9CD08_.wvu.FilterData" localSheetId="10" hidden="1">In_House_2021!#REF!</definedName>
    <definedName name="Z_59835694_8676_41F1_9E50_55EE2AE9CD08_.wvu.FilterData" localSheetId="9" hidden="1">In_House_2022!#REF!</definedName>
    <definedName name="Z_59835694_8676_41F1_9E50_55EE2AE9CD08_.wvu.FilterData" localSheetId="7" hidden="1">In_House_2023!#REF!</definedName>
    <definedName name="Z_59835694_8676_41F1_9E50_55EE2AE9CD08_.wvu.FilterData" localSheetId="8" hidden="1">In_House_2023_old!#REF!</definedName>
    <definedName name="Z_5BFABAAC_9E67_4A28_B22B_1F340054C0FC_.wvu.FilterData" localSheetId="3" hidden="1">'In transit '!#REF!</definedName>
    <definedName name="Z_5BFABAAC_9E67_4A28_B22B_1F340054C0FC_.wvu.FilterData" localSheetId="12" hidden="1">In_House_2019!#REF!</definedName>
    <definedName name="Z_5BFABAAC_9E67_4A28_B22B_1F340054C0FC_.wvu.FilterData" localSheetId="11" hidden="1">In_House_2020!#REF!</definedName>
    <definedName name="Z_5BFABAAC_9E67_4A28_B22B_1F340054C0FC_.wvu.FilterData" localSheetId="10" hidden="1">In_House_2021!#REF!</definedName>
    <definedName name="Z_5BFABAAC_9E67_4A28_B22B_1F340054C0FC_.wvu.FilterData" localSheetId="9" hidden="1">In_House_2022!#REF!</definedName>
    <definedName name="Z_5BFABAAC_9E67_4A28_B22B_1F340054C0FC_.wvu.FilterData" localSheetId="7" hidden="1">In_House_2023!#REF!</definedName>
    <definedName name="Z_5BFABAAC_9E67_4A28_B22B_1F340054C0FC_.wvu.FilterData" localSheetId="8" hidden="1">In_House_2023_old!#REF!</definedName>
    <definedName name="Z_5CB3240F_A9CA_49C0_9612_97610CF4C7A9_.wvu.FilterData" localSheetId="3" hidden="1">'In transit '!#REF!</definedName>
    <definedName name="Z_5CB3240F_A9CA_49C0_9612_97610CF4C7A9_.wvu.FilterData" localSheetId="12" hidden="1">In_House_2019!#REF!</definedName>
    <definedName name="Z_5CB3240F_A9CA_49C0_9612_97610CF4C7A9_.wvu.FilterData" localSheetId="11" hidden="1">In_House_2020!#REF!</definedName>
    <definedName name="Z_5CB3240F_A9CA_49C0_9612_97610CF4C7A9_.wvu.FilterData" localSheetId="10" hidden="1">In_House_2021!#REF!</definedName>
    <definedName name="Z_5CB3240F_A9CA_49C0_9612_97610CF4C7A9_.wvu.FilterData" localSheetId="9" hidden="1">In_House_2022!#REF!</definedName>
    <definedName name="Z_5CB3240F_A9CA_49C0_9612_97610CF4C7A9_.wvu.FilterData" localSheetId="7" hidden="1">In_House_2023!#REF!</definedName>
    <definedName name="Z_5CB3240F_A9CA_49C0_9612_97610CF4C7A9_.wvu.FilterData" localSheetId="8" hidden="1">In_House_2023_old!#REF!</definedName>
    <definedName name="Z_5DDCB8E7_1C6C_410B_8D31_C082D0D90797_.wvu.FilterData" localSheetId="3" hidden="1">'In transit '!#REF!</definedName>
    <definedName name="Z_5DDCB8E7_1C6C_410B_8D31_C082D0D90797_.wvu.FilterData" localSheetId="12" hidden="1">In_House_2019!#REF!</definedName>
    <definedName name="Z_5DDCB8E7_1C6C_410B_8D31_C082D0D90797_.wvu.FilterData" localSheetId="11" hidden="1">In_House_2020!#REF!</definedName>
    <definedName name="Z_5DDCB8E7_1C6C_410B_8D31_C082D0D90797_.wvu.FilterData" localSheetId="10" hidden="1">In_House_2021!#REF!</definedName>
    <definedName name="Z_5DDCB8E7_1C6C_410B_8D31_C082D0D90797_.wvu.FilterData" localSheetId="9" hidden="1">In_House_2022!#REF!</definedName>
    <definedName name="Z_5DDCB8E7_1C6C_410B_8D31_C082D0D90797_.wvu.FilterData" localSheetId="7" hidden="1">In_House_2023!#REF!</definedName>
    <definedName name="Z_5DDCB8E7_1C6C_410B_8D31_C082D0D90797_.wvu.FilterData" localSheetId="8" hidden="1">In_House_2023_old!#REF!</definedName>
    <definedName name="Z_5FE3BF7A_68B0_4BB8_AFE9_695FD5218836_.wvu.FilterData" localSheetId="3" hidden="1">'In transit '!#REF!</definedName>
    <definedName name="Z_5FE3BF7A_68B0_4BB8_AFE9_695FD5218836_.wvu.FilterData" localSheetId="12" hidden="1">In_House_2019!#REF!</definedName>
    <definedName name="Z_5FE3BF7A_68B0_4BB8_AFE9_695FD5218836_.wvu.FilterData" localSheetId="11" hidden="1">In_House_2020!#REF!</definedName>
    <definedName name="Z_5FE3BF7A_68B0_4BB8_AFE9_695FD5218836_.wvu.FilterData" localSheetId="10" hidden="1">In_House_2021!#REF!</definedName>
    <definedName name="Z_5FE3BF7A_68B0_4BB8_AFE9_695FD5218836_.wvu.FilterData" localSheetId="9" hidden="1">In_House_2022!#REF!</definedName>
    <definedName name="Z_5FE3BF7A_68B0_4BB8_AFE9_695FD5218836_.wvu.FilterData" localSheetId="7" hidden="1">In_House_2023!#REF!</definedName>
    <definedName name="Z_5FE3BF7A_68B0_4BB8_AFE9_695FD5218836_.wvu.FilterData" localSheetId="8" hidden="1">In_House_2023_old!#REF!</definedName>
    <definedName name="Z_647AC06E_389D_49FD_96BE_809CAEFEB29F_.wvu.FilterData" localSheetId="3" hidden="1">'In transit '!#REF!</definedName>
    <definedName name="Z_647AC06E_389D_49FD_96BE_809CAEFEB29F_.wvu.FilterData" localSheetId="12" hidden="1">In_House_2019!#REF!</definedName>
    <definedName name="Z_647AC06E_389D_49FD_96BE_809CAEFEB29F_.wvu.FilterData" localSheetId="11" hidden="1">In_House_2020!#REF!</definedName>
    <definedName name="Z_647AC06E_389D_49FD_96BE_809CAEFEB29F_.wvu.FilterData" localSheetId="10" hidden="1">In_House_2021!#REF!</definedName>
    <definedName name="Z_647AC06E_389D_49FD_96BE_809CAEFEB29F_.wvu.FilterData" localSheetId="9" hidden="1">In_House_2022!#REF!</definedName>
    <definedName name="Z_647AC06E_389D_49FD_96BE_809CAEFEB29F_.wvu.FilterData" localSheetId="7" hidden="1">In_House_2023!#REF!</definedName>
    <definedName name="Z_647AC06E_389D_49FD_96BE_809CAEFEB29F_.wvu.FilterData" localSheetId="8" hidden="1">In_House_2023_old!#REF!</definedName>
    <definedName name="Z_6757D5A6_C648_454A_9F7F_71315C275BEC_.wvu.FilterData" localSheetId="3" hidden="1">'In transit '!#REF!</definedName>
    <definedName name="Z_6757D5A6_C648_454A_9F7F_71315C275BEC_.wvu.FilterData" localSheetId="12" hidden="1">In_House_2019!#REF!</definedName>
    <definedName name="Z_6757D5A6_C648_454A_9F7F_71315C275BEC_.wvu.FilterData" localSheetId="11" hidden="1">In_House_2020!#REF!</definedName>
    <definedName name="Z_6757D5A6_C648_454A_9F7F_71315C275BEC_.wvu.FilterData" localSheetId="10" hidden="1">In_House_2021!#REF!</definedName>
    <definedName name="Z_6757D5A6_C648_454A_9F7F_71315C275BEC_.wvu.FilterData" localSheetId="9" hidden="1">In_House_2022!#REF!</definedName>
    <definedName name="Z_6757D5A6_C648_454A_9F7F_71315C275BEC_.wvu.FilterData" localSheetId="7" hidden="1">In_House_2023!#REF!</definedName>
    <definedName name="Z_6757D5A6_C648_454A_9F7F_71315C275BEC_.wvu.FilterData" localSheetId="8" hidden="1">In_House_2023_old!#REF!</definedName>
    <definedName name="Z_67B5AF38_7275_4FBA_9993_D8FE64E49024_.wvu.FilterData" localSheetId="3" hidden="1">'In transit '!#REF!</definedName>
    <definedName name="Z_67B5AF38_7275_4FBA_9993_D8FE64E49024_.wvu.FilterData" localSheetId="12" hidden="1">In_House_2019!#REF!</definedName>
    <definedName name="Z_67B5AF38_7275_4FBA_9993_D8FE64E49024_.wvu.FilterData" localSheetId="11" hidden="1">In_House_2020!#REF!</definedName>
    <definedName name="Z_67B5AF38_7275_4FBA_9993_D8FE64E49024_.wvu.FilterData" localSheetId="10" hidden="1">In_House_2021!#REF!</definedName>
    <definedName name="Z_67B5AF38_7275_4FBA_9993_D8FE64E49024_.wvu.FilterData" localSheetId="9" hidden="1">In_House_2022!#REF!</definedName>
    <definedName name="Z_67B5AF38_7275_4FBA_9993_D8FE64E49024_.wvu.FilterData" localSheetId="7" hidden="1">In_House_2023!#REF!</definedName>
    <definedName name="Z_67B5AF38_7275_4FBA_9993_D8FE64E49024_.wvu.FilterData" localSheetId="8" hidden="1">In_House_2023_old!#REF!</definedName>
    <definedName name="Z_69BE324A_9B4C_4088_8446_87110A205260_.wvu.FilterData" localSheetId="3" hidden="1">'In transit '!#REF!</definedName>
    <definedName name="Z_69BE324A_9B4C_4088_8446_87110A205260_.wvu.FilterData" localSheetId="12" hidden="1">In_House_2019!#REF!</definedName>
    <definedName name="Z_69BE324A_9B4C_4088_8446_87110A205260_.wvu.FilterData" localSheetId="11" hidden="1">In_House_2020!#REF!</definedName>
    <definedName name="Z_69BE324A_9B4C_4088_8446_87110A205260_.wvu.FilterData" localSheetId="10" hidden="1">In_House_2021!#REF!</definedName>
    <definedName name="Z_69BE324A_9B4C_4088_8446_87110A205260_.wvu.FilterData" localSheetId="9" hidden="1">In_House_2022!#REF!</definedName>
    <definedName name="Z_69BE324A_9B4C_4088_8446_87110A205260_.wvu.FilterData" localSheetId="7" hidden="1">In_House_2023!#REF!</definedName>
    <definedName name="Z_69BE324A_9B4C_4088_8446_87110A205260_.wvu.FilterData" localSheetId="8" hidden="1">In_House_2023_old!#REF!</definedName>
    <definedName name="Z_6F78C7D7_9E5F_4414_94D8_9BEB39071709_.wvu.FilterData" localSheetId="3" hidden="1">'In transit '!#REF!</definedName>
    <definedName name="Z_6F78C7D7_9E5F_4414_94D8_9BEB39071709_.wvu.FilterData" localSheetId="12" hidden="1">In_House_2019!#REF!</definedName>
    <definedName name="Z_6F78C7D7_9E5F_4414_94D8_9BEB39071709_.wvu.FilterData" localSheetId="11" hidden="1">In_House_2020!#REF!</definedName>
    <definedName name="Z_6F78C7D7_9E5F_4414_94D8_9BEB39071709_.wvu.FilterData" localSheetId="10" hidden="1">In_House_2021!#REF!</definedName>
    <definedName name="Z_6F78C7D7_9E5F_4414_94D8_9BEB39071709_.wvu.FilterData" localSheetId="9" hidden="1">In_House_2022!#REF!</definedName>
    <definedName name="Z_6F78C7D7_9E5F_4414_94D8_9BEB39071709_.wvu.FilterData" localSheetId="7" hidden="1">In_House_2023!#REF!</definedName>
    <definedName name="Z_6F78C7D7_9E5F_4414_94D8_9BEB39071709_.wvu.FilterData" localSheetId="8" hidden="1">In_House_2023_old!#REF!</definedName>
    <definedName name="Z_6FA9CB09_B2F3_4666_8CC0_5EE78E48C4C2_.wvu.FilterData" localSheetId="3" hidden="1">'In transit '!#REF!</definedName>
    <definedName name="Z_6FA9CB09_B2F3_4666_8CC0_5EE78E48C4C2_.wvu.FilterData" localSheetId="12" hidden="1">In_House_2019!#REF!</definedName>
    <definedName name="Z_6FA9CB09_B2F3_4666_8CC0_5EE78E48C4C2_.wvu.FilterData" localSheetId="11" hidden="1">In_House_2020!#REF!</definedName>
    <definedName name="Z_6FA9CB09_B2F3_4666_8CC0_5EE78E48C4C2_.wvu.FilterData" localSheetId="10" hidden="1">In_House_2021!#REF!</definedName>
    <definedName name="Z_6FA9CB09_B2F3_4666_8CC0_5EE78E48C4C2_.wvu.FilterData" localSheetId="9" hidden="1">In_House_2022!#REF!</definedName>
    <definedName name="Z_6FA9CB09_B2F3_4666_8CC0_5EE78E48C4C2_.wvu.FilterData" localSheetId="7" hidden="1">In_House_2023!#REF!</definedName>
    <definedName name="Z_6FA9CB09_B2F3_4666_8CC0_5EE78E48C4C2_.wvu.FilterData" localSheetId="8" hidden="1">In_House_2023_old!#REF!</definedName>
    <definedName name="Z_72321D0F_999B_4D8A_BFEC_FAA62D9442E7_.wvu.FilterData" localSheetId="3" hidden="1">'In transit '!#REF!</definedName>
    <definedName name="Z_72321D0F_999B_4D8A_BFEC_FAA62D9442E7_.wvu.FilterData" localSheetId="12" hidden="1">In_House_2019!#REF!</definedName>
    <definedName name="Z_72321D0F_999B_4D8A_BFEC_FAA62D9442E7_.wvu.FilterData" localSheetId="11" hidden="1">In_House_2020!#REF!</definedName>
    <definedName name="Z_72321D0F_999B_4D8A_BFEC_FAA62D9442E7_.wvu.FilterData" localSheetId="10" hidden="1">In_House_2021!#REF!</definedName>
    <definedName name="Z_72321D0F_999B_4D8A_BFEC_FAA62D9442E7_.wvu.FilterData" localSheetId="9" hidden="1">In_House_2022!#REF!</definedName>
    <definedName name="Z_72321D0F_999B_4D8A_BFEC_FAA62D9442E7_.wvu.FilterData" localSheetId="7" hidden="1">In_House_2023!#REF!</definedName>
    <definedName name="Z_72321D0F_999B_4D8A_BFEC_FAA62D9442E7_.wvu.FilterData" localSheetId="8" hidden="1">In_House_2023_old!#REF!</definedName>
    <definedName name="Z_72688676_229A_4499_A3A0_B8FEA35ED680_.wvu.FilterData" localSheetId="3" hidden="1">'In transit '!#REF!</definedName>
    <definedName name="Z_72688676_229A_4499_A3A0_B8FEA35ED680_.wvu.FilterData" localSheetId="12" hidden="1">In_House_2019!#REF!</definedName>
    <definedName name="Z_72688676_229A_4499_A3A0_B8FEA35ED680_.wvu.FilterData" localSheetId="11" hidden="1">In_House_2020!#REF!</definedName>
    <definedName name="Z_72688676_229A_4499_A3A0_B8FEA35ED680_.wvu.FilterData" localSheetId="10" hidden="1">In_House_2021!#REF!</definedName>
    <definedName name="Z_72688676_229A_4499_A3A0_B8FEA35ED680_.wvu.FilterData" localSheetId="9" hidden="1">In_House_2022!#REF!</definedName>
    <definedName name="Z_72688676_229A_4499_A3A0_B8FEA35ED680_.wvu.FilterData" localSheetId="7" hidden="1">In_House_2023!#REF!</definedName>
    <definedName name="Z_72688676_229A_4499_A3A0_B8FEA35ED680_.wvu.FilterData" localSheetId="8" hidden="1">In_House_2023_old!#REF!</definedName>
    <definedName name="Z_737B1B74_A15D_4372_A92B_22C1B1EB3690_.wvu.FilterData" localSheetId="2" hidden="1">DAs!$A$2:$M$14</definedName>
    <definedName name="Z_737B1B74_A15D_4372_A92B_22C1B1EB3690_.wvu.FilterData" localSheetId="4" hidden="1">'In House'!$A$1:$AV$613</definedName>
    <definedName name="Z_737B1B74_A15D_4372_A92B_22C1B1EB3690_.wvu.FilterData" localSheetId="6" hidden="1">'In house - diversos'!$B$1:$K$113</definedName>
    <definedName name="Z_737B1B74_A15D_4372_A92B_22C1B1EB3690_.wvu.FilterData" localSheetId="5" hidden="1">'In House - NEs'!$A$1:$F$49</definedName>
    <definedName name="Z_737B1B74_A15D_4372_A92B_22C1B1EB3690_.wvu.FilterData" localSheetId="3" hidden="1">'In transit '!#REF!</definedName>
    <definedName name="Z_737B1B74_A15D_4372_A92B_22C1B1EB3690_.wvu.FilterData" localSheetId="12" hidden="1">In_House_2019!#REF!</definedName>
    <definedName name="Z_737B1B74_A15D_4372_A92B_22C1B1EB3690_.wvu.FilterData" localSheetId="11" hidden="1">In_House_2020!#REF!</definedName>
    <definedName name="Z_737B1B74_A15D_4372_A92B_22C1B1EB3690_.wvu.FilterData" localSheetId="10" hidden="1">In_House_2021!#REF!</definedName>
    <definedName name="Z_737B1B74_A15D_4372_A92B_22C1B1EB3690_.wvu.FilterData" localSheetId="9" hidden="1">In_House_2022!#REF!</definedName>
    <definedName name="Z_737B1B74_A15D_4372_A92B_22C1B1EB3690_.wvu.FilterData" localSheetId="7" hidden="1">In_House_2023!#REF!</definedName>
    <definedName name="Z_737B1B74_A15D_4372_A92B_22C1B1EB3690_.wvu.FilterData" localSheetId="8" hidden="1">In_House_2023_old!#REF!</definedName>
    <definedName name="Z_737B1B74_A15D_4372_A92B_22C1B1EB3690_.wvu.FilterData" localSheetId="1" hidden="1">NEs!$A$1:$AI$1</definedName>
    <definedName name="Z_73837BFA_378F_45C7_BAE1_75690C149E3F_.wvu.FilterData" localSheetId="3" hidden="1">'In transit '!#REF!</definedName>
    <definedName name="Z_73837BFA_378F_45C7_BAE1_75690C149E3F_.wvu.FilterData" localSheetId="12" hidden="1">In_House_2019!#REF!</definedName>
    <definedName name="Z_73837BFA_378F_45C7_BAE1_75690C149E3F_.wvu.FilterData" localSheetId="11" hidden="1">In_House_2020!#REF!</definedName>
    <definedName name="Z_73837BFA_378F_45C7_BAE1_75690C149E3F_.wvu.FilterData" localSheetId="10" hidden="1">In_House_2021!#REF!</definedName>
    <definedName name="Z_73837BFA_378F_45C7_BAE1_75690C149E3F_.wvu.FilterData" localSheetId="9" hidden="1">In_House_2022!#REF!</definedName>
    <definedName name="Z_73837BFA_378F_45C7_BAE1_75690C149E3F_.wvu.FilterData" localSheetId="7" hidden="1">In_House_2023!#REF!</definedName>
    <definedName name="Z_73837BFA_378F_45C7_BAE1_75690C149E3F_.wvu.FilterData" localSheetId="8" hidden="1">In_House_2023_old!#REF!</definedName>
    <definedName name="Z_760D918D_DBBF_4FDA_AB8C_FBC7D0D9177D_.wvu.FilterData" localSheetId="3" hidden="1">'In transit '!#REF!</definedName>
    <definedName name="Z_760D918D_DBBF_4FDA_AB8C_FBC7D0D9177D_.wvu.FilterData" localSheetId="12" hidden="1">In_House_2019!#REF!</definedName>
    <definedName name="Z_760D918D_DBBF_4FDA_AB8C_FBC7D0D9177D_.wvu.FilterData" localSheetId="11" hidden="1">In_House_2020!#REF!</definedName>
    <definedName name="Z_760D918D_DBBF_4FDA_AB8C_FBC7D0D9177D_.wvu.FilterData" localSheetId="10" hidden="1">In_House_2021!#REF!</definedName>
    <definedName name="Z_760D918D_DBBF_4FDA_AB8C_FBC7D0D9177D_.wvu.FilterData" localSheetId="9" hidden="1">In_House_2022!#REF!</definedName>
    <definedName name="Z_760D918D_DBBF_4FDA_AB8C_FBC7D0D9177D_.wvu.FilterData" localSheetId="7" hidden="1">In_House_2023!#REF!</definedName>
    <definedName name="Z_760D918D_DBBF_4FDA_AB8C_FBC7D0D9177D_.wvu.FilterData" localSheetId="8" hidden="1">In_House_2023_old!#REF!</definedName>
    <definedName name="Z_79EC103F_22F0_4FF8_87A7_2E56AB9298DE_.wvu.FilterData" localSheetId="3" hidden="1">'In transit '!#REF!</definedName>
    <definedName name="Z_79EC103F_22F0_4FF8_87A7_2E56AB9298DE_.wvu.FilterData" localSheetId="12" hidden="1">In_House_2019!#REF!</definedName>
    <definedName name="Z_79EC103F_22F0_4FF8_87A7_2E56AB9298DE_.wvu.FilterData" localSheetId="11" hidden="1">In_House_2020!#REF!</definedName>
    <definedName name="Z_79EC103F_22F0_4FF8_87A7_2E56AB9298DE_.wvu.FilterData" localSheetId="10" hidden="1">In_House_2021!#REF!</definedName>
    <definedName name="Z_79EC103F_22F0_4FF8_87A7_2E56AB9298DE_.wvu.FilterData" localSheetId="9" hidden="1">In_House_2022!#REF!</definedName>
    <definedName name="Z_79EC103F_22F0_4FF8_87A7_2E56AB9298DE_.wvu.FilterData" localSheetId="7" hidden="1">In_House_2023!#REF!</definedName>
    <definedName name="Z_79EC103F_22F0_4FF8_87A7_2E56AB9298DE_.wvu.FilterData" localSheetId="8" hidden="1">In_House_2023_old!#REF!</definedName>
    <definedName name="Z_7BD467A7_6415_4645_A82A_CAE57443CC2B_.wvu.FilterData" localSheetId="3" hidden="1">'In transit '!#REF!</definedName>
    <definedName name="Z_7BD467A7_6415_4645_A82A_CAE57443CC2B_.wvu.FilterData" localSheetId="12" hidden="1">In_House_2019!#REF!</definedName>
    <definedName name="Z_7BD467A7_6415_4645_A82A_CAE57443CC2B_.wvu.FilterData" localSheetId="11" hidden="1">In_House_2020!#REF!</definedName>
    <definedName name="Z_7BD467A7_6415_4645_A82A_CAE57443CC2B_.wvu.FilterData" localSheetId="10" hidden="1">In_House_2021!#REF!</definedName>
    <definedName name="Z_7BD467A7_6415_4645_A82A_CAE57443CC2B_.wvu.FilterData" localSheetId="9" hidden="1">In_House_2022!#REF!</definedName>
    <definedName name="Z_7BD467A7_6415_4645_A82A_CAE57443CC2B_.wvu.FilterData" localSheetId="7" hidden="1">In_House_2023!#REF!</definedName>
    <definedName name="Z_7BD467A7_6415_4645_A82A_CAE57443CC2B_.wvu.FilterData" localSheetId="8" hidden="1">In_House_2023_old!#REF!</definedName>
    <definedName name="Z_7E6A6EB5_48D9_4CF9_BD8A_4CA29C01C65C_.wvu.FilterData" localSheetId="3" hidden="1">'In transit '!#REF!</definedName>
    <definedName name="Z_7E6A6EB5_48D9_4CF9_BD8A_4CA29C01C65C_.wvu.FilterData" localSheetId="12" hidden="1">In_House_2019!#REF!</definedName>
    <definedName name="Z_7E6A6EB5_48D9_4CF9_BD8A_4CA29C01C65C_.wvu.FilterData" localSheetId="11" hidden="1">In_House_2020!#REF!</definedName>
    <definedName name="Z_7E6A6EB5_48D9_4CF9_BD8A_4CA29C01C65C_.wvu.FilterData" localSheetId="10" hidden="1">In_House_2021!#REF!</definedName>
    <definedName name="Z_7E6A6EB5_48D9_4CF9_BD8A_4CA29C01C65C_.wvu.FilterData" localSheetId="9" hidden="1">In_House_2022!#REF!</definedName>
    <definedName name="Z_7E6A6EB5_48D9_4CF9_BD8A_4CA29C01C65C_.wvu.FilterData" localSheetId="7" hidden="1">In_House_2023!#REF!</definedName>
    <definedName name="Z_7E6A6EB5_48D9_4CF9_BD8A_4CA29C01C65C_.wvu.FilterData" localSheetId="8" hidden="1">In_House_2023_old!#REF!</definedName>
    <definedName name="Z_7F9B3F69_BBCF_46D3_BD4A_73632F138926_.wvu.FilterData" localSheetId="3" hidden="1">'In transit '!#REF!</definedName>
    <definedName name="Z_7F9B3F69_BBCF_46D3_BD4A_73632F138926_.wvu.FilterData" localSheetId="12" hidden="1">In_House_2019!#REF!</definedName>
    <definedName name="Z_7F9B3F69_BBCF_46D3_BD4A_73632F138926_.wvu.FilterData" localSheetId="11" hidden="1">In_House_2020!#REF!</definedName>
    <definedName name="Z_7F9B3F69_BBCF_46D3_BD4A_73632F138926_.wvu.FilterData" localSheetId="10" hidden="1">In_House_2021!#REF!</definedName>
    <definedName name="Z_7F9B3F69_BBCF_46D3_BD4A_73632F138926_.wvu.FilterData" localSheetId="9" hidden="1">In_House_2022!#REF!</definedName>
    <definedName name="Z_7F9B3F69_BBCF_46D3_BD4A_73632F138926_.wvu.FilterData" localSheetId="7" hidden="1">In_House_2023!#REF!</definedName>
    <definedName name="Z_7F9B3F69_BBCF_46D3_BD4A_73632F138926_.wvu.FilterData" localSheetId="8" hidden="1">In_House_2023_old!#REF!</definedName>
    <definedName name="Z_817E0E59_7320_4D94_9902_B675DB1D0CDA_.wvu.FilterData" localSheetId="3" hidden="1">'In transit '!#REF!</definedName>
    <definedName name="Z_817E0E59_7320_4D94_9902_B675DB1D0CDA_.wvu.FilterData" localSheetId="12" hidden="1">In_House_2019!#REF!</definedName>
    <definedName name="Z_817E0E59_7320_4D94_9902_B675DB1D0CDA_.wvu.FilterData" localSheetId="11" hidden="1">In_House_2020!#REF!</definedName>
    <definedName name="Z_817E0E59_7320_4D94_9902_B675DB1D0CDA_.wvu.FilterData" localSheetId="10" hidden="1">In_House_2021!#REF!</definedName>
    <definedName name="Z_817E0E59_7320_4D94_9902_B675DB1D0CDA_.wvu.FilterData" localSheetId="9" hidden="1">In_House_2022!#REF!</definedName>
    <definedName name="Z_817E0E59_7320_4D94_9902_B675DB1D0CDA_.wvu.FilterData" localSheetId="7" hidden="1">In_House_2023!#REF!</definedName>
    <definedName name="Z_817E0E59_7320_4D94_9902_B675DB1D0CDA_.wvu.FilterData" localSheetId="8" hidden="1">In_House_2023_old!#REF!</definedName>
    <definedName name="Z_829C4556_6F56_4013_953C_42A5354C5F04_.wvu.FilterData" localSheetId="3" hidden="1">'In transit '!#REF!</definedName>
    <definedName name="Z_829C4556_6F56_4013_953C_42A5354C5F04_.wvu.FilterData" localSheetId="12" hidden="1">In_House_2019!#REF!</definedName>
    <definedName name="Z_829C4556_6F56_4013_953C_42A5354C5F04_.wvu.FilterData" localSheetId="11" hidden="1">In_House_2020!#REF!</definedName>
    <definedName name="Z_829C4556_6F56_4013_953C_42A5354C5F04_.wvu.FilterData" localSheetId="10" hidden="1">In_House_2021!#REF!</definedName>
    <definedName name="Z_829C4556_6F56_4013_953C_42A5354C5F04_.wvu.FilterData" localSheetId="9" hidden="1">In_House_2022!#REF!</definedName>
    <definedName name="Z_829C4556_6F56_4013_953C_42A5354C5F04_.wvu.FilterData" localSheetId="7" hidden="1">In_House_2023!#REF!</definedName>
    <definedName name="Z_829C4556_6F56_4013_953C_42A5354C5F04_.wvu.FilterData" localSheetId="8" hidden="1">In_House_2023_old!#REF!</definedName>
    <definedName name="Z_83FE8B7F_9D64_4FC4_8E29_B4A2CB0E0DE6_.wvu.FilterData" localSheetId="3" hidden="1">'In transit '!#REF!</definedName>
    <definedName name="Z_83FE8B7F_9D64_4FC4_8E29_B4A2CB0E0DE6_.wvu.FilterData" localSheetId="12" hidden="1">In_House_2019!#REF!</definedName>
    <definedName name="Z_83FE8B7F_9D64_4FC4_8E29_B4A2CB0E0DE6_.wvu.FilterData" localSheetId="11" hidden="1">In_House_2020!#REF!</definedName>
    <definedName name="Z_83FE8B7F_9D64_4FC4_8E29_B4A2CB0E0DE6_.wvu.FilterData" localSheetId="10" hidden="1">In_House_2021!#REF!</definedName>
    <definedName name="Z_83FE8B7F_9D64_4FC4_8E29_B4A2CB0E0DE6_.wvu.FilterData" localSheetId="9" hidden="1">In_House_2022!#REF!</definedName>
    <definedName name="Z_83FE8B7F_9D64_4FC4_8E29_B4A2CB0E0DE6_.wvu.FilterData" localSheetId="7" hidden="1">In_House_2023!#REF!</definedName>
    <definedName name="Z_83FE8B7F_9D64_4FC4_8E29_B4A2CB0E0DE6_.wvu.FilterData" localSheetId="8" hidden="1">In_House_2023_old!#REF!</definedName>
    <definedName name="Z_84F066C8_01CC_4E9D_9735_C1AE52F75C08_.wvu.FilterData" localSheetId="3" hidden="1">'In transit '!#REF!</definedName>
    <definedName name="Z_84F066C8_01CC_4E9D_9735_C1AE52F75C08_.wvu.FilterData" localSheetId="12" hidden="1">In_House_2019!#REF!</definedName>
    <definedName name="Z_84F066C8_01CC_4E9D_9735_C1AE52F75C08_.wvu.FilterData" localSheetId="11" hidden="1">In_House_2020!#REF!</definedName>
    <definedName name="Z_84F066C8_01CC_4E9D_9735_C1AE52F75C08_.wvu.FilterData" localSheetId="10" hidden="1">In_House_2021!#REF!</definedName>
    <definedName name="Z_84F066C8_01CC_4E9D_9735_C1AE52F75C08_.wvu.FilterData" localSheetId="9" hidden="1">In_House_2022!#REF!</definedName>
    <definedName name="Z_84F066C8_01CC_4E9D_9735_C1AE52F75C08_.wvu.FilterData" localSheetId="7" hidden="1">In_House_2023!#REF!</definedName>
    <definedName name="Z_84F066C8_01CC_4E9D_9735_C1AE52F75C08_.wvu.FilterData" localSheetId="8" hidden="1">In_House_2023_old!#REF!</definedName>
    <definedName name="Z_858D93A4_90D4_46D2_B9D6_2DE7F159992C_.wvu.FilterData" localSheetId="3" hidden="1">'In transit '!#REF!</definedName>
    <definedName name="Z_858D93A4_90D4_46D2_B9D6_2DE7F159992C_.wvu.FilterData" localSheetId="12" hidden="1">In_House_2019!#REF!</definedName>
    <definedName name="Z_858D93A4_90D4_46D2_B9D6_2DE7F159992C_.wvu.FilterData" localSheetId="11" hidden="1">In_House_2020!#REF!</definedName>
    <definedName name="Z_858D93A4_90D4_46D2_B9D6_2DE7F159992C_.wvu.FilterData" localSheetId="10" hidden="1">In_House_2021!#REF!</definedName>
    <definedName name="Z_858D93A4_90D4_46D2_B9D6_2DE7F159992C_.wvu.FilterData" localSheetId="9" hidden="1">In_House_2022!#REF!</definedName>
    <definedName name="Z_858D93A4_90D4_46D2_B9D6_2DE7F159992C_.wvu.FilterData" localSheetId="7" hidden="1">In_House_2023!#REF!</definedName>
    <definedName name="Z_858D93A4_90D4_46D2_B9D6_2DE7F159992C_.wvu.FilterData" localSheetId="8" hidden="1">In_House_2023_old!#REF!</definedName>
    <definedName name="Z_8B10F89C_F821_4076_A887_94D3C303A926_.wvu.FilterData" localSheetId="3" hidden="1">'In transit '!#REF!</definedName>
    <definedName name="Z_8B10F89C_F821_4076_A887_94D3C303A926_.wvu.FilterData" localSheetId="12" hidden="1">In_House_2019!#REF!</definedName>
    <definedName name="Z_8B10F89C_F821_4076_A887_94D3C303A926_.wvu.FilterData" localSheetId="11" hidden="1">In_House_2020!#REF!</definedName>
    <definedName name="Z_8B10F89C_F821_4076_A887_94D3C303A926_.wvu.FilterData" localSheetId="10" hidden="1">In_House_2021!#REF!</definedName>
    <definedName name="Z_8B10F89C_F821_4076_A887_94D3C303A926_.wvu.FilterData" localSheetId="9" hidden="1">In_House_2022!#REF!</definedName>
    <definedName name="Z_8B10F89C_F821_4076_A887_94D3C303A926_.wvu.FilterData" localSheetId="7" hidden="1">In_House_2023!#REF!</definedName>
    <definedName name="Z_8B10F89C_F821_4076_A887_94D3C303A926_.wvu.FilterData" localSheetId="8" hidden="1">In_House_2023_old!#REF!</definedName>
    <definedName name="Z_8B2686F6_DF5C_4219_BE07_1473491FE04A_.wvu.FilterData" localSheetId="3" hidden="1">'In transit '!#REF!</definedName>
    <definedName name="Z_8B2686F6_DF5C_4219_BE07_1473491FE04A_.wvu.FilterData" localSheetId="12" hidden="1">In_House_2019!#REF!</definedName>
    <definedName name="Z_8B2686F6_DF5C_4219_BE07_1473491FE04A_.wvu.FilterData" localSheetId="11" hidden="1">In_House_2020!#REF!</definedName>
    <definedName name="Z_8B2686F6_DF5C_4219_BE07_1473491FE04A_.wvu.FilterData" localSheetId="10" hidden="1">In_House_2021!#REF!</definedName>
    <definedName name="Z_8B2686F6_DF5C_4219_BE07_1473491FE04A_.wvu.FilterData" localSheetId="9" hidden="1">In_House_2022!#REF!</definedName>
    <definedName name="Z_8B2686F6_DF5C_4219_BE07_1473491FE04A_.wvu.FilterData" localSheetId="7" hidden="1">In_House_2023!#REF!</definedName>
    <definedName name="Z_8B2686F6_DF5C_4219_BE07_1473491FE04A_.wvu.FilterData" localSheetId="8" hidden="1">In_House_2023_old!#REF!</definedName>
    <definedName name="Z_8E85BE8C_D137_4077_BC66_0C5F80584899_.wvu.FilterData" localSheetId="3" hidden="1">'In transit '!#REF!</definedName>
    <definedName name="Z_8E85BE8C_D137_4077_BC66_0C5F80584899_.wvu.FilterData" localSheetId="12" hidden="1">In_House_2019!#REF!</definedName>
    <definedName name="Z_8E85BE8C_D137_4077_BC66_0C5F80584899_.wvu.FilterData" localSheetId="11" hidden="1">In_House_2020!#REF!</definedName>
    <definedName name="Z_8E85BE8C_D137_4077_BC66_0C5F80584899_.wvu.FilterData" localSheetId="10" hidden="1">In_House_2021!#REF!</definedName>
    <definedName name="Z_8E85BE8C_D137_4077_BC66_0C5F80584899_.wvu.FilterData" localSheetId="9" hidden="1">In_House_2022!#REF!</definedName>
    <definedName name="Z_8E85BE8C_D137_4077_BC66_0C5F80584899_.wvu.FilterData" localSheetId="7" hidden="1">In_House_2023!#REF!</definedName>
    <definedName name="Z_8E85BE8C_D137_4077_BC66_0C5F80584899_.wvu.FilterData" localSheetId="8" hidden="1">In_House_2023_old!#REF!</definedName>
    <definedName name="Z_8FE2D47B_0E59_4D19_A2DA_A420176425F0_.wvu.FilterData" localSheetId="2" hidden="1">DAs!$A$2:$M$14</definedName>
    <definedName name="Z_8FE2D47B_0E59_4D19_A2DA_A420176425F0_.wvu.FilterData" localSheetId="4" hidden="1">'In House'!$A$1:$AV$613</definedName>
    <definedName name="Z_8FE2D47B_0E59_4D19_A2DA_A420176425F0_.wvu.FilterData" localSheetId="6" hidden="1">'In house - diversos'!$B$1:$K$113</definedName>
    <definedName name="Z_8FE2D47B_0E59_4D19_A2DA_A420176425F0_.wvu.FilterData" localSheetId="5" hidden="1">'In House - NEs'!$A$1:$F$64</definedName>
    <definedName name="Z_8FE2D47B_0E59_4D19_A2DA_A420176425F0_.wvu.FilterData" localSheetId="3" hidden="1">'In transit '!#REF!</definedName>
    <definedName name="Z_8FE2D47B_0E59_4D19_A2DA_A420176425F0_.wvu.FilterData" localSheetId="12" hidden="1">In_House_2019!#REF!</definedName>
    <definedName name="Z_8FE2D47B_0E59_4D19_A2DA_A420176425F0_.wvu.FilterData" localSheetId="11" hidden="1">In_House_2020!#REF!</definedName>
    <definedName name="Z_8FE2D47B_0E59_4D19_A2DA_A420176425F0_.wvu.FilterData" localSheetId="10" hidden="1">In_House_2021!#REF!</definedName>
    <definedName name="Z_8FE2D47B_0E59_4D19_A2DA_A420176425F0_.wvu.FilterData" localSheetId="9" hidden="1">In_House_2022!#REF!</definedName>
    <definedName name="Z_8FE2D47B_0E59_4D19_A2DA_A420176425F0_.wvu.FilterData" localSheetId="7" hidden="1">In_House_2023!#REF!</definedName>
    <definedName name="Z_8FE2D47B_0E59_4D19_A2DA_A420176425F0_.wvu.FilterData" localSheetId="8" hidden="1">In_House_2023_old!#REF!</definedName>
    <definedName name="Z_8FE2D47B_0E59_4D19_A2DA_A420176425F0_.wvu.FilterData" localSheetId="1" hidden="1">NEs!$A$1:$AI$1</definedName>
    <definedName name="Z_90F0B68A_2803_42F5_AEDA_278CB9BD16C0_.wvu.FilterData" localSheetId="3" hidden="1">'In transit '!#REF!</definedName>
    <definedName name="Z_90F0B68A_2803_42F5_AEDA_278CB9BD16C0_.wvu.FilterData" localSheetId="12" hidden="1">In_House_2019!#REF!</definedName>
    <definedName name="Z_90F0B68A_2803_42F5_AEDA_278CB9BD16C0_.wvu.FilterData" localSheetId="11" hidden="1">In_House_2020!#REF!</definedName>
    <definedName name="Z_90F0B68A_2803_42F5_AEDA_278CB9BD16C0_.wvu.FilterData" localSheetId="10" hidden="1">In_House_2021!#REF!</definedName>
    <definedName name="Z_90F0B68A_2803_42F5_AEDA_278CB9BD16C0_.wvu.FilterData" localSheetId="9" hidden="1">In_House_2022!#REF!</definedName>
    <definedName name="Z_90F0B68A_2803_42F5_AEDA_278CB9BD16C0_.wvu.FilterData" localSheetId="7" hidden="1">In_House_2023!#REF!</definedName>
    <definedName name="Z_90F0B68A_2803_42F5_AEDA_278CB9BD16C0_.wvu.FilterData" localSheetId="8" hidden="1">In_House_2023_old!#REF!</definedName>
    <definedName name="Z_92C8B621_B955_44EA_98A0_D91842C9E206_.wvu.FilterData" localSheetId="3" hidden="1">'In transit '!#REF!</definedName>
    <definedName name="Z_92C8B621_B955_44EA_98A0_D91842C9E206_.wvu.FilterData" localSheetId="12" hidden="1">In_House_2019!#REF!</definedName>
    <definedName name="Z_92C8B621_B955_44EA_98A0_D91842C9E206_.wvu.FilterData" localSheetId="11" hidden="1">In_House_2020!#REF!</definedName>
    <definedName name="Z_92C8B621_B955_44EA_98A0_D91842C9E206_.wvu.FilterData" localSheetId="10" hidden="1">In_House_2021!#REF!</definedName>
    <definedName name="Z_92C8B621_B955_44EA_98A0_D91842C9E206_.wvu.FilterData" localSheetId="9" hidden="1">In_House_2022!#REF!</definedName>
    <definedName name="Z_92C8B621_B955_44EA_98A0_D91842C9E206_.wvu.FilterData" localSheetId="7" hidden="1">In_House_2023!#REF!</definedName>
    <definedName name="Z_92C8B621_B955_44EA_98A0_D91842C9E206_.wvu.FilterData" localSheetId="8" hidden="1">In_House_2023_old!#REF!</definedName>
    <definedName name="Z_939CC58B_95A8_4D2F_B0BC_EE2578CBE954_.wvu.FilterData" localSheetId="3" hidden="1">'In transit '!#REF!</definedName>
    <definedName name="Z_939CC58B_95A8_4D2F_B0BC_EE2578CBE954_.wvu.FilterData" localSheetId="12" hidden="1">In_House_2019!#REF!</definedName>
    <definedName name="Z_939CC58B_95A8_4D2F_B0BC_EE2578CBE954_.wvu.FilterData" localSheetId="11" hidden="1">In_House_2020!#REF!</definedName>
    <definedName name="Z_939CC58B_95A8_4D2F_B0BC_EE2578CBE954_.wvu.FilterData" localSheetId="10" hidden="1">In_House_2021!#REF!</definedName>
    <definedName name="Z_939CC58B_95A8_4D2F_B0BC_EE2578CBE954_.wvu.FilterData" localSheetId="9" hidden="1">In_House_2022!#REF!</definedName>
    <definedName name="Z_939CC58B_95A8_4D2F_B0BC_EE2578CBE954_.wvu.FilterData" localSheetId="7" hidden="1">In_House_2023!#REF!</definedName>
    <definedName name="Z_939CC58B_95A8_4D2F_B0BC_EE2578CBE954_.wvu.FilterData" localSheetId="8" hidden="1">In_House_2023_old!#REF!</definedName>
    <definedName name="Z_97C9168A_C426_4A2F_8B0E_B200D90B4382_.wvu.FilterData" localSheetId="3" hidden="1">'In transit '!#REF!</definedName>
    <definedName name="Z_97C9168A_C426_4A2F_8B0E_B200D90B4382_.wvu.FilterData" localSheetId="12" hidden="1">In_House_2019!#REF!</definedName>
    <definedName name="Z_97C9168A_C426_4A2F_8B0E_B200D90B4382_.wvu.FilterData" localSheetId="11" hidden="1">In_House_2020!#REF!</definedName>
    <definedName name="Z_97C9168A_C426_4A2F_8B0E_B200D90B4382_.wvu.FilterData" localSheetId="10" hidden="1">In_House_2021!#REF!</definedName>
    <definedName name="Z_97C9168A_C426_4A2F_8B0E_B200D90B4382_.wvu.FilterData" localSheetId="9" hidden="1">In_House_2022!#REF!</definedName>
    <definedName name="Z_97C9168A_C426_4A2F_8B0E_B200D90B4382_.wvu.FilterData" localSheetId="7" hidden="1">In_House_2023!#REF!</definedName>
    <definedName name="Z_97C9168A_C426_4A2F_8B0E_B200D90B4382_.wvu.FilterData" localSheetId="8" hidden="1">In_House_2023_old!#REF!</definedName>
    <definedName name="Z_98571A5C_59B6_4FBE_86E4_C1FF08A478F7_.wvu.FilterData" localSheetId="3" hidden="1">'In transit '!#REF!</definedName>
    <definedName name="Z_98571A5C_59B6_4FBE_86E4_C1FF08A478F7_.wvu.FilterData" localSheetId="12" hidden="1">In_House_2019!#REF!</definedName>
    <definedName name="Z_98571A5C_59B6_4FBE_86E4_C1FF08A478F7_.wvu.FilterData" localSheetId="11" hidden="1">In_House_2020!#REF!</definedName>
    <definedName name="Z_98571A5C_59B6_4FBE_86E4_C1FF08A478F7_.wvu.FilterData" localSheetId="10" hidden="1">In_House_2021!#REF!</definedName>
    <definedName name="Z_98571A5C_59B6_4FBE_86E4_C1FF08A478F7_.wvu.FilterData" localSheetId="9" hidden="1">In_House_2022!#REF!</definedName>
    <definedName name="Z_98571A5C_59B6_4FBE_86E4_C1FF08A478F7_.wvu.FilterData" localSheetId="7" hidden="1">In_House_2023!#REF!</definedName>
    <definedName name="Z_98571A5C_59B6_4FBE_86E4_C1FF08A478F7_.wvu.FilterData" localSheetId="8" hidden="1">In_House_2023_old!#REF!</definedName>
    <definedName name="Z_9AEC1F28_3B06_475F_8D8C_8F831D6A3AB3_.wvu.FilterData" localSheetId="3" hidden="1">'In transit '!#REF!</definedName>
    <definedName name="Z_9AEC1F28_3B06_475F_8D8C_8F831D6A3AB3_.wvu.FilterData" localSheetId="12" hidden="1">In_House_2019!#REF!</definedName>
    <definedName name="Z_9AEC1F28_3B06_475F_8D8C_8F831D6A3AB3_.wvu.FilterData" localSheetId="11" hidden="1">In_House_2020!#REF!</definedName>
    <definedName name="Z_9AEC1F28_3B06_475F_8D8C_8F831D6A3AB3_.wvu.FilterData" localSheetId="10" hidden="1">In_House_2021!#REF!</definedName>
    <definedName name="Z_9AEC1F28_3B06_475F_8D8C_8F831D6A3AB3_.wvu.FilterData" localSheetId="9" hidden="1">In_House_2022!#REF!</definedName>
    <definedName name="Z_9AEC1F28_3B06_475F_8D8C_8F831D6A3AB3_.wvu.FilterData" localSheetId="7" hidden="1">In_House_2023!#REF!</definedName>
    <definedName name="Z_9AEC1F28_3B06_475F_8D8C_8F831D6A3AB3_.wvu.FilterData" localSheetId="8" hidden="1">In_House_2023_old!#REF!</definedName>
    <definedName name="Z_9B4015F3_8C2F_4389_A554_6DBD78465AFD_.wvu.FilterData" localSheetId="3" hidden="1">'In transit '!#REF!</definedName>
    <definedName name="Z_9B4015F3_8C2F_4389_A554_6DBD78465AFD_.wvu.FilterData" localSheetId="12" hidden="1">In_House_2019!#REF!</definedName>
    <definedName name="Z_9B4015F3_8C2F_4389_A554_6DBD78465AFD_.wvu.FilterData" localSheetId="11" hidden="1">In_House_2020!#REF!</definedName>
    <definedName name="Z_9B4015F3_8C2F_4389_A554_6DBD78465AFD_.wvu.FilterData" localSheetId="10" hidden="1">In_House_2021!#REF!</definedName>
    <definedName name="Z_9B4015F3_8C2F_4389_A554_6DBD78465AFD_.wvu.FilterData" localSheetId="9" hidden="1">In_House_2022!#REF!</definedName>
    <definedName name="Z_9B4015F3_8C2F_4389_A554_6DBD78465AFD_.wvu.FilterData" localSheetId="7" hidden="1">In_House_2023!#REF!</definedName>
    <definedName name="Z_9B4015F3_8C2F_4389_A554_6DBD78465AFD_.wvu.FilterData" localSheetId="8" hidden="1">In_House_2023_old!#REF!</definedName>
    <definedName name="Z_9BFDA40F_0250_4A38_A2D4_AE5CF0F16433_.wvu.FilterData" localSheetId="3" hidden="1">'In transit '!#REF!</definedName>
    <definedName name="Z_9BFDA40F_0250_4A38_A2D4_AE5CF0F16433_.wvu.FilterData" localSheetId="12" hidden="1">In_House_2019!#REF!</definedName>
    <definedName name="Z_9BFDA40F_0250_4A38_A2D4_AE5CF0F16433_.wvu.FilterData" localSheetId="11" hidden="1">In_House_2020!#REF!</definedName>
    <definedName name="Z_9BFDA40F_0250_4A38_A2D4_AE5CF0F16433_.wvu.FilterData" localSheetId="10" hidden="1">In_House_2021!#REF!</definedName>
    <definedName name="Z_9BFDA40F_0250_4A38_A2D4_AE5CF0F16433_.wvu.FilterData" localSheetId="9" hidden="1">In_House_2022!#REF!</definedName>
    <definedName name="Z_9BFDA40F_0250_4A38_A2D4_AE5CF0F16433_.wvu.FilterData" localSheetId="7" hidden="1">In_House_2023!#REF!</definedName>
    <definedName name="Z_9BFDA40F_0250_4A38_A2D4_AE5CF0F16433_.wvu.FilterData" localSheetId="8" hidden="1">In_House_2023_old!#REF!</definedName>
    <definedName name="Z_9EC78066_7713_4C7E_9AC6_C7B9DBFDFED4_.wvu.FilterData" localSheetId="3" hidden="1">'In transit '!#REF!</definedName>
    <definedName name="Z_9EC78066_7713_4C7E_9AC6_C7B9DBFDFED4_.wvu.FilterData" localSheetId="12" hidden="1">In_House_2019!#REF!</definedName>
    <definedName name="Z_9EC78066_7713_4C7E_9AC6_C7B9DBFDFED4_.wvu.FilterData" localSheetId="11" hidden="1">In_House_2020!#REF!</definedName>
    <definedName name="Z_9EC78066_7713_4C7E_9AC6_C7B9DBFDFED4_.wvu.FilterData" localSheetId="10" hidden="1">In_House_2021!#REF!</definedName>
    <definedName name="Z_9EC78066_7713_4C7E_9AC6_C7B9DBFDFED4_.wvu.FilterData" localSheetId="9" hidden="1">In_House_2022!#REF!</definedName>
    <definedName name="Z_9EC78066_7713_4C7E_9AC6_C7B9DBFDFED4_.wvu.FilterData" localSheetId="7" hidden="1">In_House_2023!#REF!</definedName>
    <definedName name="Z_9EC78066_7713_4C7E_9AC6_C7B9DBFDFED4_.wvu.FilterData" localSheetId="8" hidden="1">In_House_2023_old!#REF!</definedName>
    <definedName name="Z_9F523529_F341_4CEE_8939_480958EF469F_.wvu.FilterData" localSheetId="3" hidden="1">'In transit '!#REF!</definedName>
    <definedName name="Z_9F523529_F341_4CEE_8939_480958EF469F_.wvu.FilterData" localSheetId="12" hidden="1">In_House_2019!#REF!</definedName>
    <definedName name="Z_9F523529_F341_4CEE_8939_480958EF469F_.wvu.FilterData" localSheetId="11" hidden="1">In_House_2020!#REF!</definedName>
    <definedName name="Z_9F523529_F341_4CEE_8939_480958EF469F_.wvu.FilterData" localSheetId="10" hidden="1">In_House_2021!#REF!</definedName>
    <definedName name="Z_9F523529_F341_4CEE_8939_480958EF469F_.wvu.FilterData" localSheetId="9" hidden="1">In_House_2022!#REF!</definedName>
    <definedName name="Z_9F523529_F341_4CEE_8939_480958EF469F_.wvu.FilterData" localSheetId="7" hidden="1">In_House_2023!#REF!</definedName>
    <definedName name="Z_9F523529_F341_4CEE_8939_480958EF469F_.wvu.FilterData" localSheetId="8" hidden="1">In_House_2023_old!#REF!</definedName>
    <definedName name="Z_A0826D55_9B11_4ED8_9FE8_237963208219_.wvu.FilterData" localSheetId="3" hidden="1">'In transit '!#REF!</definedName>
    <definedName name="Z_A0826D55_9B11_4ED8_9FE8_237963208219_.wvu.FilterData" localSheetId="12" hidden="1">In_House_2019!#REF!</definedName>
    <definedName name="Z_A0826D55_9B11_4ED8_9FE8_237963208219_.wvu.FilterData" localSheetId="11" hidden="1">In_House_2020!#REF!</definedName>
    <definedName name="Z_A0826D55_9B11_4ED8_9FE8_237963208219_.wvu.FilterData" localSheetId="10" hidden="1">In_House_2021!#REF!</definedName>
    <definedName name="Z_A0826D55_9B11_4ED8_9FE8_237963208219_.wvu.FilterData" localSheetId="9" hidden="1">In_House_2022!#REF!</definedName>
    <definedName name="Z_A0826D55_9B11_4ED8_9FE8_237963208219_.wvu.FilterData" localSheetId="7" hidden="1">In_House_2023!#REF!</definedName>
    <definedName name="Z_A0826D55_9B11_4ED8_9FE8_237963208219_.wvu.FilterData" localSheetId="8" hidden="1">In_House_2023_old!#REF!</definedName>
    <definedName name="Z_A2027AAE_E789_49F3_82DE_6C7F1F325705_.wvu.FilterData" localSheetId="3" hidden="1">'In transit '!#REF!</definedName>
    <definedName name="Z_A2027AAE_E789_49F3_82DE_6C7F1F325705_.wvu.FilterData" localSheetId="12" hidden="1">In_House_2019!#REF!</definedName>
    <definedName name="Z_A2027AAE_E789_49F3_82DE_6C7F1F325705_.wvu.FilterData" localSheetId="11" hidden="1">In_House_2020!#REF!</definedName>
    <definedName name="Z_A2027AAE_E789_49F3_82DE_6C7F1F325705_.wvu.FilterData" localSheetId="10" hidden="1">In_House_2021!#REF!</definedName>
    <definedName name="Z_A2027AAE_E789_49F3_82DE_6C7F1F325705_.wvu.FilterData" localSheetId="9" hidden="1">In_House_2022!#REF!</definedName>
    <definedName name="Z_A2027AAE_E789_49F3_82DE_6C7F1F325705_.wvu.FilterData" localSheetId="7" hidden="1">In_House_2023!#REF!</definedName>
    <definedName name="Z_A2027AAE_E789_49F3_82DE_6C7F1F325705_.wvu.FilterData" localSheetId="8" hidden="1">In_House_2023_old!#REF!</definedName>
    <definedName name="Z_A6582055_A615_42BD_9693_C8D798F8C787_.wvu.FilterData" localSheetId="3" hidden="1">'In transit '!#REF!</definedName>
    <definedName name="Z_A6582055_A615_42BD_9693_C8D798F8C787_.wvu.FilterData" localSheetId="12" hidden="1">In_House_2019!#REF!</definedName>
    <definedName name="Z_A6582055_A615_42BD_9693_C8D798F8C787_.wvu.FilterData" localSheetId="11" hidden="1">In_House_2020!#REF!</definedName>
    <definedName name="Z_A6582055_A615_42BD_9693_C8D798F8C787_.wvu.FilterData" localSheetId="10" hidden="1">In_House_2021!#REF!</definedName>
    <definedName name="Z_A6582055_A615_42BD_9693_C8D798F8C787_.wvu.FilterData" localSheetId="9" hidden="1">In_House_2022!#REF!</definedName>
    <definedName name="Z_A6582055_A615_42BD_9693_C8D798F8C787_.wvu.FilterData" localSheetId="7" hidden="1">In_House_2023!#REF!</definedName>
    <definedName name="Z_A6582055_A615_42BD_9693_C8D798F8C787_.wvu.FilterData" localSheetId="8" hidden="1">In_House_2023_old!#REF!</definedName>
    <definedName name="Z_A66F2890_22E5_4278_B424_61205D81A269_.wvu.FilterData" localSheetId="3" hidden="1">'In transit '!#REF!</definedName>
    <definedName name="Z_A66F2890_22E5_4278_B424_61205D81A269_.wvu.FilterData" localSheetId="12" hidden="1">In_House_2019!#REF!</definedName>
    <definedName name="Z_A66F2890_22E5_4278_B424_61205D81A269_.wvu.FilterData" localSheetId="11" hidden="1">In_House_2020!#REF!</definedName>
    <definedName name="Z_A66F2890_22E5_4278_B424_61205D81A269_.wvu.FilterData" localSheetId="10" hidden="1">In_House_2021!#REF!</definedName>
    <definedName name="Z_A66F2890_22E5_4278_B424_61205D81A269_.wvu.FilterData" localSheetId="9" hidden="1">In_House_2022!#REF!</definedName>
    <definedName name="Z_A66F2890_22E5_4278_B424_61205D81A269_.wvu.FilterData" localSheetId="7" hidden="1">In_House_2023!#REF!</definedName>
    <definedName name="Z_A66F2890_22E5_4278_B424_61205D81A269_.wvu.FilterData" localSheetId="8" hidden="1">In_House_2023_old!#REF!</definedName>
    <definedName name="Z_A8628911_9F9D_485C_BBB6_19038BD38DFE_.wvu.FilterData" localSheetId="3" hidden="1">'In transit '!#REF!</definedName>
    <definedName name="Z_A8628911_9F9D_485C_BBB6_19038BD38DFE_.wvu.FilterData" localSheetId="12" hidden="1">In_House_2019!#REF!</definedName>
    <definedName name="Z_A8628911_9F9D_485C_BBB6_19038BD38DFE_.wvu.FilterData" localSheetId="11" hidden="1">In_House_2020!#REF!</definedName>
    <definedName name="Z_A8628911_9F9D_485C_BBB6_19038BD38DFE_.wvu.FilterData" localSheetId="10" hidden="1">In_House_2021!#REF!</definedName>
    <definedName name="Z_A8628911_9F9D_485C_BBB6_19038BD38DFE_.wvu.FilterData" localSheetId="9" hidden="1">In_House_2022!#REF!</definedName>
    <definedName name="Z_A8628911_9F9D_485C_BBB6_19038BD38DFE_.wvu.FilterData" localSheetId="7" hidden="1">In_House_2023!#REF!</definedName>
    <definedName name="Z_A8628911_9F9D_485C_BBB6_19038BD38DFE_.wvu.FilterData" localSheetId="8" hidden="1">In_House_2023_old!#REF!</definedName>
    <definedName name="Z_A8EAD5E6_CC95_4124_8D86_4B1079C4E396_.wvu.FilterData" localSheetId="3" hidden="1">'In transit '!#REF!</definedName>
    <definedName name="Z_A8EAD5E6_CC95_4124_8D86_4B1079C4E396_.wvu.FilterData" localSheetId="12" hidden="1">In_House_2019!#REF!</definedName>
    <definedName name="Z_A8EAD5E6_CC95_4124_8D86_4B1079C4E396_.wvu.FilterData" localSheetId="11" hidden="1">In_House_2020!#REF!</definedName>
    <definedName name="Z_A8EAD5E6_CC95_4124_8D86_4B1079C4E396_.wvu.FilterData" localSheetId="10" hidden="1">In_House_2021!#REF!</definedName>
    <definedName name="Z_A8EAD5E6_CC95_4124_8D86_4B1079C4E396_.wvu.FilterData" localSheetId="9" hidden="1">In_House_2022!#REF!</definedName>
    <definedName name="Z_A8EAD5E6_CC95_4124_8D86_4B1079C4E396_.wvu.FilterData" localSheetId="7" hidden="1">In_House_2023!#REF!</definedName>
    <definedName name="Z_A8EAD5E6_CC95_4124_8D86_4B1079C4E396_.wvu.FilterData" localSheetId="8" hidden="1">In_House_2023_old!#REF!</definedName>
    <definedName name="Z_ABA93DEC_F0B2_4DC0_ABBE_9A9A0C9160F0_.wvu.FilterData" localSheetId="3" hidden="1">'In transit '!#REF!</definedName>
    <definedName name="Z_ABA93DEC_F0B2_4DC0_ABBE_9A9A0C9160F0_.wvu.FilterData" localSheetId="12" hidden="1">In_House_2019!#REF!</definedName>
    <definedName name="Z_ABA93DEC_F0B2_4DC0_ABBE_9A9A0C9160F0_.wvu.FilterData" localSheetId="11" hidden="1">In_House_2020!#REF!</definedName>
    <definedName name="Z_ABA93DEC_F0B2_4DC0_ABBE_9A9A0C9160F0_.wvu.FilterData" localSheetId="10" hidden="1">In_House_2021!#REF!</definedName>
    <definedName name="Z_ABA93DEC_F0B2_4DC0_ABBE_9A9A0C9160F0_.wvu.FilterData" localSheetId="9" hidden="1">In_House_2022!#REF!</definedName>
    <definedName name="Z_ABA93DEC_F0B2_4DC0_ABBE_9A9A0C9160F0_.wvu.FilterData" localSheetId="7" hidden="1">In_House_2023!#REF!</definedName>
    <definedName name="Z_ABA93DEC_F0B2_4DC0_ABBE_9A9A0C9160F0_.wvu.FilterData" localSheetId="8" hidden="1">In_House_2023_old!#REF!</definedName>
    <definedName name="Z_AC10F0AC_C3FD_48C8_B814_A24FA26F2AC2_.wvu.FilterData" localSheetId="3" hidden="1">'In transit '!#REF!</definedName>
    <definedName name="Z_AC10F0AC_C3FD_48C8_B814_A24FA26F2AC2_.wvu.FilterData" localSheetId="12" hidden="1">In_House_2019!#REF!</definedName>
    <definedName name="Z_AC10F0AC_C3FD_48C8_B814_A24FA26F2AC2_.wvu.FilterData" localSheetId="11" hidden="1">In_House_2020!#REF!</definedName>
    <definedName name="Z_AC10F0AC_C3FD_48C8_B814_A24FA26F2AC2_.wvu.FilterData" localSheetId="10" hidden="1">In_House_2021!#REF!</definedName>
    <definedName name="Z_AC10F0AC_C3FD_48C8_B814_A24FA26F2AC2_.wvu.FilterData" localSheetId="9" hidden="1">In_House_2022!#REF!</definedName>
    <definedName name="Z_AC10F0AC_C3FD_48C8_B814_A24FA26F2AC2_.wvu.FilterData" localSheetId="7" hidden="1">In_House_2023!#REF!</definedName>
    <definedName name="Z_AC10F0AC_C3FD_48C8_B814_A24FA26F2AC2_.wvu.FilterData" localSheetId="8" hidden="1">In_House_2023_old!#REF!</definedName>
    <definedName name="Z_AD8C1C28_8B9B_463E_AAD5_D363EE6DB34E_.wvu.FilterData" localSheetId="3" hidden="1">'In transit '!#REF!</definedName>
    <definedName name="Z_AD8C1C28_8B9B_463E_AAD5_D363EE6DB34E_.wvu.FilterData" localSheetId="12" hidden="1">In_House_2019!#REF!</definedName>
    <definedName name="Z_AD8C1C28_8B9B_463E_AAD5_D363EE6DB34E_.wvu.FilterData" localSheetId="11" hidden="1">In_House_2020!#REF!</definedName>
    <definedName name="Z_AD8C1C28_8B9B_463E_AAD5_D363EE6DB34E_.wvu.FilterData" localSheetId="10" hidden="1">In_House_2021!#REF!</definedName>
    <definedName name="Z_AD8C1C28_8B9B_463E_AAD5_D363EE6DB34E_.wvu.FilterData" localSheetId="9" hidden="1">In_House_2022!#REF!</definedName>
    <definedName name="Z_AD8C1C28_8B9B_463E_AAD5_D363EE6DB34E_.wvu.FilterData" localSheetId="7" hidden="1">In_House_2023!#REF!</definedName>
    <definedName name="Z_AD8C1C28_8B9B_463E_AAD5_D363EE6DB34E_.wvu.FilterData" localSheetId="8" hidden="1">In_House_2023_old!#REF!</definedName>
    <definedName name="Z_B1BF882C_5706_4767_90E6_38ADD89EFAC3_.wvu.FilterData" localSheetId="3" hidden="1">'In transit '!#REF!</definedName>
    <definedName name="Z_B1BF882C_5706_4767_90E6_38ADD89EFAC3_.wvu.FilterData" localSheetId="12" hidden="1">In_House_2019!#REF!</definedName>
    <definedName name="Z_B1BF882C_5706_4767_90E6_38ADD89EFAC3_.wvu.FilterData" localSheetId="11" hidden="1">In_House_2020!#REF!</definedName>
    <definedName name="Z_B1BF882C_5706_4767_90E6_38ADD89EFAC3_.wvu.FilterData" localSheetId="10" hidden="1">In_House_2021!#REF!</definedName>
    <definedName name="Z_B1BF882C_5706_4767_90E6_38ADD89EFAC3_.wvu.FilterData" localSheetId="9" hidden="1">In_House_2022!#REF!</definedName>
    <definedName name="Z_B1BF882C_5706_4767_90E6_38ADD89EFAC3_.wvu.FilterData" localSheetId="7" hidden="1">In_House_2023!#REF!</definedName>
    <definedName name="Z_B1BF882C_5706_4767_90E6_38ADD89EFAC3_.wvu.FilterData" localSheetId="8" hidden="1">In_House_2023_old!#REF!</definedName>
    <definedName name="Z_B3839DA7_6177_4ED2_A173_B3715E19E35D_.wvu.FilterData" localSheetId="3" hidden="1">'In transit '!#REF!</definedName>
    <definedName name="Z_B3839DA7_6177_4ED2_A173_B3715E19E35D_.wvu.FilterData" localSheetId="12" hidden="1">In_House_2019!#REF!</definedName>
    <definedName name="Z_B3839DA7_6177_4ED2_A173_B3715E19E35D_.wvu.FilterData" localSheetId="11" hidden="1">In_House_2020!#REF!</definedName>
    <definedName name="Z_B3839DA7_6177_4ED2_A173_B3715E19E35D_.wvu.FilterData" localSheetId="10" hidden="1">In_House_2021!#REF!</definedName>
    <definedName name="Z_B3839DA7_6177_4ED2_A173_B3715E19E35D_.wvu.FilterData" localSheetId="9" hidden="1">In_House_2022!#REF!</definedName>
    <definedName name="Z_B3839DA7_6177_4ED2_A173_B3715E19E35D_.wvu.FilterData" localSheetId="7" hidden="1">In_House_2023!#REF!</definedName>
    <definedName name="Z_B3839DA7_6177_4ED2_A173_B3715E19E35D_.wvu.FilterData" localSheetId="8" hidden="1">In_House_2023_old!#REF!</definedName>
    <definedName name="Z_B62182FF_52F0_4A68_834C_B8304188EFFB_.wvu.FilterData" localSheetId="3" hidden="1">'In transit '!#REF!</definedName>
    <definedName name="Z_B62182FF_52F0_4A68_834C_B8304188EFFB_.wvu.FilterData" localSheetId="12" hidden="1">In_House_2019!#REF!</definedName>
    <definedName name="Z_B62182FF_52F0_4A68_834C_B8304188EFFB_.wvu.FilterData" localSheetId="11" hidden="1">In_House_2020!#REF!</definedName>
    <definedName name="Z_B62182FF_52F0_4A68_834C_B8304188EFFB_.wvu.FilterData" localSheetId="10" hidden="1">In_House_2021!#REF!</definedName>
    <definedName name="Z_B62182FF_52F0_4A68_834C_B8304188EFFB_.wvu.FilterData" localSheetId="9" hidden="1">In_House_2022!#REF!</definedName>
    <definedName name="Z_B62182FF_52F0_4A68_834C_B8304188EFFB_.wvu.FilterData" localSheetId="7" hidden="1">In_House_2023!#REF!</definedName>
    <definedName name="Z_B62182FF_52F0_4A68_834C_B8304188EFFB_.wvu.FilterData" localSheetId="8" hidden="1">In_House_2023_old!#REF!</definedName>
    <definedName name="Z_B7B7C792_01A7_4AC6_B514_9B8806F4E6E0_.wvu.Cols" localSheetId="3" hidden="1">'In transit '!#REF!</definedName>
    <definedName name="Z_B7B7C792_01A7_4AC6_B514_9B8806F4E6E0_.wvu.Cols" localSheetId="12" hidden="1">In_House_2019!$Y:$Y</definedName>
    <definedName name="Z_B7B7C792_01A7_4AC6_B514_9B8806F4E6E0_.wvu.Cols" localSheetId="11" hidden="1">In_House_2020!$Y:$Y</definedName>
    <definedName name="Z_B7B7C792_01A7_4AC6_B514_9B8806F4E6E0_.wvu.Cols" localSheetId="10" hidden="1">In_House_2021!$W:$W</definedName>
    <definedName name="Z_B7B7C792_01A7_4AC6_B514_9B8806F4E6E0_.wvu.Cols" localSheetId="9" hidden="1">In_House_2022!$W:$W</definedName>
    <definedName name="Z_B7B7C792_01A7_4AC6_B514_9B8806F4E6E0_.wvu.Cols" localSheetId="7" hidden="1">In_House_2023!$AC:$AC</definedName>
    <definedName name="Z_B7B7C792_01A7_4AC6_B514_9B8806F4E6E0_.wvu.Cols" localSheetId="8" hidden="1">In_House_2023_old!$W:$W</definedName>
    <definedName name="Z_B7B7C792_01A7_4AC6_B514_9B8806F4E6E0_.wvu.FilterData" localSheetId="2" hidden="1">DAs!$A$2:$M$14</definedName>
    <definedName name="Z_B7B7C792_01A7_4AC6_B514_9B8806F4E6E0_.wvu.FilterData" localSheetId="4" hidden="1">'In House'!$A$1:$AV$613</definedName>
    <definedName name="Z_B7B7C792_01A7_4AC6_B514_9B8806F4E6E0_.wvu.FilterData" localSheetId="6" hidden="1">'In house - diversos'!$B$1:$K$113</definedName>
    <definedName name="Z_B7B7C792_01A7_4AC6_B514_9B8806F4E6E0_.wvu.FilterData" localSheetId="5" hidden="1">'In House - NEs'!$A$1:$F$64</definedName>
    <definedName name="Z_B7B7C792_01A7_4AC6_B514_9B8806F4E6E0_.wvu.FilterData" localSheetId="3" hidden="1">'In transit '!#REF!</definedName>
    <definedName name="Z_B7B7C792_01A7_4AC6_B514_9B8806F4E6E0_.wvu.FilterData" localSheetId="12" hidden="1">In_House_2019!#REF!</definedName>
    <definedName name="Z_B7B7C792_01A7_4AC6_B514_9B8806F4E6E0_.wvu.FilterData" localSheetId="11" hidden="1">In_House_2020!#REF!</definedName>
    <definedName name="Z_B7B7C792_01A7_4AC6_B514_9B8806F4E6E0_.wvu.FilterData" localSheetId="10" hidden="1">In_House_2021!#REF!</definedName>
    <definedName name="Z_B7B7C792_01A7_4AC6_B514_9B8806F4E6E0_.wvu.FilterData" localSheetId="9" hidden="1">In_House_2022!#REF!</definedName>
    <definedName name="Z_B7B7C792_01A7_4AC6_B514_9B8806F4E6E0_.wvu.FilterData" localSheetId="7" hidden="1">In_House_2023!#REF!</definedName>
    <definedName name="Z_B7B7C792_01A7_4AC6_B514_9B8806F4E6E0_.wvu.FilterData" localSheetId="8" hidden="1">In_House_2023_old!#REF!</definedName>
    <definedName name="Z_B7B7C792_01A7_4AC6_B514_9B8806F4E6E0_.wvu.FilterData" localSheetId="1" hidden="1">NEs!$A$1:$AI$1</definedName>
    <definedName name="Z_B7B7C792_01A7_4AC6_B514_9B8806F4E6E0_.wvu.Rows" localSheetId="4" hidden="1">'In House'!$2:$612</definedName>
    <definedName name="Z_B7B7C792_01A7_4AC6_B514_9B8806F4E6E0_.wvu.Rows" localSheetId="5" hidden="1">'In House - NEs'!$2:$42</definedName>
    <definedName name="Z_B88606E7_7CBA_4ACE_9F0F_DE3CBC0952AD_.wvu.FilterData" localSheetId="3" hidden="1">'In transit '!#REF!</definedName>
    <definedName name="Z_B88606E7_7CBA_4ACE_9F0F_DE3CBC0952AD_.wvu.FilterData" localSheetId="12" hidden="1">In_House_2019!#REF!</definedName>
    <definedName name="Z_B88606E7_7CBA_4ACE_9F0F_DE3CBC0952AD_.wvu.FilterData" localSheetId="11" hidden="1">In_House_2020!#REF!</definedName>
    <definedName name="Z_B88606E7_7CBA_4ACE_9F0F_DE3CBC0952AD_.wvu.FilterData" localSheetId="10" hidden="1">In_House_2021!#REF!</definedName>
    <definedName name="Z_B88606E7_7CBA_4ACE_9F0F_DE3CBC0952AD_.wvu.FilterData" localSheetId="9" hidden="1">In_House_2022!#REF!</definedName>
    <definedName name="Z_B88606E7_7CBA_4ACE_9F0F_DE3CBC0952AD_.wvu.FilterData" localSheetId="7" hidden="1">In_House_2023!#REF!</definedName>
    <definedName name="Z_B88606E7_7CBA_4ACE_9F0F_DE3CBC0952AD_.wvu.FilterData" localSheetId="8" hidden="1">In_House_2023_old!#REF!</definedName>
    <definedName name="Z_BB51621D_F11C_4DC1_9A77_22F3ED3534D9_.wvu.FilterData" localSheetId="3" hidden="1">'In transit '!#REF!</definedName>
    <definedName name="Z_BB51621D_F11C_4DC1_9A77_22F3ED3534D9_.wvu.FilterData" localSheetId="12" hidden="1">In_House_2019!#REF!</definedName>
    <definedName name="Z_BB51621D_F11C_4DC1_9A77_22F3ED3534D9_.wvu.FilterData" localSheetId="11" hidden="1">In_House_2020!#REF!</definedName>
    <definedName name="Z_BB51621D_F11C_4DC1_9A77_22F3ED3534D9_.wvu.FilterData" localSheetId="10" hidden="1">In_House_2021!#REF!</definedName>
    <definedName name="Z_BB51621D_F11C_4DC1_9A77_22F3ED3534D9_.wvu.FilterData" localSheetId="9" hidden="1">In_House_2022!#REF!</definedName>
    <definedName name="Z_BB51621D_F11C_4DC1_9A77_22F3ED3534D9_.wvu.FilterData" localSheetId="7" hidden="1">In_House_2023!#REF!</definedName>
    <definedName name="Z_BB51621D_F11C_4DC1_9A77_22F3ED3534D9_.wvu.FilterData" localSheetId="8" hidden="1">In_House_2023_old!#REF!</definedName>
    <definedName name="Z_BD5C2D49_3B33_49F0_AB51_1D23EF8E9CC1_.wvu.FilterData" localSheetId="3" hidden="1">'In transit '!#REF!</definedName>
    <definedName name="Z_BD5C2D49_3B33_49F0_AB51_1D23EF8E9CC1_.wvu.FilterData" localSheetId="12" hidden="1">In_House_2019!#REF!</definedName>
    <definedName name="Z_BD5C2D49_3B33_49F0_AB51_1D23EF8E9CC1_.wvu.FilterData" localSheetId="11" hidden="1">In_House_2020!#REF!</definedName>
    <definedName name="Z_BD5C2D49_3B33_49F0_AB51_1D23EF8E9CC1_.wvu.FilterData" localSheetId="10" hidden="1">In_House_2021!#REF!</definedName>
    <definedName name="Z_BD5C2D49_3B33_49F0_AB51_1D23EF8E9CC1_.wvu.FilterData" localSheetId="9" hidden="1">In_House_2022!#REF!</definedName>
    <definedName name="Z_BD5C2D49_3B33_49F0_AB51_1D23EF8E9CC1_.wvu.FilterData" localSheetId="7" hidden="1">In_House_2023!#REF!</definedName>
    <definedName name="Z_BD5C2D49_3B33_49F0_AB51_1D23EF8E9CC1_.wvu.FilterData" localSheetId="8" hidden="1">In_House_2023_old!#REF!</definedName>
    <definedName name="Z_C187190F_375D_4BB0_980E_55216EDCDA40_.wvu.FilterData" localSheetId="3" hidden="1">'In transit '!#REF!</definedName>
    <definedName name="Z_C187190F_375D_4BB0_980E_55216EDCDA40_.wvu.FilterData" localSheetId="12" hidden="1">In_House_2019!#REF!</definedName>
    <definedName name="Z_C187190F_375D_4BB0_980E_55216EDCDA40_.wvu.FilterData" localSheetId="11" hidden="1">In_House_2020!#REF!</definedName>
    <definedName name="Z_C187190F_375D_4BB0_980E_55216EDCDA40_.wvu.FilterData" localSheetId="10" hidden="1">In_House_2021!#REF!</definedName>
    <definedName name="Z_C187190F_375D_4BB0_980E_55216EDCDA40_.wvu.FilterData" localSheetId="9" hidden="1">In_House_2022!#REF!</definedName>
    <definedName name="Z_C187190F_375D_4BB0_980E_55216EDCDA40_.wvu.FilterData" localSheetId="7" hidden="1">In_House_2023!#REF!</definedName>
    <definedName name="Z_C187190F_375D_4BB0_980E_55216EDCDA40_.wvu.FilterData" localSheetId="8" hidden="1">In_House_2023_old!#REF!</definedName>
    <definedName name="Z_C1F97B32_8D95_47FA_9DE1_BF06BDC62034_.wvu.FilterData" localSheetId="3" hidden="1">'In transit '!#REF!</definedName>
    <definedName name="Z_C1F97B32_8D95_47FA_9DE1_BF06BDC62034_.wvu.FilterData" localSheetId="12" hidden="1">In_House_2019!#REF!</definedName>
    <definedName name="Z_C1F97B32_8D95_47FA_9DE1_BF06BDC62034_.wvu.FilterData" localSheetId="11" hidden="1">In_House_2020!#REF!</definedName>
    <definedName name="Z_C1F97B32_8D95_47FA_9DE1_BF06BDC62034_.wvu.FilterData" localSheetId="10" hidden="1">In_House_2021!#REF!</definedName>
    <definedName name="Z_C1F97B32_8D95_47FA_9DE1_BF06BDC62034_.wvu.FilterData" localSheetId="9" hidden="1">In_House_2022!#REF!</definedName>
    <definedName name="Z_C1F97B32_8D95_47FA_9DE1_BF06BDC62034_.wvu.FilterData" localSheetId="7" hidden="1">In_House_2023!#REF!</definedName>
    <definedName name="Z_C1F97B32_8D95_47FA_9DE1_BF06BDC62034_.wvu.FilterData" localSheetId="8" hidden="1">In_House_2023_old!#REF!</definedName>
    <definedName name="Z_C3E6FF0E_CB27_4AFB_B997_0DBB0C0668E8_.wvu.FilterData" localSheetId="3" hidden="1">'In transit '!#REF!</definedName>
    <definedName name="Z_C3E6FF0E_CB27_4AFB_B997_0DBB0C0668E8_.wvu.FilterData" localSheetId="12" hidden="1">In_House_2019!#REF!</definedName>
    <definedName name="Z_C3E6FF0E_CB27_4AFB_B997_0DBB0C0668E8_.wvu.FilterData" localSheetId="11" hidden="1">In_House_2020!#REF!</definedName>
    <definedName name="Z_C3E6FF0E_CB27_4AFB_B997_0DBB0C0668E8_.wvu.FilterData" localSheetId="10" hidden="1">In_House_2021!#REF!</definedName>
    <definedName name="Z_C3E6FF0E_CB27_4AFB_B997_0DBB0C0668E8_.wvu.FilterData" localSheetId="9" hidden="1">In_House_2022!#REF!</definedName>
    <definedName name="Z_C3E6FF0E_CB27_4AFB_B997_0DBB0C0668E8_.wvu.FilterData" localSheetId="7" hidden="1">In_House_2023!#REF!</definedName>
    <definedName name="Z_C3E6FF0E_CB27_4AFB_B997_0DBB0C0668E8_.wvu.FilterData" localSheetId="8" hidden="1">In_House_2023_old!#REF!</definedName>
    <definedName name="Z_C3FC740F_8C4C_4194_AF5F_C2B5CFB5C83F_.wvu.FilterData" localSheetId="3" hidden="1">'In transit '!#REF!</definedName>
    <definedName name="Z_C3FC740F_8C4C_4194_AF5F_C2B5CFB5C83F_.wvu.FilterData" localSheetId="12" hidden="1">In_House_2019!#REF!</definedName>
    <definedName name="Z_C3FC740F_8C4C_4194_AF5F_C2B5CFB5C83F_.wvu.FilterData" localSheetId="11" hidden="1">In_House_2020!#REF!</definedName>
    <definedName name="Z_C3FC740F_8C4C_4194_AF5F_C2B5CFB5C83F_.wvu.FilterData" localSheetId="10" hidden="1">In_House_2021!#REF!</definedName>
    <definedName name="Z_C3FC740F_8C4C_4194_AF5F_C2B5CFB5C83F_.wvu.FilterData" localSheetId="9" hidden="1">In_House_2022!#REF!</definedName>
    <definedName name="Z_C3FC740F_8C4C_4194_AF5F_C2B5CFB5C83F_.wvu.FilterData" localSheetId="7" hidden="1">In_House_2023!#REF!</definedName>
    <definedName name="Z_C3FC740F_8C4C_4194_AF5F_C2B5CFB5C83F_.wvu.FilterData" localSheetId="8" hidden="1">In_House_2023_old!#REF!</definedName>
    <definedName name="Z_C5111817_1529_4FFD_897F_C06C9216B560_.wvu.FilterData" localSheetId="3" hidden="1">'In transit '!#REF!</definedName>
    <definedName name="Z_C5111817_1529_4FFD_897F_C06C9216B560_.wvu.FilterData" localSheetId="12" hidden="1">In_House_2019!#REF!</definedName>
    <definedName name="Z_C5111817_1529_4FFD_897F_C06C9216B560_.wvu.FilterData" localSheetId="11" hidden="1">In_House_2020!#REF!</definedName>
    <definedName name="Z_C5111817_1529_4FFD_897F_C06C9216B560_.wvu.FilterData" localSheetId="10" hidden="1">In_House_2021!#REF!</definedName>
    <definedName name="Z_C5111817_1529_4FFD_897F_C06C9216B560_.wvu.FilterData" localSheetId="9" hidden="1">In_House_2022!#REF!</definedName>
    <definedName name="Z_C5111817_1529_4FFD_897F_C06C9216B560_.wvu.FilterData" localSheetId="7" hidden="1">In_House_2023!#REF!</definedName>
    <definedName name="Z_C5111817_1529_4FFD_897F_C06C9216B560_.wvu.FilterData" localSheetId="8" hidden="1">In_House_2023_old!#REF!</definedName>
    <definedName name="Z_C5C5F22D_2ADA_43EB_94BF_548B04241D3B_.wvu.FilterData" localSheetId="3" hidden="1">'In transit '!#REF!</definedName>
    <definedName name="Z_C5C5F22D_2ADA_43EB_94BF_548B04241D3B_.wvu.FilterData" localSheetId="12" hidden="1">In_House_2019!#REF!</definedName>
    <definedName name="Z_C5C5F22D_2ADA_43EB_94BF_548B04241D3B_.wvu.FilterData" localSheetId="11" hidden="1">In_House_2020!#REF!</definedName>
    <definedName name="Z_C5C5F22D_2ADA_43EB_94BF_548B04241D3B_.wvu.FilterData" localSheetId="10" hidden="1">In_House_2021!#REF!</definedName>
    <definedName name="Z_C5C5F22D_2ADA_43EB_94BF_548B04241D3B_.wvu.FilterData" localSheetId="9" hidden="1">In_House_2022!#REF!</definedName>
    <definedName name="Z_C5C5F22D_2ADA_43EB_94BF_548B04241D3B_.wvu.FilterData" localSheetId="7" hidden="1">In_House_2023!#REF!</definedName>
    <definedName name="Z_C5C5F22D_2ADA_43EB_94BF_548B04241D3B_.wvu.FilterData" localSheetId="8" hidden="1">In_House_2023_old!#REF!</definedName>
    <definedName name="Z_C7F151FD_49F5_4506_A3BA_9299C9B9E4C9_.wvu.FilterData" localSheetId="3" hidden="1">'In transit '!#REF!</definedName>
    <definedName name="Z_C7F151FD_49F5_4506_A3BA_9299C9B9E4C9_.wvu.FilterData" localSheetId="12" hidden="1">In_House_2019!#REF!</definedName>
    <definedName name="Z_C7F151FD_49F5_4506_A3BA_9299C9B9E4C9_.wvu.FilterData" localSheetId="11" hidden="1">In_House_2020!#REF!</definedName>
    <definedName name="Z_C7F151FD_49F5_4506_A3BA_9299C9B9E4C9_.wvu.FilterData" localSheetId="10" hidden="1">In_House_2021!#REF!</definedName>
    <definedName name="Z_C7F151FD_49F5_4506_A3BA_9299C9B9E4C9_.wvu.FilterData" localSheetId="9" hidden="1">In_House_2022!#REF!</definedName>
    <definedName name="Z_C7F151FD_49F5_4506_A3BA_9299C9B9E4C9_.wvu.FilterData" localSheetId="7" hidden="1">In_House_2023!#REF!</definedName>
    <definedName name="Z_C7F151FD_49F5_4506_A3BA_9299C9B9E4C9_.wvu.FilterData" localSheetId="8" hidden="1">In_House_2023_old!#REF!</definedName>
    <definedName name="Z_C87FBCBA_165F_47E2_8D9D_DA63B170CA82_.wvu.FilterData" localSheetId="3" hidden="1">'In transit '!#REF!</definedName>
    <definedName name="Z_C87FBCBA_165F_47E2_8D9D_DA63B170CA82_.wvu.FilterData" localSheetId="12" hidden="1">In_House_2019!#REF!</definedName>
    <definedName name="Z_C87FBCBA_165F_47E2_8D9D_DA63B170CA82_.wvu.FilterData" localSheetId="11" hidden="1">In_House_2020!#REF!</definedName>
    <definedName name="Z_C87FBCBA_165F_47E2_8D9D_DA63B170CA82_.wvu.FilterData" localSheetId="10" hidden="1">In_House_2021!#REF!</definedName>
    <definedName name="Z_C87FBCBA_165F_47E2_8D9D_DA63B170CA82_.wvu.FilterData" localSheetId="9" hidden="1">In_House_2022!#REF!</definedName>
    <definedName name="Z_C87FBCBA_165F_47E2_8D9D_DA63B170CA82_.wvu.FilterData" localSheetId="7" hidden="1">In_House_2023!#REF!</definedName>
    <definedName name="Z_C87FBCBA_165F_47E2_8D9D_DA63B170CA82_.wvu.FilterData" localSheetId="8" hidden="1">In_House_2023_old!#REF!</definedName>
    <definedName name="Z_CBBF9297_A3B7_40A3_98BB_ACBF02CA436E_.wvu.FilterData" localSheetId="3" hidden="1">'In transit '!#REF!</definedName>
    <definedName name="Z_CBBF9297_A3B7_40A3_98BB_ACBF02CA436E_.wvu.FilterData" localSheetId="12" hidden="1">In_House_2019!#REF!</definedName>
    <definedName name="Z_CBBF9297_A3B7_40A3_98BB_ACBF02CA436E_.wvu.FilterData" localSheetId="11" hidden="1">In_House_2020!#REF!</definedName>
    <definedName name="Z_CBBF9297_A3B7_40A3_98BB_ACBF02CA436E_.wvu.FilterData" localSheetId="10" hidden="1">In_House_2021!#REF!</definedName>
    <definedName name="Z_CBBF9297_A3B7_40A3_98BB_ACBF02CA436E_.wvu.FilterData" localSheetId="9" hidden="1">In_House_2022!#REF!</definedName>
    <definedName name="Z_CBBF9297_A3B7_40A3_98BB_ACBF02CA436E_.wvu.FilterData" localSheetId="7" hidden="1">In_House_2023!#REF!</definedName>
    <definedName name="Z_CBBF9297_A3B7_40A3_98BB_ACBF02CA436E_.wvu.FilterData" localSheetId="8" hidden="1">In_House_2023_old!#REF!</definedName>
    <definedName name="Z_CCD9D6CC_823A_40AE_9BE4_D0390F31BE7C_.wvu.FilterData" localSheetId="3" hidden="1">'In transit '!#REF!</definedName>
    <definedName name="Z_CCD9D6CC_823A_40AE_9BE4_D0390F31BE7C_.wvu.FilterData" localSheetId="12" hidden="1">In_House_2019!#REF!</definedName>
    <definedName name="Z_CCD9D6CC_823A_40AE_9BE4_D0390F31BE7C_.wvu.FilterData" localSheetId="11" hidden="1">In_House_2020!#REF!</definedName>
    <definedName name="Z_CCD9D6CC_823A_40AE_9BE4_D0390F31BE7C_.wvu.FilterData" localSheetId="10" hidden="1">In_House_2021!#REF!</definedName>
    <definedName name="Z_CCD9D6CC_823A_40AE_9BE4_D0390F31BE7C_.wvu.FilterData" localSheetId="9" hidden="1">In_House_2022!#REF!</definedName>
    <definedName name="Z_CCD9D6CC_823A_40AE_9BE4_D0390F31BE7C_.wvu.FilterData" localSheetId="7" hidden="1">In_House_2023!#REF!</definedName>
    <definedName name="Z_CCD9D6CC_823A_40AE_9BE4_D0390F31BE7C_.wvu.FilterData" localSheetId="8" hidden="1">In_House_2023_old!#REF!</definedName>
    <definedName name="Z_CDA3D18F_13DC_455C_9923_B1C64ED18998_.wvu.FilterData" localSheetId="3" hidden="1">'In transit '!#REF!</definedName>
    <definedName name="Z_CDA3D18F_13DC_455C_9923_B1C64ED18998_.wvu.FilterData" localSheetId="12" hidden="1">In_House_2019!#REF!</definedName>
    <definedName name="Z_CDA3D18F_13DC_455C_9923_B1C64ED18998_.wvu.FilterData" localSheetId="11" hidden="1">In_House_2020!#REF!</definedName>
    <definedName name="Z_CDA3D18F_13DC_455C_9923_B1C64ED18998_.wvu.FilterData" localSheetId="10" hidden="1">In_House_2021!#REF!</definedName>
    <definedName name="Z_CDA3D18F_13DC_455C_9923_B1C64ED18998_.wvu.FilterData" localSheetId="9" hidden="1">In_House_2022!#REF!</definedName>
    <definedName name="Z_CDA3D18F_13DC_455C_9923_B1C64ED18998_.wvu.FilterData" localSheetId="7" hidden="1">In_House_2023!#REF!</definedName>
    <definedName name="Z_CDA3D18F_13DC_455C_9923_B1C64ED18998_.wvu.FilterData" localSheetId="8" hidden="1">In_House_2023_old!#REF!</definedName>
    <definedName name="Z_CE52931E_36C9_405A_93C6_149C34F63106_.wvu.FilterData" localSheetId="3" hidden="1">'In transit '!#REF!</definedName>
    <definedName name="Z_CE52931E_36C9_405A_93C6_149C34F63106_.wvu.FilterData" localSheetId="12" hidden="1">In_House_2019!#REF!</definedName>
    <definedName name="Z_CE52931E_36C9_405A_93C6_149C34F63106_.wvu.FilterData" localSheetId="11" hidden="1">In_House_2020!#REF!</definedName>
    <definedName name="Z_CE52931E_36C9_405A_93C6_149C34F63106_.wvu.FilterData" localSheetId="10" hidden="1">In_House_2021!#REF!</definedName>
    <definedName name="Z_CE52931E_36C9_405A_93C6_149C34F63106_.wvu.FilterData" localSheetId="9" hidden="1">In_House_2022!#REF!</definedName>
    <definedName name="Z_CE52931E_36C9_405A_93C6_149C34F63106_.wvu.FilterData" localSheetId="7" hidden="1">In_House_2023!#REF!</definedName>
    <definedName name="Z_CE52931E_36C9_405A_93C6_149C34F63106_.wvu.FilterData" localSheetId="8" hidden="1">In_House_2023_old!#REF!</definedName>
    <definedName name="Z_D0A9CC53_B115_46BB_88B0_E1EB69B2A6A5_.wvu.FilterData" localSheetId="3" hidden="1">'In transit '!#REF!</definedName>
    <definedName name="Z_D0A9CC53_B115_46BB_88B0_E1EB69B2A6A5_.wvu.FilterData" localSheetId="12" hidden="1">In_House_2019!#REF!</definedName>
    <definedName name="Z_D0A9CC53_B115_46BB_88B0_E1EB69B2A6A5_.wvu.FilterData" localSheetId="11" hidden="1">In_House_2020!#REF!</definedName>
    <definedName name="Z_D0A9CC53_B115_46BB_88B0_E1EB69B2A6A5_.wvu.FilterData" localSheetId="10" hidden="1">In_House_2021!#REF!</definedName>
    <definedName name="Z_D0A9CC53_B115_46BB_88B0_E1EB69B2A6A5_.wvu.FilterData" localSheetId="9" hidden="1">In_House_2022!#REF!</definedName>
    <definedName name="Z_D0A9CC53_B115_46BB_88B0_E1EB69B2A6A5_.wvu.FilterData" localSheetId="7" hidden="1">In_House_2023!#REF!</definedName>
    <definedName name="Z_D0A9CC53_B115_46BB_88B0_E1EB69B2A6A5_.wvu.FilterData" localSheetId="8" hidden="1">In_House_2023_old!#REF!</definedName>
    <definedName name="Z_D5CDEF3B_0E23_4255_BE7E_9ED212027C9C_.wvu.FilterData" localSheetId="3" hidden="1">'In transit '!#REF!</definedName>
    <definedName name="Z_D5CDEF3B_0E23_4255_BE7E_9ED212027C9C_.wvu.FilterData" localSheetId="12" hidden="1">In_House_2019!#REF!</definedName>
    <definedName name="Z_D5CDEF3B_0E23_4255_BE7E_9ED212027C9C_.wvu.FilterData" localSheetId="11" hidden="1">In_House_2020!#REF!</definedName>
    <definedName name="Z_D5CDEF3B_0E23_4255_BE7E_9ED212027C9C_.wvu.FilterData" localSheetId="10" hidden="1">In_House_2021!#REF!</definedName>
    <definedName name="Z_D5CDEF3B_0E23_4255_BE7E_9ED212027C9C_.wvu.FilterData" localSheetId="9" hidden="1">In_House_2022!#REF!</definedName>
    <definedName name="Z_D5CDEF3B_0E23_4255_BE7E_9ED212027C9C_.wvu.FilterData" localSheetId="7" hidden="1">In_House_2023!#REF!</definedName>
    <definedName name="Z_D5CDEF3B_0E23_4255_BE7E_9ED212027C9C_.wvu.FilterData" localSheetId="8" hidden="1">In_House_2023_old!#REF!</definedName>
    <definedName name="Z_D64C44F5_10C9_401F_BF16_64AB56900BED_.wvu.FilterData" localSheetId="3" hidden="1">'In transit '!#REF!</definedName>
    <definedName name="Z_D64C44F5_10C9_401F_BF16_64AB56900BED_.wvu.FilterData" localSheetId="12" hidden="1">In_House_2019!#REF!</definedName>
    <definedName name="Z_D64C44F5_10C9_401F_BF16_64AB56900BED_.wvu.FilterData" localSheetId="11" hidden="1">In_House_2020!#REF!</definedName>
    <definedName name="Z_D64C44F5_10C9_401F_BF16_64AB56900BED_.wvu.FilterData" localSheetId="10" hidden="1">In_House_2021!#REF!</definedName>
    <definedName name="Z_D64C44F5_10C9_401F_BF16_64AB56900BED_.wvu.FilterData" localSheetId="9" hidden="1">In_House_2022!#REF!</definedName>
    <definedName name="Z_D64C44F5_10C9_401F_BF16_64AB56900BED_.wvu.FilterData" localSheetId="7" hidden="1">In_House_2023!#REF!</definedName>
    <definedName name="Z_D64C44F5_10C9_401F_BF16_64AB56900BED_.wvu.FilterData" localSheetId="8" hidden="1">In_House_2023_old!#REF!</definedName>
    <definedName name="Z_DB7F69A5_1F29_48A3_A4F1_5B9DC44F659F_.wvu.FilterData" localSheetId="3" hidden="1">'In transit '!#REF!</definedName>
    <definedName name="Z_DB7F69A5_1F29_48A3_A4F1_5B9DC44F659F_.wvu.FilterData" localSheetId="12" hidden="1">In_House_2019!#REF!</definedName>
    <definedName name="Z_DB7F69A5_1F29_48A3_A4F1_5B9DC44F659F_.wvu.FilterData" localSheetId="11" hidden="1">In_House_2020!#REF!</definedName>
    <definedName name="Z_DB7F69A5_1F29_48A3_A4F1_5B9DC44F659F_.wvu.FilterData" localSheetId="10" hidden="1">In_House_2021!#REF!</definedName>
    <definedName name="Z_DB7F69A5_1F29_48A3_A4F1_5B9DC44F659F_.wvu.FilterData" localSheetId="9" hidden="1">In_House_2022!#REF!</definedName>
    <definedName name="Z_DB7F69A5_1F29_48A3_A4F1_5B9DC44F659F_.wvu.FilterData" localSheetId="7" hidden="1">In_House_2023!#REF!</definedName>
    <definedName name="Z_DB7F69A5_1F29_48A3_A4F1_5B9DC44F659F_.wvu.FilterData" localSheetId="8" hidden="1">In_House_2023_old!#REF!</definedName>
    <definedName name="Z_DBCD602E_6FAA_48E9_853F_95BA60A4F92B_.wvu.FilterData" localSheetId="3" hidden="1">'In transit '!#REF!</definedName>
    <definedName name="Z_DBCD602E_6FAA_48E9_853F_95BA60A4F92B_.wvu.FilterData" localSheetId="12" hidden="1">In_House_2019!#REF!</definedName>
    <definedName name="Z_DBCD602E_6FAA_48E9_853F_95BA60A4F92B_.wvu.FilterData" localSheetId="11" hidden="1">In_House_2020!#REF!</definedName>
    <definedName name="Z_DBCD602E_6FAA_48E9_853F_95BA60A4F92B_.wvu.FilterData" localSheetId="10" hidden="1">In_House_2021!#REF!</definedName>
    <definedName name="Z_DBCD602E_6FAA_48E9_853F_95BA60A4F92B_.wvu.FilterData" localSheetId="9" hidden="1">In_House_2022!#REF!</definedName>
    <definedName name="Z_DBCD602E_6FAA_48E9_853F_95BA60A4F92B_.wvu.FilterData" localSheetId="7" hidden="1">In_House_2023!#REF!</definedName>
    <definedName name="Z_DBCD602E_6FAA_48E9_853F_95BA60A4F92B_.wvu.FilterData" localSheetId="8" hidden="1">In_House_2023_old!#REF!</definedName>
    <definedName name="Z_DEAD857C_E742_4582_892F_EFCA94380712_.wvu.FilterData" localSheetId="2" hidden="1">DAs!$A$2:$M$14</definedName>
    <definedName name="Z_DEAD857C_E742_4582_892F_EFCA94380712_.wvu.FilterData" localSheetId="4" hidden="1">'In House'!$A$1:$AV$613</definedName>
    <definedName name="Z_DEAD857C_E742_4582_892F_EFCA94380712_.wvu.FilterData" localSheetId="6" hidden="1">'In house - diversos'!$B$1:$K$113</definedName>
    <definedName name="Z_DEAD857C_E742_4582_892F_EFCA94380712_.wvu.FilterData" localSheetId="5" hidden="1">'In House - NEs'!$A$1:$F$64</definedName>
    <definedName name="Z_DEAD857C_E742_4582_892F_EFCA94380712_.wvu.FilterData" localSheetId="3" hidden="1">'In transit '!#REF!</definedName>
    <definedName name="Z_DEAD857C_E742_4582_892F_EFCA94380712_.wvu.FilterData" localSheetId="12" hidden="1">In_House_2019!#REF!</definedName>
    <definedName name="Z_DEAD857C_E742_4582_892F_EFCA94380712_.wvu.FilterData" localSheetId="11" hidden="1">In_House_2020!#REF!</definedName>
    <definedName name="Z_DEAD857C_E742_4582_892F_EFCA94380712_.wvu.FilterData" localSheetId="10" hidden="1">In_House_2021!#REF!</definedName>
    <definedName name="Z_DEAD857C_E742_4582_892F_EFCA94380712_.wvu.FilterData" localSheetId="9" hidden="1">In_House_2022!#REF!</definedName>
    <definedName name="Z_DEAD857C_E742_4582_892F_EFCA94380712_.wvu.FilterData" localSheetId="7" hidden="1">In_House_2023!#REF!</definedName>
    <definedName name="Z_DEAD857C_E742_4582_892F_EFCA94380712_.wvu.FilterData" localSheetId="8" hidden="1">In_House_2023_old!#REF!</definedName>
    <definedName name="Z_DEAD857C_E742_4582_892F_EFCA94380712_.wvu.FilterData" localSheetId="1" hidden="1">NEs!$A$1:$AI$1</definedName>
    <definedName name="Z_DEAD857C_E742_4582_892F_EFCA94380712_.wvu.Rows" localSheetId="4" hidden="1">'In House'!$2:$612</definedName>
    <definedName name="Z_DEAD857C_E742_4582_892F_EFCA94380712_.wvu.Rows" localSheetId="5" hidden="1">'In House - NEs'!$2:$42</definedName>
    <definedName name="Z_DFE2D5D5_71A5_4339_BCA5_7678FFD07D26_.wvu.FilterData" localSheetId="2" hidden="1">DAs!$A$2:$M$14</definedName>
    <definedName name="Z_E2AD150D_0165_4155_B44C_61D8790C2FA5_.wvu.FilterData" localSheetId="3" hidden="1">'In transit '!#REF!</definedName>
    <definedName name="Z_E2AD150D_0165_4155_B44C_61D8790C2FA5_.wvu.FilterData" localSheetId="12" hidden="1">In_House_2019!#REF!</definedName>
    <definedName name="Z_E2AD150D_0165_4155_B44C_61D8790C2FA5_.wvu.FilterData" localSheetId="11" hidden="1">In_House_2020!#REF!</definedName>
    <definedName name="Z_E2AD150D_0165_4155_B44C_61D8790C2FA5_.wvu.FilterData" localSheetId="10" hidden="1">In_House_2021!#REF!</definedName>
    <definedName name="Z_E2AD150D_0165_4155_B44C_61D8790C2FA5_.wvu.FilterData" localSheetId="9" hidden="1">In_House_2022!#REF!</definedName>
    <definedName name="Z_E2AD150D_0165_4155_B44C_61D8790C2FA5_.wvu.FilterData" localSheetId="7" hidden="1">In_House_2023!#REF!</definedName>
    <definedName name="Z_E2AD150D_0165_4155_B44C_61D8790C2FA5_.wvu.FilterData" localSheetId="8" hidden="1">In_House_2023_old!#REF!</definedName>
    <definedName name="Z_E39C24B7_6B32_4965_B3ED_735EB047EA8A_.wvu.FilterData" localSheetId="3" hidden="1">'In transit '!#REF!</definedName>
    <definedName name="Z_E39C24B7_6B32_4965_B3ED_735EB047EA8A_.wvu.FilterData" localSheetId="12" hidden="1">In_House_2019!#REF!</definedName>
    <definedName name="Z_E39C24B7_6B32_4965_B3ED_735EB047EA8A_.wvu.FilterData" localSheetId="11" hidden="1">In_House_2020!#REF!</definedName>
    <definedName name="Z_E39C24B7_6B32_4965_B3ED_735EB047EA8A_.wvu.FilterData" localSheetId="10" hidden="1">In_House_2021!#REF!</definedName>
    <definedName name="Z_E39C24B7_6B32_4965_B3ED_735EB047EA8A_.wvu.FilterData" localSheetId="9" hidden="1">In_House_2022!#REF!</definedName>
    <definedName name="Z_E39C24B7_6B32_4965_B3ED_735EB047EA8A_.wvu.FilterData" localSheetId="7" hidden="1">In_House_2023!#REF!</definedName>
    <definedName name="Z_E39C24B7_6B32_4965_B3ED_735EB047EA8A_.wvu.FilterData" localSheetId="8" hidden="1">In_House_2023_old!#REF!</definedName>
    <definedName name="Z_E3C80A36_8FF1_4A36_BF6E_23A2499F12F9_.wvu.FilterData" localSheetId="3" hidden="1">'In transit '!#REF!</definedName>
    <definedName name="Z_E3C80A36_8FF1_4A36_BF6E_23A2499F12F9_.wvu.FilterData" localSheetId="12" hidden="1">In_House_2019!#REF!</definedName>
    <definedName name="Z_E3C80A36_8FF1_4A36_BF6E_23A2499F12F9_.wvu.FilterData" localSheetId="11" hidden="1">In_House_2020!#REF!</definedName>
    <definedName name="Z_E3C80A36_8FF1_4A36_BF6E_23A2499F12F9_.wvu.FilterData" localSheetId="10" hidden="1">In_House_2021!#REF!</definedName>
    <definedName name="Z_E3C80A36_8FF1_4A36_BF6E_23A2499F12F9_.wvu.FilterData" localSheetId="9" hidden="1">In_House_2022!#REF!</definedName>
    <definedName name="Z_E3C80A36_8FF1_4A36_BF6E_23A2499F12F9_.wvu.FilterData" localSheetId="7" hidden="1">In_House_2023!#REF!</definedName>
    <definedName name="Z_E3C80A36_8FF1_4A36_BF6E_23A2499F12F9_.wvu.FilterData" localSheetId="8" hidden="1">In_House_2023_old!#REF!</definedName>
    <definedName name="Z_E5186A84_223D_4056_A8B2_5672EB66A2AD_.wvu.FilterData" localSheetId="3" hidden="1">'In transit '!#REF!</definedName>
    <definedName name="Z_E5186A84_223D_4056_A8B2_5672EB66A2AD_.wvu.FilterData" localSheetId="12" hidden="1">In_House_2019!#REF!</definedName>
    <definedName name="Z_E5186A84_223D_4056_A8B2_5672EB66A2AD_.wvu.FilterData" localSheetId="11" hidden="1">In_House_2020!#REF!</definedName>
    <definedName name="Z_E5186A84_223D_4056_A8B2_5672EB66A2AD_.wvu.FilterData" localSheetId="10" hidden="1">In_House_2021!#REF!</definedName>
    <definedName name="Z_E5186A84_223D_4056_A8B2_5672EB66A2AD_.wvu.FilterData" localSheetId="9" hidden="1">In_House_2022!#REF!</definedName>
    <definedName name="Z_E5186A84_223D_4056_A8B2_5672EB66A2AD_.wvu.FilterData" localSheetId="7" hidden="1">In_House_2023!#REF!</definedName>
    <definedName name="Z_E5186A84_223D_4056_A8B2_5672EB66A2AD_.wvu.FilterData" localSheetId="8" hidden="1">In_House_2023_old!#REF!</definedName>
    <definedName name="Z_E65C7E60_6B49_4EFA_BEDF_B81145CED0E5_.wvu.FilterData" localSheetId="3" hidden="1">'In transit '!#REF!</definedName>
    <definedName name="Z_E65C7E60_6B49_4EFA_BEDF_B81145CED0E5_.wvu.FilterData" localSheetId="12" hidden="1">In_House_2019!#REF!</definedName>
    <definedName name="Z_E65C7E60_6B49_4EFA_BEDF_B81145CED0E5_.wvu.FilterData" localSheetId="11" hidden="1">In_House_2020!#REF!</definedName>
    <definedName name="Z_E65C7E60_6B49_4EFA_BEDF_B81145CED0E5_.wvu.FilterData" localSheetId="10" hidden="1">In_House_2021!#REF!</definedName>
    <definedName name="Z_E65C7E60_6B49_4EFA_BEDF_B81145CED0E5_.wvu.FilterData" localSheetId="9" hidden="1">In_House_2022!#REF!</definedName>
    <definedName name="Z_E65C7E60_6B49_4EFA_BEDF_B81145CED0E5_.wvu.FilterData" localSheetId="7" hidden="1">In_House_2023!#REF!</definedName>
    <definedName name="Z_E65C7E60_6B49_4EFA_BEDF_B81145CED0E5_.wvu.FilterData" localSheetId="8" hidden="1">In_House_2023_old!#REF!</definedName>
    <definedName name="Z_E694EBE7_0267_4E82_90AB_5CC29BA57480_.wvu.FilterData" localSheetId="3" hidden="1">'In transit '!#REF!</definedName>
    <definedName name="Z_E694EBE7_0267_4E82_90AB_5CC29BA57480_.wvu.FilterData" localSheetId="12" hidden="1">In_House_2019!#REF!</definedName>
    <definedName name="Z_E694EBE7_0267_4E82_90AB_5CC29BA57480_.wvu.FilterData" localSheetId="11" hidden="1">In_House_2020!#REF!</definedName>
    <definedName name="Z_E694EBE7_0267_4E82_90AB_5CC29BA57480_.wvu.FilterData" localSheetId="10" hidden="1">In_House_2021!#REF!</definedName>
    <definedName name="Z_E694EBE7_0267_4E82_90AB_5CC29BA57480_.wvu.FilterData" localSheetId="9" hidden="1">In_House_2022!#REF!</definedName>
    <definedName name="Z_E694EBE7_0267_4E82_90AB_5CC29BA57480_.wvu.FilterData" localSheetId="7" hidden="1">In_House_2023!#REF!</definedName>
    <definedName name="Z_E694EBE7_0267_4E82_90AB_5CC29BA57480_.wvu.FilterData" localSheetId="8" hidden="1">In_House_2023_old!#REF!</definedName>
    <definedName name="Z_E88FF936_CAA4_4E44_A986_CD74209D1529_.wvu.FilterData" localSheetId="3" hidden="1">'In transit '!#REF!</definedName>
    <definedName name="Z_E88FF936_CAA4_4E44_A986_CD74209D1529_.wvu.FilterData" localSheetId="12" hidden="1">In_House_2019!#REF!</definedName>
    <definedName name="Z_E88FF936_CAA4_4E44_A986_CD74209D1529_.wvu.FilterData" localSheetId="11" hidden="1">In_House_2020!#REF!</definedName>
    <definedName name="Z_E88FF936_CAA4_4E44_A986_CD74209D1529_.wvu.FilterData" localSheetId="10" hidden="1">In_House_2021!#REF!</definedName>
    <definedName name="Z_E88FF936_CAA4_4E44_A986_CD74209D1529_.wvu.FilterData" localSheetId="9" hidden="1">In_House_2022!#REF!</definedName>
    <definedName name="Z_E88FF936_CAA4_4E44_A986_CD74209D1529_.wvu.FilterData" localSheetId="7" hidden="1">In_House_2023!#REF!</definedName>
    <definedName name="Z_E88FF936_CAA4_4E44_A986_CD74209D1529_.wvu.FilterData" localSheetId="8" hidden="1">In_House_2023_old!#REF!</definedName>
    <definedName name="Z_EA950493_F78E_491E_A54B_71334C3B76A2_.wvu.FilterData" localSheetId="3" hidden="1">'In transit '!#REF!</definedName>
    <definedName name="Z_EA950493_F78E_491E_A54B_71334C3B76A2_.wvu.FilterData" localSheetId="12" hidden="1">In_House_2019!#REF!</definedName>
    <definedName name="Z_EA950493_F78E_491E_A54B_71334C3B76A2_.wvu.FilterData" localSheetId="11" hidden="1">In_House_2020!#REF!</definedName>
    <definedName name="Z_EA950493_F78E_491E_A54B_71334C3B76A2_.wvu.FilterData" localSheetId="10" hidden="1">In_House_2021!#REF!</definedName>
    <definedName name="Z_EA950493_F78E_491E_A54B_71334C3B76A2_.wvu.FilterData" localSheetId="9" hidden="1">In_House_2022!#REF!</definedName>
    <definedName name="Z_EA950493_F78E_491E_A54B_71334C3B76A2_.wvu.FilterData" localSheetId="7" hidden="1">In_House_2023!#REF!</definedName>
    <definedName name="Z_EA950493_F78E_491E_A54B_71334C3B76A2_.wvu.FilterData" localSheetId="8" hidden="1">In_House_2023_old!#REF!</definedName>
    <definedName name="Z_EC42F647_5C60_40B4_86A2_B04014C5CD9A_.wvu.FilterData" localSheetId="3" hidden="1">'In transit '!#REF!</definedName>
    <definedName name="Z_EC42F647_5C60_40B4_86A2_B04014C5CD9A_.wvu.FilterData" localSheetId="12" hidden="1">In_House_2019!#REF!</definedName>
    <definedName name="Z_EC42F647_5C60_40B4_86A2_B04014C5CD9A_.wvu.FilterData" localSheetId="11" hidden="1">In_House_2020!#REF!</definedName>
    <definedName name="Z_EC42F647_5C60_40B4_86A2_B04014C5CD9A_.wvu.FilterData" localSheetId="10" hidden="1">In_House_2021!#REF!</definedName>
    <definedName name="Z_EC42F647_5C60_40B4_86A2_B04014C5CD9A_.wvu.FilterData" localSheetId="9" hidden="1">In_House_2022!#REF!</definedName>
    <definedName name="Z_EC42F647_5C60_40B4_86A2_B04014C5CD9A_.wvu.FilterData" localSheetId="7" hidden="1">In_House_2023!#REF!</definedName>
    <definedName name="Z_EC42F647_5C60_40B4_86A2_B04014C5CD9A_.wvu.FilterData" localSheetId="8" hidden="1">In_House_2023_old!#REF!</definedName>
    <definedName name="Z_ED6E5188_7A44_4F80_9ED1_A3E3671DB71A_.wvu.FilterData" localSheetId="3" hidden="1">'In transit '!#REF!</definedName>
    <definedName name="Z_ED6E5188_7A44_4F80_9ED1_A3E3671DB71A_.wvu.FilterData" localSheetId="12" hidden="1">In_House_2019!#REF!</definedName>
    <definedName name="Z_ED6E5188_7A44_4F80_9ED1_A3E3671DB71A_.wvu.FilterData" localSheetId="11" hidden="1">In_House_2020!#REF!</definedName>
    <definedName name="Z_ED6E5188_7A44_4F80_9ED1_A3E3671DB71A_.wvu.FilterData" localSheetId="10" hidden="1">In_House_2021!#REF!</definedName>
    <definedName name="Z_ED6E5188_7A44_4F80_9ED1_A3E3671DB71A_.wvu.FilterData" localSheetId="9" hidden="1">In_House_2022!#REF!</definedName>
    <definedName name="Z_ED6E5188_7A44_4F80_9ED1_A3E3671DB71A_.wvu.FilterData" localSheetId="7" hidden="1">In_House_2023!#REF!</definedName>
    <definedName name="Z_ED6E5188_7A44_4F80_9ED1_A3E3671DB71A_.wvu.FilterData" localSheetId="8" hidden="1">In_House_2023_old!#REF!</definedName>
    <definedName name="Z_EF0E2FBE_B784_4A48_8990_917DF6FE65F4_.wvu.FilterData" localSheetId="3" hidden="1">'In transit '!#REF!</definedName>
    <definedName name="Z_EF0E2FBE_B784_4A48_8990_917DF6FE65F4_.wvu.FilterData" localSheetId="12" hidden="1">In_House_2019!#REF!</definedName>
    <definedName name="Z_EF0E2FBE_B784_4A48_8990_917DF6FE65F4_.wvu.FilterData" localSheetId="11" hidden="1">In_House_2020!#REF!</definedName>
    <definedName name="Z_EF0E2FBE_B784_4A48_8990_917DF6FE65F4_.wvu.FilterData" localSheetId="10" hidden="1">In_House_2021!#REF!</definedName>
    <definedName name="Z_EF0E2FBE_B784_4A48_8990_917DF6FE65F4_.wvu.FilterData" localSheetId="9" hidden="1">In_House_2022!#REF!</definedName>
    <definedName name="Z_EF0E2FBE_B784_4A48_8990_917DF6FE65F4_.wvu.FilterData" localSheetId="7" hidden="1">In_House_2023!#REF!</definedName>
    <definedName name="Z_EF0E2FBE_B784_4A48_8990_917DF6FE65F4_.wvu.FilterData" localSheetId="8" hidden="1">In_House_2023_old!#REF!</definedName>
    <definedName name="Z_F182A504_033F_4632_91BA_6D89212B558A_.wvu.FilterData" localSheetId="3" hidden="1">'In transit '!#REF!</definedName>
    <definedName name="Z_F182A504_033F_4632_91BA_6D89212B558A_.wvu.FilterData" localSheetId="12" hidden="1">In_House_2019!#REF!</definedName>
    <definedName name="Z_F182A504_033F_4632_91BA_6D89212B558A_.wvu.FilterData" localSheetId="11" hidden="1">In_House_2020!#REF!</definedName>
    <definedName name="Z_F182A504_033F_4632_91BA_6D89212B558A_.wvu.FilterData" localSheetId="10" hidden="1">In_House_2021!#REF!</definedName>
    <definedName name="Z_F182A504_033F_4632_91BA_6D89212B558A_.wvu.FilterData" localSheetId="9" hidden="1">In_House_2022!#REF!</definedName>
    <definedName name="Z_F182A504_033F_4632_91BA_6D89212B558A_.wvu.FilterData" localSheetId="7" hidden="1">In_House_2023!#REF!</definedName>
    <definedName name="Z_F182A504_033F_4632_91BA_6D89212B558A_.wvu.FilterData" localSheetId="8" hidden="1">In_House_2023_old!#REF!</definedName>
    <definedName name="Z_F1CC5DE7_B9A5_4C62_939A_B244DF16B06C_.wvu.FilterData" localSheetId="3" hidden="1">'In transit '!#REF!</definedName>
    <definedName name="Z_F1CC5DE7_B9A5_4C62_939A_B244DF16B06C_.wvu.FilterData" localSheetId="12" hidden="1">In_House_2019!#REF!</definedName>
    <definedName name="Z_F1CC5DE7_B9A5_4C62_939A_B244DF16B06C_.wvu.FilterData" localSheetId="11" hidden="1">In_House_2020!#REF!</definedName>
    <definedName name="Z_F1CC5DE7_B9A5_4C62_939A_B244DF16B06C_.wvu.FilterData" localSheetId="10" hidden="1">In_House_2021!#REF!</definedName>
    <definedName name="Z_F1CC5DE7_B9A5_4C62_939A_B244DF16B06C_.wvu.FilterData" localSheetId="9" hidden="1">In_House_2022!#REF!</definedName>
    <definedName name="Z_F1CC5DE7_B9A5_4C62_939A_B244DF16B06C_.wvu.FilterData" localSheetId="7" hidden="1">In_House_2023!#REF!</definedName>
    <definedName name="Z_F1CC5DE7_B9A5_4C62_939A_B244DF16B06C_.wvu.FilterData" localSheetId="8" hidden="1">In_House_2023_old!#REF!</definedName>
    <definedName name="Z_F2D5B18E_BD90_4276_8291_82B7F689171C_.wvu.FilterData" localSheetId="3" hidden="1">'In transit '!#REF!</definedName>
    <definedName name="Z_F2D5B18E_BD90_4276_8291_82B7F689171C_.wvu.FilterData" localSheetId="12" hidden="1">In_House_2019!#REF!</definedName>
    <definedName name="Z_F2D5B18E_BD90_4276_8291_82B7F689171C_.wvu.FilterData" localSheetId="11" hidden="1">In_House_2020!#REF!</definedName>
    <definedName name="Z_F2D5B18E_BD90_4276_8291_82B7F689171C_.wvu.FilterData" localSheetId="10" hidden="1">In_House_2021!#REF!</definedName>
    <definedName name="Z_F2D5B18E_BD90_4276_8291_82B7F689171C_.wvu.FilterData" localSheetId="9" hidden="1">In_House_2022!#REF!</definedName>
    <definedName name="Z_F2D5B18E_BD90_4276_8291_82B7F689171C_.wvu.FilterData" localSheetId="7" hidden="1">In_House_2023!#REF!</definedName>
    <definedName name="Z_F2D5B18E_BD90_4276_8291_82B7F689171C_.wvu.FilterData" localSheetId="8" hidden="1">In_House_2023_old!#REF!</definedName>
    <definedName name="Z_F46AFBFA_1956_4566_8F78_D8CF0C3EED33_.wvu.FilterData" localSheetId="3" hidden="1">'In transit '!#REF!</definedName>
    <definedName name="Z_F46AFBFA_1956_4566_8F78_D8CF0C3EED33_.wvu.FilterData" localSheetId="12" hidden="1">In_House_2019!#REF!</definedName>
    <definedName name="Z_F46AFBFA_1956_4566_8F78_D8CF0C3EED33_.wvu.FilterData" localSheetId="11" hidden="1">In_House_2020!#REF!</definedName>
    <definedName name="Z_F46AFBFA_1956_4566_8F78_D8CF0C3EED33_.wvu.FilterData" localSheetId="10" hidden="1">In_House_2021!#REF!</definedName>
    <definedName name="Z_F46AFBFA_1956_4566_8F78_D8CF0C3EED33_.wvu.FilterData" localSheetId="9" hidden="1">In_House_2022!#REF!</definedName>
    <definedName name="Z_F46AFBFA_1956_4566_8F78_D8CF0C3EED33_.wvu.FilterData" localSheetId="7" hidden="1">In_House_2023!#REF!</definedName>
    <definedName name="Z_F46AFBFA_1956_4566_8F78_D8CF0C3EED33_.wvu.FilterData" localSheetId="8" hidden="1">In_House_2023_old!#REF!</definedName>
    <definedName name="Z_F5618AF8_9762_4B45_9262_ACB27DD829E9_.wvu.FilterData" localSheetId="3" hidden="1">'In transit '!#REF!</definedName>
    <definedName name="Z_F5618AF8_9762_4B45_9262_ACB27DD829E9_.wvu.FilterData" localSheetId="12" hidden="1">In_House_2019!#REF!</definedName>
    <definedName name="Z_F5618AF8_9762_4B45_9262_ACB27DD829E9_.wvu.FilterData" localSheetId="11" hidden="1">In_House_2020!#REF!</definedName>
    <definedName name="Z_F5618AF8_9762_4B45_9262_ACB27DD829E9_.wvu.FilterData" localSheetId="10" hidden="1">In_House_2021!#REF!</definedName>
    <definedName name="Z_F5618AF8_9762_4B45_9262_ACB27DD829E9_.wvu.FilterData" localSheetId="9" hidden="1">In_House_2022!#REF!</definedName>
    <definedName name="Z_F5618AF8_9762_4B45_9262_ACB27DD829E9_.wvu.FilterData" localSheetId="7" hidden="1">In_House_2023!#REF!</definedName>
    <definedName name="Z_F5618AF8_9762_4B45_9262_ACB27DD829E9_.wvu.FilterData" localSheetId="8" hidden="1">In_House_2023_old!#REF!</definedName>
    <definedName name="Z_F7353B62_1552_4685_B4BE_49CCB87D3BC5_.wvu.FilterData" localSheetId="3" hidden="1">'In transit '!#REF!</definedName>
    <definedName name="Z_F7353B62_1552_4685_B4BE_49CCB87D3BC5_.wvu.FilterData" localSheetId="12" hidden="1">In_House_2019!#REF!</definedName>
    <definedName name="Z_F7353B62_1552_4685_B4BE_49CCB87D3BC5_.wvu.FilterData" localSheetId="11" hidden="1">In_House_2020!#REF!</definedName>
    <definedName name="Z_F7353B62_1552_4685_B4BE_49CCB87D3BC5_.wvu.FilterData" localSheetId="10" hidden="1">In_House_2021!#REF!</definedName>
    <definedName name="Z_F7353B62_1552_4685_B4BE_49CCB87D3BC5_.wvu.FilterData" localSheetId="9" hidden="1">In_House_2022!#REF!</definedName>
    <definedName name="Z_F7353B62_1552_4685_B4BE_49CCB87D3BC5_.wvu.FilterData" localSheetId="7" hidden="1">In_House_2023!#REF!</definedName>
    <definedName name="Z_F7353B62_1552_4685_B4BE_49CCB87D3BC5_.wvu.FilterData" localSheetId="8" hidden="1">In_House_2023_old!#REF!</definedName>
    <definedName name="Z_F761EB3D_7262_46A7_BBAE_D8A484A23251_.wvu.FilterData" localSheetId="3" hidden="1">'In transit '!#REF!</definedName>
    <definedName name="Z_F761EB3D_7262_46A7_BBAE_D8A484A23251_.wvu.FilterData" localSheetId="12" hidden="1">In_House_2019!#REF!</definedName>
    <definedName name="Z_F761EB3D_7262_46A7_BBAE_D8A484A23251_.wvu.FilterData" localSheetId="11" hidden="1">In_House_2020!#REF!</definedName>
    <definedName name="Z_F761EB3D_7262_46A7_BBAE_D8A484A23251_.wvu.FilterData" localSheetId="10" hidden="1">In_House_2021!#REF!</definedName>
    <definedName name="Z_F761EB3D_7262_46A7_BBAE_D8A484A23251_.wvu.FilterData" localSheetId="9" hidden="1">In_House_2022!#REF!</definedName>
    <definedName name="Z_F761EB3D_7262_46A7_BBAE_D8A484A23251_.wvu.FilterData" localSheetId="7" hidden="1">In_House_2023!#REF!</definedName>
    <definedName name="Z_F761EB3D_7262_46A7_BBAE_D8A484A23251_.wvu.FilterData" localSheetId="8" hidden="1">In_House_2023_old!#REF!</definedName>
    <definedName name="Z_F8933462_1AE7_4FAA_A961_EF036DA0F0D7_.wvu.FilterData" localSheetId="3" hidden="1">'In transit '!#REF!</definedName>
    <definedName name="Z_F8933462_1AE7_4FAA_A961_EF036DA0F0D7_.wvu.FilterData" localSheetId="12" hidden="1">In_House_2019!#REF!</definedName>
    <definedName name="Z_F8933462_1AE7_4FAA_A961_EF036DA0F0D7_.wvu.FilterData" localSheetId="11" hidden="1">In_House_2020!#REF!</definedName>
    <definedName name="Z_F8933462_1AE7_4FAA_A961_EF036DA0F0D7_.wvu.FilterData" localSheetId="10" hidden="1">In_House_2021!#REF!</definedName>
    <definedName name="Z_F8933462_1AE7_4FAA_A961_EF036DA0F0D7_.wvu.FilterData" localSheetId="9" hidden="1">In_House_2022!#REF!</definedName>
    <definedName name="Z_F8933462_1AE7_4FAA_A961_EF036DA0F0D7_.wvu.FilterData" localSheetId="7" hidden="1">In_House_2023!#REF!</definedName>
    <definedName name="Z_F8933462_1AE7_4FAA_A961_EF036DA0F0D7_.wvu.FilterData" localSheetId="8" hidden="1">In_House_2023_old!#REF!</definedName>
    <definedName name="Z_FB0ACE12_91CC_49CA_8251_3C292BA2F10B_.wvu.FilterData" localSheetId="3" hidden="1">'In transit '!#REF!</definedName>
    <definedName name="Z_FB0ACE12_91CC_49CA_8251_3C292BA2F10B_.wvu.FilterData" localSheetId="12" hidden="1">In_House_2019!#REF!</definedName>
    <definedName name="Z_FB0ACE12_91CC_49CA_8251_3C292BA2F10B_.wvu.FilterData" localSheetId="11" hidden="1">In_House_2020!#REF!</definedName>
    <definedName name="Z_FB0ACE12_91CC_49CA_8251_3C292BA2F10B_.wvu.FilterData" localSheetId="10" hidden="1">In_House_2021!#REF!</definedName>
    <definedName name="Z_FB0ACE12_91CC_49CA_8251_3C292BA2F10B_.wvu.FilterData" localSheetId="9" hidden="1">In_House_2022!#REF!</definedName>
    <definedName name="Z_FB0ACE12_91CC_49CA_8251_3C292BA2F10B_.wvu.FilterData" localSheetId="7" hidden="1">In_House_2023!#REF!</definedName>
    <definedName name="Z_FB0ACE12_91CC_49CA_8251_3C292BA2F10B_.wvu.FilterData" localSheetId="8" hidden="1">In_House_2023_old!#REF!</definedName>
    <definedName name="Z_FC203FE2_4526_476A_9F5A_46F1BBA05120_.wvu.FilterData" localSheetId="3" hidden="1">'In transit '!#REF!</definedName>
    <definedName name="Z_FC203FE2_4526_476A_9F5A_46F1BBA05120_.wvu.FilterData" localSheetId="12" hidden="1">In_House_2019!#REF!</definedName>
    <definedName name="Z_FC203FE2_4526_476A_9F5A_46F1BBA05120_.wvu.FilterData" localSheetId="11" hidden="1">In_House_2020!#REF!</definedName>
    <definedName name="Z_FC203FE2_4526_476A_9F5A_46F1BBA05120_.wvu.FilterData" localSheetId="10" hidden="1">In_House_2021!#REF!</definedName>
    <definedName name="Z_FC203FE2_4526_476A_9F5A_46F1BBA05120_.wvu.FilterData" localSheetId="9" hidden="1">In_House_2022!#REF!</definedName>
    <definedName name="Z_FC203FE2_4526_476A_9F5A_46F1BBA05120_.wvu.FilterData" localSheetId="7" hidden="1">In_House_2023!#REF!</definedName>
    <definedName name="Z_FC203FE2_4526_476A_9F5A_46F1BBA05120_.wvu.FilterData" localSheetId="8" hidden="1">In_House_2023_old!#REF!</definedName>
  </definedNames>
  <calcPr calcId="125725"/>
  <customWorkbookViews>
    <customWorkbookView name="anasouza - Modo de exibição pessoal" guid="{3DC6DB2D-2732-413F-B168-80FED6A56EC0}" mergeInterval="0" personalView="1" maximized="1" xWindow="1" yWindow="1" windowWidth="1436" windowHeight="670" tabRatio="626" activeSheetId="4"/>
    <customWorkbookView name="monicanascimento - Personal View" guid="{B7B7C792-01A7-4AC6-B514-9B8806F4E6E0}" mergeInterval="0" personalView="1" maximized="1" xWindow="1" yWindow="1" windowWidth="1436" windowHeight="647" tabRatio="626" activeSheetId="8"/>
    <customWorkbookView name="paulolourencao - Modo de exibição pessoal" guid="{269F1B10-4E07-42BC-BAEF-00343A929B24}" mergeInterval="0" personalView="1" maximized="1" xWindow="1" yWindow="1" windowWidth="1362" windowHeight="547" tabRatio="626" activeSheetId="4"/>
    <customWorkbookView name="reginabernardo - Personal View" guid="{2480A4FF-65AB-41EC-9340-4163653E8C2C}" mergeInterval="0" personalView="1" maximized="1" xWindow="1" yWindow="1" windowWidth="1362" windowHeight="547" tabRatio="626" activeSheetId="4"/>
    <customWorkbookView name="Yago - Modo de exibição pessoal" guid="{316BA082-4614-439F-9CB4-340D61BDC344}" mergeInterval="0" personalView="1" maximized="1" xWindow="1" yWindow="1" windowWidth="1676" windowHeight="820" activeSheetId="4"/>
    <customWorkbookView name="jessicaamstalden - Personal View" guid="{8FE2D47B-0E59-4D19-A2DA-A420176425F0}" mergeInterval="0" personalView="1" maximized="1" windowWidth="1148" windowHeight="692" activeSheetId="4"/>
    <customWorkbookView name="carinaribeiro - Personal View" guid="{471B9EAC-32FD-4AB4-B189-11C2ED8F5F72}" mergeInterval="0" personalView="1" maximized="1" xWindow="1" yWindow="1" windowWidth="1276" windowHeight="894" activeSheetId="4"/>
    <customWorkbookView name="terc-aon1 - Personal View" guid="{737B1B74-A15D-4372-A92B-22C1B1EB3690}" mergeInterval="0" personalView="1" maximized="1" xWindow="1" yWindow="1" windowWidth="1024" windowHeight="547" activeSheetId="4"/>
    <customWorkbookView name="mariabuzanello - Personal View" guid="{91008F47-B234-416A-9BC2-294844B4E685}" mergeInterval="0" personalView="1" maximized="1" windowWidth="1020" windowHeight="596" activeSheetId="4"/>
    <customWorkbookView name="reginabernardo - Modo de exibição pessoal" guid="{38CDF8B5-0F48-433A-A36F-EAD87AD19578}" autoUpdate="1" mergeInterval="15" onlySync="1" personalView="1" maximized="1" xWindow="1" yWindow="1" windowWidth="1020" windowHeight="547" tabRatio="626" activeSheetId="8"/>
    <customWorkbookView name="anasouza - Personal View" guid="{DEAD857C-E742-4582-892F-EFCA94380712}" mergeInterval="0" personalView="1" maximized="1" xWindow="1" yWindow="1" windowWidth="1020" windowHeight="547" tabRatio="626" activeSheetId="4"/>
  </customWorkbookViews>
  <fileRecoveryPr autoRecover="0"/>
</workbook>
</file>

<file path=xl/calcChain.xml><?xml version="1.0" encoding="utf-8"?>
<calcChain xmlns="http://schemas.openxmlformats.org/spreadsheetml/2006/main">
  <c r="A21" i="44"/>
  <c r="B21"/>
  <c r="C21"/>
  <c r="A22"/>
  <c r="B22" s="1"/>
  <c r="C22"/>
  <c r="A23"/>
  <c r="B23" s="1"/>
  <c r="C23"/>
  <c r="A24"/>
  <c r="B24" s="1"/>
  <c r="C24"/>
  <c r="A18"/>
  <c r="B18"/>
  <c r="C18"/>
  <c r="A19"/>
  <c r="B19" s="1"/>
  <c r="C19"/>
  <c r="A20"/>
  <c r="B20" s="1"/>
  <c r="C20"/>
  <c r="R19" i="41" l="1"/>
  <c r="Q19"/>
  <c r="T19"/>
  <c r="S19"/>
  <c r="T18"/>
  <c r="S18"/>
  <c r="R18"/>
  <c r="Q18"/>
  <c r="B19"/>
  <c r="B18"/>
  <c r="A16" i="44" l="1"/>
  <c r="B16" s="1"/>
  <c r="C16"/>
  <c r="A17"/>
  <c r="B17" s="1"/>
  <c r="C17"/>
  <c r="A2"/>
  <c r="B2" s="1"/>
  <c r="C2"/>
  <c r="A3"/>
  <c r="B3" s="1"/>
  <c r="C3"/>
  <c r="A4"/>
  <c r="B4" s="1"/>
  <c r="C4"/>
  <c r="A5"/>
  <c r="B5" s="1"/>
  <c r="A6"/>
  <c r="B6" s="1"/>
  <c r="A7"/>
  <c r="B7" s="1"/>
  <c r="C7"/>
  <c r="A8"/>
  <c r="B8" s="1"/>
  <c r="C8"/>
  <c r="A9"/>
  <c r="B9" s="1"/>
  <c r="C9"/>
  <c r="A10"/>
  <c r="B10" s="1"/>
  <c r="C10"/>
  <c r="A11"/>
  <c r="B11" s="1"/>
  <c r="C11"/>
  <c r="A12"/>
  <c r="B12" s="1"/>
  <c r="C12"/>
  <c r="A13"/>
  <c r="B13" s="1"/>
  <c r="C13"/>
  <c r="A14"/>
  <c r="B14" s="1"/>
  <c r="C14"/>
  <c r="A15"/>
  <c r="B15" s="1"/>
  <c r="C15"/>
  <c r="C1"/>
  <c r="A1"/>
  <c r="B1" s="1"/>
  <c r="R17" i="41" l="1"/>
  <c r="Q17"/>
  <c r="T17"/>
  <c r="S16"/>
  <c r="T16"/>
  <c r="R16"/>
  <c r="Q16"/>
  <c r="R15"/>
  <c r="Q15"/>
  <c r="T15"/>
  <c r="S15"/>
  <c r="B17"/>
  <c r="B16"/>
  <c r="B15"/>
  <c r="AD16" i="46" l="1"/>
  <c r="V16" l="1"/>
  <c r="X16" s="1"/>
  <c r="B16"/>
  <c r="R14" i="41" l="1"/>
  <c r="Q14"/>
  <c r="T14"/>
  <c r="S14"/>
  <c r="R13"/>
  <c r="S13"/>
  <c r="Q13"/>
  <c r="T13"/>
  <c r="B14"/>
  <c r="B13"/>
  <c r="R12" l="1"/>
  <c r="Q12"/>
  <c r="R11"/>
  <c r="Q11"/>
  <c r="B12"/>
  <c r="B11"/>
  <c r="R10" l="1"/>
  <c r="Q10"/>
  <c r="T10"/>
  <c r="S10"/>
  <c r="B10"/>
  <c r="AD10" i="46" l="1"/>
  <c r="AD11"/>
  <c r="AD12"/>
  <c r="AD13"/>
  <c r="AD14"/>
  <c r="AD15"/>
  <c r="V15"/>
  <c r="X15" s="1"/>
  <c r="T15"/>
  <c r="S15"/>
  <c r="B15"/>
  <c r="X14"/>
  <c r="V14"/>
  <c r="Q14"/>
  <c r="B14"/>
  <c r="X13"/>
  <c r="V13"/>
  <c r="M13"/>
  <c r="B13"/>
  <c r="X12"/>
  <c r="V12"/>
  <c r="T12"/>
  <c r="S12"/>
  <c r="R12"/>
  <c r="Q12"/>
  <c r="M12"/>
  <c r="B12"/>
  <c r="X11"/>
  <c r="V11"/>
  <c r="M11"/>
  <c r="B11"/>
  <c r="X10"/>
  <c r="V10"/>
  <c r="M10"/>
  <c r="B10"/>
  <c r="V6" i="41" l="1"/>
  <c r="X6" s="1"/>
  <c r="V10"/>
  <c r="X10" s="1"/>
  <c r="V11"/>
  <c r="X11" s="1"/>
  <c r="V12"/>
  <c r="X12" s="1"/>
  <c r="V13"/>
  <c r="X13" s="1"/>
  <c r="V14"/>
  <c r="X14" s="1"/>
  <c r="V15"/>
  <c r="X15" s="1"/>
  <c r="V16"/>
  <c r="X16" s="1"/>
  <c r="V17"/>
  <c r="X17" s="1"/>
  <c r="V18"/>
  <c r="X18" s="1"/>
  <c r="V19"/>
  <c r="X19" s="1"/>
  <c r="V20"/>
  <c r="X20" s="1"/>
  <c r="V21"/>
  <c r="X21" s="1"/>
  <c r="V22"/>
  <c r="X22" s="1"/>
  <c r="V23"/>
  <c r="X23" s="1"/>
  <c r="V24"/>
  <c r="X24" s="1"/>
  <c r="V25"/>
  <c r="X25" s="1"/>
  <c r="V26"/>
  <c r="X26" s="1"/>
  <c r="V27"/>
  <c r="X27" s="1"/>
  <c r="V28"/>
  <c r="X28" s="1"/>
  <c r="V29"/>
  <c r="X29" s="1"/>
  <c r="V30"/>
  <c r="X30" s="1"/>
  <c r="V31"/>
  <c r="X31" s="1"/>
  <c r="V32"/>
  <c r="X32" s="1"/>
  <c r="V33"/>
  <c r="X33" s="1"/>
  <c r="V34"/>
  <c r="X34" s="1"/>
  <c r="V35"/>
  <c r="X35" s="1"/>
  <c r="V36"/>
  <c r="X36" s="1"/>
  <c r="V37"/>
  <c r="X37" s="1"/>
  <c r="V38"/>
  <c r="X38" s="1"/>
  <c r="V39"/>
  <c r="X39" s="1"/>
  <c r="V40"/>
  <c r="X40" s="1"/>
  <c r="V41"/>
  <c r="X41" s="1"/>
  <c r="V42"/>
  <c r="X42" s="1"/>
  <c r="V43"/>
  <c r="X43" s="1"/>
  <c r="V44"/>
  <c r="X44" s="1"/>
  <c r="V45"/>
  <c r="X45" s="1"/>
  <c r="V46"/>
  <c r="X46" s="1"/>
  <c r="V47"/>
  <c r="X47" s="1"/>
  <c r="V48"/>
  <c r="X48" s="1"/>
  <c r="V49"/>
  <c r="X49" s="1"/>
  <c r="V50"/>
  <c r="X50" s="1"/>
  <c r="V51"/>
  <c r="X51" s="1"/>
  <c r="V52"/>
  <c r="X52" s="1"/>
  <c r="V53"/>
  <c r="X53" s="1"/>
  <c r="V54"/>
  <c r="X54" s="1"/>
  <c r="V55"/>
  <c r="X55" s="1"/>
  <c r="V56"/>
  <c r="X56" s="1"/>
  <c r="V57"/>
  <c r="X57" s="1"/>
  <c r="V58"/>
  <c r="X58" s="1"/>
  <c r="V59"/>
  <c r="X59" s="1"/>
  <c r="V60"/>
  <c r="X60" s="1"/>
  <c r="V61"/>
  <c r="X61" s="1"/>
  <c r="V62"/>
  <c r="X62" s="1"/>
  <c r="V63"/>
  <c r="X63" s="1"/>
  <c r="V64"/>
  <c r="X64" s="1"/>
  <c r="V65"/>
  <c r="X65" s="1"/>
  <c r="V66"/>
  <c r="X66" s="1"/>
  <c r="V67"/>
  <c r="X67" s="1"/>
  <c r="V68"/>
  <c r="X68" s="1"/>
  <c r="V69"/>
  <c r="X69" s="1"/>
  <c r="V70"/>
  <c r="X70" s="1"/>
  <c r="V71"/>
  <c r="X71" s="1"/>
  <c r="V72"/>
  <c r="X72" s="1"/>
  <c r="V73"/>
  <c r="X73" s="1"/>
  <c r="V74"/>
  <c r="X74" s="1"/>
  <c r="V75"/>
  <c r="X75" s="1"/>
  <c r="V76"/>
  <c r="X76" s="1"/>
  <c r="V77"/>
  <c r="X77" s="1"/>
  <c r="V78"/>
  <c r="X78" s="1"/>
  <c r="V79"/>
  <c r="X79" s="1"/>
  <c r="V80"/>
  <c r="X80" s="1"/>
  <c r="V81"/>
  <c r="X81" s="1"/>
  <c r="V82"/>
  <c r="X82" s="1"/>
  <c r="V83"/>
  <c r="X83" s="1"/>
  <c r="V84"/>
  <c r="X84" s="1"/>
  <c r="V85"/>
  <c r="X85" s="1"/>
  <c r="V86"/>
  <c r="X86" s="1"/>
  <c r="V87"/>
  <c r="X87" s="1"/>
  <c r="V88"/>
  <c r="X88" s="1"/>
  <c r="V89"/>
  <c r="X89" s="1"/>
  <c r="V90"/>
  <c r="X90" s="1"/>
  <c r="V91"/>
  <c r="X91" s="1"/>
  <c r="V92"/>
  <c r="X92" s="1"/>
  <c r="V93"/>
  <c r="X93" s="1"/>
  <c r="V94"/>
  <c r="X94" s="1"/>
  <c r="V95"/>
  <c r="X95" s="1"/>
  <c r="V96"/>
  <c r="X96" s="1"/>
  <c r="V97"/>
  <c r="X97" s="1"/>
  <c r="V98"/>
  <c r="X98" s="1"/>
  <c r="V99"/>
  <c r="X99" s="1"/>
  <c r="V100"/>
  <c r="X100" s="1"/>
  <c r="V101"/>
  <c r="X101" s="1"/>
  <c r="V102"/>
  <c r="X102" s="1"/>
  <c r="V103"/>
  <c r="X103" s="1"/>
  <c r="V104"/>
  <c r="X104" s="1"/>
  <c r="V105"/>
  <c r="X105" s="1"/>
  <c r="V106"/>
  <c r="X106" s="1"/>
  <c r="V107"/>
  <c r="X107" s="1"/>
  <c r="V108"/>
  <c r="X108" s="1"/>
  <c r="V109"/>
  <c r="X109" s="1"/>
  <c r="V110"/>
  <c r="X110" s="1"/>
  <c r="V111"/>
  <c r="X111" s="1"/>
  <c r="V112"/>
  <c r="X112" s="1"/>
  <c r="V113"/>
  <c r="X113" s="1"/>
  <c r="V114"/>
  <c r="X114" s="1"/>
  <c r="V115"/>
  <c r="X115" s="1"/>
  <c r="V116"/>
  <c r="X116" s="1"/>
  <c r="V117"/>
  <c r="X117" s="1"/>
  <c r="V118"/>
  <c r="X118" s="1"/>
  <c r="V119"/>
  <c r="X119" s="1"/>
  <c r="V120"/>
  <c r="X120" s="1"/>
  <c r="V121"/>
  <c r="X121" s="1"/>
  <c r="V122"/>
  <c r="X122" s="1"/>
  <c r="V123"/>
  <c r="X123" s="1"/>
  <c r="V124"/>
  <c r="X124" s="1"/>
  <c r="V125"/>
  <c r="X125" s="1"/>
  <c r="V126"/>
  <c r="X126" s="1"/>
  <c r="V127"/>
  <c r="X127" s="1"/>
  <c r="V128"/>
  <c r="X128" s="1"/>
  <c r="V129"/>
  <c r="X129" s="1"/>
  <c r="V130"/>
  <c r="X130" s="1"/>
  <c r="V131"/>
  <c r="X131" s="1"/>
  <c r="V132"/>
  <c r="X132" s="1"/>
  <c r="V133"/>
  <c r="X133" s="1"/>
  <c r="V134"/>
  <c r="X134" s="1"/>
  <c r="V135"/>
  <c r="X135" s="1"/>
  <c r="V136"/>
  <c r="X136" s="1"/>
  <c r="V137"/>
  <c r="X137" s="1"/>
  <c r="V138"/>
  <c r="X138" s="1"/>
  <c r="V139"/>
  <c r="X139" s="1"/>
  <c r="V140"/>
  <c r="X140" s="1"/>
  <c r="V141"/>
  <c r="X141" s="1"/>
  <c r="V142"/>
  <c r="X142" s="1"/>
  <c r="V143"/>
  <c r="X143" s="1"/>
  <c r="V144"/>
  <c r="X144" s="1"/>
  <c r="V145"/>
  <c r="X145" s="1"/>
  <c r="V146"/>
  <c r="X146" s="1"/>
  <c r="V147"/>
  <c r="X147" s="1"/>
  <c r="V148"/>
  <c r="X148" s="1"/>
  <c r="V149"/>
  <c r="X149" s="1"/>
  <c r="V150"/>
  <c r="X150" s="1"/>
  <c r="V151"/>
  <c r="X151" s="1"/>
  <c r="V152"/>
  <c r="X152" s="1"/>
  <c r="V153"/>
  <c r="X153" s="1"/>
  <c r="V154"/>
  <c r="X154" s="1"/>
  <c r="V155"/>
  <c r="X155" s="1"/>
  <c r="V156"/>
  <c r="X156" s="1"/>
  <c r="V157"/>
  <c r="X157" s="1"/>
  <c r="V158"/>
  <c r="X158" s="1"/>
  <c r="V159"/>
  <c r="X159" s="1"/>
  <c r="V160"/>
  <c r="X160" s="1"/>
  <c r="V161"/>
  <c r="X161" s="1"/>
  <c r="V162"/>
  <c r="X162" s="1"/>
  <c r="V163"/>
  <c r="X163" s="1"/>
  <c r="V164"/>
  <c r="X164" s="1"/>
  <c r="V165"/>
  <c r="X165" s="1"/>
  <c r="V166"/>
  <c r="X166" s="1"/>
  <c r="V167"/>
  <c r="X167" s="1"/>
  <c r="V168"/>
  <c r="X168" s="1"/>
  <c r="V169"/>
  <c r="X169" s="1"/>
  <c r="V170"/>
  <c r="X170" s="1"/>
  <c r="V171"/>
  <c r="X171" s="1"/>
  <c r="V172"/>
  <c r="X172" s="1"/>
  <c r="V173"/>
  <c r="X173" s="1"/>
  <c r="V174"/>
  <c r="X174" s="1"/>
  <c r="V175"/>
  <c r="X175" s="1"/>
  <c r="V176"/>
  <c r="X176" s="1"/>
  <c r="V177"/>
  <c r="X177" s="1"/>
  <c r="V178"/>
  <c r="X178" s="1"/>
  <c r="V179"/>
  <c r="X179" s="1"/>
  <c r="V180"/>
  <c r="X180" s="1"/>
  <c r="V181"/>
  <c r="X181" s="1"/>
  <c r="V182"/>
  <c r="X182" s="1"/>
  <c r="V183"/>
  <c r="X183" s="1"/>
  <c r="V184"/>
  <c r="X184" s="1"/>
  <c r="V185"/>
  <c r="X185" s="1"/>
  <c r="V186"/>
  <c r="X186" s="1"/>
  <c r="V187"/>
  <c r="X187" s="1"/>
  <c r="V188"/>
  <c r="X188" s="1"/>
  <c r="V189"/>
  <c r="X189" s="1"/>
  <c r="V190"/>
  <c r="X190" s="1"/>
  <c r="V191"/>
  <c r="X191" s="1"/>
  <c r="V192"/>
  <c r="X192" s="1"/>
  <c r="V193"/>
  <c r="X193" s="1"/>
  <c r="V194"/>
  <c r="X194" s="1"/>
  <c r="V195"/>
  <c r="X195" s="1"/>
  <c r="V196"/>
  <c r="X196" s="1"/>
  <c r="V197"/>
  <c r="X197" s="1"/>
  <c r="V198"/>
  <c r="X198" s="1"/>
  <c r="V199"/>
  <c r="X199" s="1"/>
  <c r="V200"/>
  <c r="X200" s="1"/>
  <c r="V201"/>
  <c r="X201" s="1"/>
  <c r="V202"/>
  <c r="X202" s="1"/>
  <c r="V203"/>
  <c r="X203" s="1"/>
  <c r="V204"/>
  <c r="X204" s="1"/>
  <c r="V205"/>
  <c r="X205" s="1"/>
  <c r="V206"/>
  <c r="X206" s="1"/>
  <c r="V207"/>
  <c r="X207" s="1"/>
  <c r="V208"/>
  <c r="X208" s="1"/>
  <c r="V209"/>
  <c r="X209" s="1"/>
  <c r="V210"/>
  <c r="X210" s="1"/>
  <c r="V211"/>
  <c r="X211" s="1"/>
  <c r="V212"/>
  <c r="X212" s="1"/>
  <c r="V213"/>
  <c r="X213" s="1"/>
  <c r="V214"/>
  <c r="X214" s="1"/>
  <c r="V215"/>
  <c r="X215" s="1"/>
  <c r="V216"/>
  <c r="X216" s="1"/>
  <c r="V217"/>
  <c r="X217" s="1"/>
  <c r="V218"/>
  <c r="X218" s="1"/>
  <c r="V219"/>
  <c r="X219" s="1"/>
  <c r="V220"/>
  <c r="X220" s="1"/>
  <c r="V221"/>
  <c r="X221" s="1"/>
  <c r="V222"/>
  <c r="X222" s="1"/>
  <c r="V223"/>
  <c r="X223" s="1"/>
  <c r="V224"/>
  <c r="X224" s="1"/>
  <c r="V225"/>
  <c r="X225" s="1"/>
  <c r="V226"/>
  <c r="X226" s="1"/>
  <c r="V227"/>
  <c r="X227" s="1"/>
  <c r="V228"/>
  <c r="X228" s="1"/>
  <c r="V229"/>
  <c r="X229" s="1"/>
  <c r="V230"/>
  <c r="X230" s="1"/>
  <c r="V231"/>
  <c r="X231" s="1"/>
  <c r="V232"/>
  <c r="X232" s="1"/>
  <c r="V233"/>
  <c r="X233" s="1"/>
  <c r="V234"/>
  <c r="X234" s="1"/>
  <c r="V235"/>
  <c r="X235" s="1"/>
  <c r="V236"/>
  <c r="X236" s="1"/>
  <c r="V237"/>
  <c r="X237" s="1"/>
  <c r="V238"/>
  <c r="X238" s="1"/>
  <c r="V239"/>
  <c r="X239" s="1"/>
  <c r="V240"/>
  <c r="X240" s="1"/>
  <c r="V241"/>
  <c r="X241" s="1"/>
  <c r="V242"/>
  <c r="X242" s="1"/>
  <c r="V243"/>
  <c r="X243" s="1"/>
  <c r="V244"/>
  <c r="X244" s="1"/>
  <c r="V245"/>
  <c r="X245" s="1"/>
  <c r="V246"/>
  <c r="X246" s="1"/>
  <c r="V247"/>
  <c r="X247" s="1"/>
  <c r="V248"/>
  <c r="X248" s="1"/>
  <c r="V249"/>
  <c r="X249" s="1"/>
  <c r="V250"/>
  <c r="X250" s="1"/>
  <c r="V251"/>
  <c r="X251" s="1"/>
  <c r="V252"/>
  <c r="X252" s="1"/>
  <c r="V253"/>
  <c r="X253" s="1"/>
  <c r="V254"/>
  <c r="X254" s="1"/>
  <c r="V255"/>
  <c r="X255" s="1"/>
  <c r="V256"/>
  <c r="X256" s="1"/>
  <c r="V257"/>
  <c r="X257" s="1"/>
  <c r="V258"/>
  <c r="X258" s="1"/>
  <c r="V259"/>
  <c r="X259" s="1"/>
  <c r="V260"/>
  <c r="X260" s="1"/>
  <c r="V261"/>
  <c r="X261" s="1"/>
  <c r="V262"/>
  <c r="X262" s="1"/>
  <c r="V263"/>
  <c r="X263" s="1"/>
  <c r="V264"/>
  <c r="X264" s="1"/>
  <c r="V265"/>
  <c r="X265" s="1"/>
  <c r="V266"/>
  <c r="X266" s="1"/>
  <c r="V267"/>
  <c r="X267" s="1"/>
  <c r="V268"/>
  <c r="X268" s="1"/>
  <c r="V269"/>
  <c r="X269" s="1"/>
  <c r="V270"/>
  <c r="X270" s="1"/>
  <c r="V271"/>
  <c r="X271" s="1"/>
  <c r="V272"/>
  <c r="X272" s="1"/>
  <c r="V273"/>
  <c r="X273" s="1"/>
  <c r="V274"/>
  <c r="X274" s="1"/>
  <c r="V275"/>
  <c r="X275" s="1"/>
  <c r="V276"/>
  <c r="X276" s="1"/>
  <c r="V277"/>
  <c r="X277" s="1"/>
  <c r="V278"/>
  <c r="X278" s="1"/>
  <c r="V279"/>
  <c r="X279" s="1"/>
  <c r="V280"/>
  <c r="X280" s="1"/>
  <c r="V281"/>
  <c r="X281" s="1"/>
  <c r="V282"/>
  <c r="X282" s="1"/>
  <c r="V283"/>
  <c r="X283" s="1"/>
  <c r="V284"/>
  <c r="X284" s="1"/>
  <c r="V285"/>
  <c r="X285" s="1"/>
  <c r="V286"/>
  <c r="X286" s="1"/>
  <c r="V287"/>
  <c r="X287" s="1"/>
  <c r="V288"/>
  <c r="X288" s="1"/>
  <c r="V289"/>
  <c r="X289" s="1"/>
  <c r="V290"/>
  <c r="X290" s="1"/>
  <c r="V291"/>
  <c r="X291" s="1"/>
  <c r="V292"/>
  <c r="X292" s="1"/>
  <c r="V293"/>
  <c r="X293" s="1"/>
  <c r="V294"/>
  <c r="X294" s="1"/>
  <c r="V295"/>
  <c r="X295" s="1"/>
  <c r="V296"/>
  <c r="X296" s="1"/>
  <c r="V297"/>
  <c r="X297" s="1"/>
  <c r="V298"/>
  <c r="X298" s="1"/>
  <c r="V299"/>
  <c r="X299" s="1"/>
  <c r="V300"/>
  <c r="X300" s="1"/>
  <c r="V301"/>
  <c r="X301" s="1"/>
  <c r="V302"/>
  <c r="X302" s="1"/>
  <c r="V303"/>
  <c r="X303" s="1"/>
  <c r="V304"/>
  <c r="X304" s="1"/>
  <c r="V305"/>
  <c r="X305" s="1"/>
  <c r="V306"/>
  <c r="X306" s="1"/>
  <c r="V307"/>
  <c r="X307" s="1"/>
  <c r="V308"/>
  <c r="X308" s="1"/>
  <c r="V309"/>
  <c r="X309" s="1"/>
  <c r="V310"/>
  <c r="X310" s="1"/>
  <c r="V311"/>
  <c r="X311" s="1"/>
  <c r="V312"/>
  <c r="X312" s="1"/>
  <c r="V313"/>
  <c r="X313" s="1"/>
  <c r="V314"/>
  <c r="X314" s="1"/>
  <c r="V315"/>
  <c r="X315" s="1"/>
  <c r="V316"/>
  <c r="X316" s="1"/>
  <c r="V317"/>
  <c r="X317" s="1"/>
  <c r="V318"/>
  <c r="X318" s="1"/>
  <c r="V319"/>
  <c r="X319" s="1"/>
  <c r="V320"/>
  <c r="X320" s="1"/>
  <c r="V321"/>
  <c r="X321" s="1"/>
  <c r="V322"/>
  <c r="X322" s="1"/>
  <c r="V323"/>
  <c r="X323" s="1"/>
  <c r="V324"/>
  <c r="X324" s="1"/>
  <c r="V325"/>
  <c r="X325" s="1"/>
  <c r="V326"/>
  <c r="X326" s="1"/>
  <c r="V327"/>
  <c r="X327" s="1"/>
  <c r="V328"/>
  <c r="X328" s="1"/>
  <c r="V329"/>
  <c r="X329" s="1"/>
  <c r="V330"/>
  <c r="X330" s="1"/>
  <c r="V331"/>
  <c r="X331" s="1"/>
  <c r="V332"/>
  <c r="X332" s="1"/>
  <c r="V333"/>
  <c r="X333" s="1"/>
  <c r="V334"/>
  <c r="X334" s="1"/>
  <c r="V335"/>
  <c r="X335" s="1"/>
  <c r="V336"/>
  <c r="X336" s="1"/>
  <c r="V337"/>
  <c r="X337" s="1"/>
  <c r="V338"/>
  <c r="X338" s="1"/>
  <c r="V339"/>
  <c r="X339" s="1"/>
  <c r="V340"/>
  <c r="X340" s="1"/>
  <c r="V341"/>
  <c r="X341" s="1"/>
  <c r="V342"/>
  <c r="X342" s="1"/>
  <c r="V343"/>
  <c r="X343" s="1"/>
  <c r="V344"/>
  <c r="X344" s="1"/>
  <c r="V345"/>
  <c r="X345" s="1"/>
  <c r="V346"/>
  <c r="X346" s="1"/>
  <c r="V347"/>
  <c r="X347" s="1"/>
  <c r="V348"/>
  <c r="X348" s="1"/>
  <c r="V349"/>
  <c r="X349" s="1"/>
  <c r="V350"/>
  <c r="X350" s="1"/>
  <c r="V351"/>
  <c r="X351" s="1"/>
  <c r="V352"/>
  <c r="X352" s="1"/>
  <c r="V353"/>
  <c r="X353" s="1"/>
  <c r="V354"/>
  <c r="X354" s="1"/>
  <c r="V355"/>
  <c r="X355" s="1"/>
  <c r="V356"/>
  <c r="X356" s="1"/>
  <c r="V357"/>
  <c r="X357" s="1"/>
  <c r="V358"/>
  <c r="X358" s="1"/>
  <c r="V359"/>
  <c r="X359" s="1"/>
  <c r="V360"/>
  <c r="X360" s="1"/>
  <c r="V361"/>
  <c r="X361" s="1"/>
  <c r="V362"/>
  <c r="X362" s="1"/>
  <c r="V363"/>
  <c r="X363" s="1"/>
  <c r="V364"/>
  <c r="X364" s="1"/>
  <c r="V365"/>
  <c r="X365" s="1"/>
  <c r="V366"/>
  <c r="X366" s="1"/>
  <c r="V367"/>
  <c r="X367" s="1"/>
  <c r="V368"/>
  <c r="X368" s="1"/>
  <c r="V369"/>
  <c r="X369" s="1"/>
  <c r="V370"/>
  <c r="X370" s="1"/>
  <c r="V371"/>
  <c r="X371" s="1"/>
  <c r="V372"/>
  <c r="X372" s="1"/>
  <c r="V373"/>
  <c r="X373" s="1"/>
  <c r="V374"/>
  <c r="X374" s="1"/>
  <c r="V375"/>
  <c r="X375" s="1"/>
  <c r="V376"/>
  <c r="X376" s="1"/>
  <c r="V377"/>
  <c r="X377" s="1"/>
  <c r="V378"/>
  <c r="X378" s="1"/>
  <c r="V379"/>
  <c r="X379" s="1"/>
  <c r="V380"/>
  <c r="X380" s="1"/>
  <c r="V381"/>
  <c r="X381" s="1"/>
  <c r="V382"/>
  <c r="X382" s="1"/>
  <c r="V383"/>
  <c r="X383" s="1"/>
  <c r="V384"/>
  <c r="X384" s="1"/>
  <c r="V385"/>
  <c r="X385" s="1"/>
  <c r="V386"/>
  <c r="X386" s="1"/>
  <c r="V387"/>
  <c r="X387" s="1"/>
  <c r="V388"/>
  <c r="X388" s="1"/>
  <c r="V389"/>
  <c r="X389" s="1"/>
  <c r="V390"/>
  <c r="X390" s="1"/>
  <c r="V391"/>
  <c r="X391" s="1"/>
  <c r="V392"/>
  <c r="X392" s="1"/>
  <c r="V393"/>
  <c r="X393" s="1"/>
  <c r="V394"/>
  <c r="X394" s="1"/>
  <c r="V395"/>
  <c r="X395" s="1"/>
  <c r="V396"/>
  <c r="X396" s="1"/>
  <c r="V397"/>
  <c r="X397" s="1"/>
  <c r="V398"/>
  <c r="X398" s="1"/>
  <c r="V399"/>
  <c r="X399" s="1"/>
  <c r="V400"/>
  <c r="X400" s="1"/>
  <c r="V401"/>
  <c r="X401" s="1"/>
  <c r="V402"/>
  <c r="X402" s="1"/>
  <c r="V403"/>
  <c r="X403" s="1"/>
  <c r="V404"/>
  <c r="X404" s="1"/>
  <c r="V405"/>
  <c r="X405" s="1"/>
  <c r="V406"/>
  <c r="X406" s="1"/>
  <c r="V407"/>
  <c r="X407" s="1"/>
  <c r="V408"/>
  <c r="X408" s="1"/>
  <c r="V409"/>
  <c r="X409" s="1"/>
  <c r="V410"/>
  <c r="X410" s="1"/>
  <c r="V411"/>
  <c r="X411" s="1"/>
  <c r="V412"/>
  <c r="X412" s="1"/>
  <c r="V413"/>
  <c r="X413" s="1"/>
  <c r="V414"/>
  <c r="X414" s="1"/>
  <c r="V415"/>
  <c r="X415" s="1"/>
  <c r="V416"/>
  <c r="X416" s="1"/>
  <c r="V417"/>
  <c r="X417" s="1"/>
  <c r="V418"/>
  <c r="X418" s="1"/>
  <c r="V419"/>
  <c r="X419" s="1"/>
  <c r="V420"/>
  <c r="X420" s="1"/>
  <c r="V421"/>
  <c r="X421" s="1"/>
  <c r="V422"/>
  <c r="X422" s="1"/>
  <c r="V423"/>
  <c r="X423" s="1"/>
  <c r="V424"/>
  <c r="X424" s="1"/>
  <c r="V425"/>
  <c r="X425" s="1"/>
  <c r="V426"/>
  <c r="X426" s="1"/>
  <c r="V427"/>
  <c r="X427" s="1"/>
  <c r="V428"/>
  <c r="X428" s="1"/>
  <c r="V429"/>
  <c r="X429" s="1"/>
  <c r="V430"/>
  <c r="X430" s="1"/>
  <c r="V431"/>
  <c r="X431" s="1"/>
  <c r="V432"/>
  <c r="X432" s="1"/>
  <c r="V433"/>
  <c r="X433" s="1"/>
  <c r="V434"/>
  <c r="X434" s="1"/>
  <c r="V435"/>
  <c r="X435" s="1"/>
  <c r="V436"/>
  <c r="X436" s="1"/>
  <c r="V437"/>
  <c r="X437" s="1"/>
  <c r="V438"/>
  <c r="X438" s="1"/>
  <c r="V439"/>
  <c r="X439" s="1"/>
  <c r="V440"/>
  <c r="X440" s="1"/>
  <c r="V441"/>
  <c r="X441" s="1"/>
  <c r="V442"/>
  <c r="X442" s="1"/>
  <c r="V443"/>
  <c r="X443" s="1"/>
  <c r="V444"/>
  <c r="X444" s="1"/>
  <c r="V445"/>
  <c r="X445" s="1"/>
  <c r="V446"/>
  <c r="X446" s="1"/>
  <c r="V447"/>
  <c r="X447" s="1"/>
  <c r="V448"/>
  <c r="X448" s="1"/>
  <c r="V449"/>
  <c r="X449" s="1"/>
  <c r="V450"/>
  <c r="X450" s="1"/>
  <c r="V451"/>
  <c r="X451" s="1"/>
  <c r="V452"/>
  <c r="X452" s="1"/>
  <c r="V453"/>
  <c r="X453" s="1"/>
  <c r="V454"/>
  <c r="X454" s="1"/>
  <c r="V455"/>
  <c r="X455" s="1"/>
  <c r="V456"/>
  <c r="X456" s="1"/>
  <c r="V457"/>
  <c r="X457" s="1"/>
  <c r="V458"/>
  <c r="X458" s="1"/>
  <c r="V459"/>
  <c r="X459" s="1"/>
  <c r="V460"/>
  <c r="X460" s="1"/>
  <c r="V461"/>
  <c r="X461" s="1"/>
  <c r="V462"/>
  <c r="X462" s="1"/>
  <c r="V463"/>
  <c r="X463" s="1"/>
  <c r="V464"/>
  <c r="X464" s="1"/>
  <c r="V465"/>
  <c r="X465" s="1"/>
  <c r="V466"/>
  <c r="X466" s="1"/>
  <c r="V467"/>
  <c r="X467" s="1"/>
  <c r="V468"/>
  <c r="X468" s="1"/>
  <c r="V469"/>
  <c r="X469" s="1"/>
  <c r="V470"/>
  <c r="X470" s="1"/>
  <c r="V471"/>
  <c r="X471" s="1"/>
  <c r="V472"/>
  <c r="X472" s="1"/>
  <c r="V473"/>
  <c r="X473" s="1"/>
  <c r="V474"/>
  <c r="X474" s="1"/>
  <c r="V475"/>
  <c r="X475" s="1"/>
  <c r="V476"/>
  <c r="X476" s="1"/>
  <c r="V477"/>
  <c r="X477" s="1"/>
  <c r="V478"/>
  <c r="X478" s="1"/>
  <c r="V479"/>
  <c r="X479" s="1"/>
  <c r="V480"/>
  <c r="X480" s="1"/>
  <c r="V481"/>
  <c r="X481" s="1"/>
  <c r="V482"/>
  <c r="X482" s="1"/>
  <c r="V483"/>
  <c r="X483" s="1"/>
  <c r="V484"/>
  <c r="X484" s="1"/>
  <c r="V485"/>
  <c r="X485" s="1"/>
  <c r="V486"/>
  <c r="X486" s="1"/>
  <c r="V487"/>
  <c r="X487" s="1"/>
  <c r="V488"/>
  <c r="X488" s="1"/>
  <c r="V489"/>
  <c r="X489" s="1"/>
  <c r="V490"/>
  <c r="X490" s="1"/>
  <c r="V491"/>
  <c r="X491" s="1"/>
  <c r="R8" l="1"/>
  <c r="Q8"/>
  <c r="Q9"/>
  <c r="R9"/>
  <c r="T9"/>
  <c r="S9"/>
  <c r="B9"/>
  <c r="T8"/>
  <c r="S8"/>
  <c r="B8"/>
  <c r="AD6" i="46"/>
  <c r="AD7"/>
  <c r="AD8"/>
  <c r="AD9"/>
  <c r="V9"/>
  <c r="B9"/>
  <c r="V8"/>
  <c r="B8"/>
  <c r="V7"/>
  <c r="Q7"/>
  <c r="B7"/>
  <c r="V6"/>
  <c r="R6"/>
  <c r="Q6"/>
  <c r="B6"/>
  <c r="V8" i="41" l="1"/>
  <c r="X8" s="1"/>
  <c r="V9"/>
  <c r="X9" s="1"/>
  <c r="C5" i="44"/>
  <c r="C6"/>
  <c r="R6" i="41" l="1"/>
  <c r="Q6"/>
  <c r="Q7"/>
  <c r="R7"/>
  <c r="T7"/>
  <c r="S7"/>
  <c r="R5"/>
  <c r="Q5"/>
  <c r="T5"/>
  <c r="S5"/>
  <c r="R4"/>
  <c r="Q4"/>
  <c r="T4"/>
  <c r="S4"/>
  <c r="V5" l="1"/>
  <c r="X5" s="1"/>
  <c r="V4"/>
  <c r="X4" s="1"/>
  <c r="V7"/>
  <c r="X7" s="1"/>
  <c r="B7"/>
  <c r="B6"/>
  <c r="B5"/>
  <c r="R2" l="1"/>
  <c r="Q2"/>
  <c r="Q3"/>
  <c r="T2"/>
  <c r="S2"/>
  <c r="R3"/>
  <c r="T3"/>
  <c r="S3"/>
  <c r="AD4" i="46"/>
  <c r="AD5"/>
  <c r="V5"/>
  <c r="R5"/>
  <c r="Q5"/>
  <c r="B5"/>
  <c r="V4"/>
  <c r="R4"/>
  <c r="Q4"/>
  <c r="B4"/>
  <c r="V2" i="41" l="1"/>
  <c r="X2" s="1"/>
  <c r="V3"/>
  <c r="X3" s="1"/>
  <c r="B4"/>
  <c r="AD3" i="46"/>
  <c r="AD2"/>
  <c r="BI3" i="47"/>
  <c r="BI4"/>
  <c r="BI5"/>
  <c r="BI6"/>
  <c r="BI7"/>
  <c r="BI8"/>
  <c r="BI9"/>
  <c r="BI10"/>
  <c r="BI11"/>
  <c r="BI12"/>
  <c r="BI13"/>
  <c r="BI14"/>
  <c r="BI15"/>
  <c r="BI16"/>
  <c r="BI17"/>
  <c r="BI18"/>
  <c r="BI19"/>
  <c r="BI20"/>
  <c r="BI21"/>
  <c r="BI22"/>
  <c r="BI23"/>
  <c r="BI24"/>
  <c r="BI25"/>
  <c r="BI26"/>
  <c r="BI2"/>
  <c r="BD26" l="1"/>
  <c r="BA26"/>
  <c r="AX26"/>
  <c r="AI26"/>
  <c r="AK26" s="1"/>
  <c r="AM26" s="1"/>
  <c r="AZ26" s="1"/>
  <c r="BB26" s="1"/>
  <c r="AH26"/>
  <c r="L26"/>
  <c r="K26"/>
  <c r="BD25"/>
  <c r="BA25"/>
  <c r="AX25"/>
  <c r="AI25"/>
  <c r="AK25" s="1"/>
  <c r="AM25" s="1"/>
  <c r="AZ25" s="1"/>
  <c r="BB25" s="1"/>
  <c r="AH25"/>
  <c r="L25"/>
  <c r="K25"/>
  <c r="BD24"/>
  <c r="BA24"/>
  <c r="AX24"/>
  <c r="AI24"/>
  <c r="AH24"/>
  <c r="AK24" s="1"/>
  <c r="AM24" s="1"/>
  <c r="AZ24" s="1"/>
  <c r="BB24" s="1"/>
  <c r="L24"/>
  <c r="K24"/>
  <c r="BD23"/>
  <c r="BA23"/>
  <c r="AX23"/>
  <c r="AI23"/>
  <c r="AH23"/>
  <c r="AK23" s="1"/>
  <c r="AM23" s="1"/>
  <c r="AZ23" s="1"/>
  <c r="BB23" s="1"/>
  <c r="L23"/>
  <c r="K23"/>
  <c r="BD22"/>
  <c r="BA22"/>
  <c r="AI22"/>
  <c r="AH22"/>
  <c r="Q22"/>
  <c r="AX22" s="1"/>
  <c r="L22"/>
  <c r="K22"/>
  <c r="BD21"/>
  <c r="BA21"/>
  <c r="AI21"/>
  <c r="AH21"/>
  <c r="Q21"/>
  <c r="AX21" s="1"/>
  <c r="L21"/>
  <c r="K21"/>
  <c r="BD20"/>
  <c r="BA20"/>
  <c r="AI20"/>
  <c r="AH20"/>
  <c r="Q20"/>
  <c r="AX20" s="1"/>
  <c r="L20"/>
  <c r="K20"/>
  <c r="BD19"/>
  <c r="BA19"/>
  <c r="AK19"/>
  <c r="AM19" s="1"/>
  <c r="AZ19" s="1"/>
  <c r="BB19" s="1"/>
  <c r="Q19"/>
  <c r="AX19" s="1"/>
  <c r="L19"/>
  <c r="K19"/>
  <c r="BD18"/>
  <c r="BA18"/>
  <c r="AK18"/>
  <c r="AM18" s="1"/>
  <c r="AZ18" s="1"/>
  <c r="BB18" s="1"/>
  <c r="Q18"/>
  <c r="AX18" s="1"/>
  <c r="L18"/>
  <c r="K18"/>
  <c r="BD17"/>
  <c r="BA17"/>
  <c r="AX17"/>
  <c r="AI17"/>
  <c r="AH17"/>
  <c r="L17"/>
  <c r="K17"/>
  <c r="BD16"/>
  <c r="BA16"/>
  <c r="AX16"/>
  <c r="AV16"/>
  <c r="AU16"/>
  <c r="AT16"/>
  <c r="AP16"/>
  <c r="AL16"/>
  <c r="AI16"/>
  <c r="AK16" s="1"/>
  <c r="AM16" s="1"/>
  <c r="AZ16" s="1"/>
  <c r="BB16" s="1"/>
  <c r="AH16"/>
  <c r="L16"/>
  <c r="K16"/>
  <c r="BD15"/>
  <c r="BA15"/>
  <c r="AX15"/>
  <c r="AV15"/>
  <c r="AT15"/>
  <c r="AL15"/>
  <c r="AI15"/>
  <c r="AH15"/>
  <c r="AK15" s="1"/>
  <c r="AM15" s="1"/>
  <c r="AZ15" s="1"/>
  <c r="BB15" s="1"/>
  <c r="L15"/>
  <c r="K15"/>
  <c r="BD14"/>
  <c r="BA14"/>
  <c r="AX14"/>
  <c r="AV14"/>
  <c r="AU14"/>
  <c r="AT14"/>
  <c r="AL14"/>
  <c r="AI14"/>
  <c r="AH14"/>
  <c r="AK14" s="1"/>
  <c r="AM14" s="1"/>
  <c r="AZ14" s="1"/>
  <c r="BB14" s="1"/>
  <c r="AE14"/>
  <c r="L14"/>
  <c r="K14"/>
  <c r="BD13"/>
  <c r="BA13"/>
  <c r="AX13"/>
  <c r="AV13"/>
  <c r="AU13"/>
  <c r="AT13"/>
  <c r="AS13"/>
  <c r="AR13"/>
  <c r="AQ13"/>
  <c r="AP13"/>
  <c r="AL13"/>
  <c r="AI13"/>
  <c r="AH13"/>
  <c r="L13"/>
  <c r="K13"/>
  <c r="BD12"/>
  <c r="BA12"/>
  <c r="AX12"/>
  <c r="AK12"/>
  <c r="AM12" s="1"/>
  <c r="AZ12" s="1"/>
  <c r="BB12" s="1"/>
  <c r="L12"/>
  <c r="K12"/>
  <c r="BD11"/>
  <c r="BA11"/>
  <c r="AX11"/>
  <c r="AK11"/>
  <c r="AM11" s="1"/>
  <c r="AZ11" s="1"/>
  <c r="BB11" s="1"/>
  <c r="L11"/>
  <c r="K11"/>
  <c r="BD10"/>
  <c r="BA10"/>
  <c r="AX10"/>
  <c r="AK10"/>
  <c r="AM10" s="1"/>
  <c r="AZ10" s="1"/>
  <c r="BB10" s="1"/>
  <c r="L10"/>
  <c r="K10"/>
  <c r="BD9"/>
  <c r="BA9"/>
  <c r="AX9"/>
  <c r="AK9"/>
  <c r="AM9" s="1"/>
  <c r="AZ9" s="1"/>
  <c r="L9"/>
  <c r="K9"/>
  <c r="BD8"/>
  <c r="BA8"/>
  <c r="AZ8"/>
  <c r="BB8" s="1"/>
  <c r="AX8"/>
  <c r="AM8"/>
  <c r="AK8"/>
  <c r="L8"/>
  <c r="K8"/>
  <c r="BD7"/>
  <c r="BA7"/>
  <c r="AX7"/>
  <c r="AK7"/>
  <c r="AM7" s="1"/>
  <c r="AZ7" s="1"/>
  <c r="BB7" s="1"/>
  <c r="L7"/>
  <c r="BD6"/>
  <c r="BA6"/>
  <c r="AX6"/>
  <c r="AK6"/>
  <c r="AM6" s="1"/>
  <c r="AZ6" s="1"/>
  <c r="BB6" s="1"/>
  <c r="L6"/>
  <c r="K6"/>
  <c r="BD5"/>
  <c r="BE5" s="1"/>
  <c r="AX5"/>
  <c r="AL5"/>
  <c r="AI5"/>
  <c r="AH5"/>
  <c r="AK5" s="1"/>
  <c r="AM5" s="1"/>
  <c r="AZ5" s="1"/>
  <c r="BB5" s="1"/>
  <c r="L5"/>
  <c r="BD4"/>
  <c r="BE4" s="1"/>
  <c r="BA4"/>
  <c r="AX4"/>
  <c r="AL4"/>
  <c r="AK4"/>
  <c r="AM4" s="1"/>
  <c r="AZ4" s="1"/>
  <c r="BB4" s="1"/>
  <c r="AI4"/>
  <c r="AH4"/>
  <c r="L4"/>
  <c r="K4"/>
  <c r="BD3"/>
  <c r="BE3" s="1"/>
  <c r="AX3"/>
  <c r="AL3"/>
  <c r="AI3"/>
  <c r="AH3"/>
  <c r="L3"/>
  <c r="K3"/>
  <c r="BD2"/>
  <c r="BE2" s="1"/>
  <c r="BA2"/>
  <c r="AX2"/>
  <c r="AR2"/>
  <c r="AQ2"/>
  <c r="AP2"/>
  <c r="AL2"/>
  <c r="AI2"/>
  <c r="AH2"/>
  <c r="L2"/>
  <c r="K2"/>
  <c r="BB9" l="1"/>
  <c r="AK22"/>
  <c r="AM22" s="1"/>
  <c r="AZ22" s="1"/>
  <c r="BB22" s="1"/>
  <c r="AK3"/>
  <c r="AM3" s="1"/>
  <c r="AZ3" s="1"/>
  <c r="BB3" s="1"/>
  <c r="AK17"/>
  <c r="AM17" s="1"/>
  <c r="AZ17" s="1"/>
  <c r="BB17" s="1"/>
  <c r="AK2"/>
  <c r="AM2" s="1"/>
  <c r="AZ2" s="1"/>
  <c r="BB2" s="1"/>
  <c r="AK13"/>
  <c r="AM13" s="1"/>
  <c r="AZ13" s="1"/>
  <c r="BB13" s="1"/>
  <c r="AK20"/>
  <c r="AM20" s="1"/>
  <c r="AZ20" s="1"/>
  <c r="BB20" s="1"/>
  <c r="AK21"/>
  <c r="AM21" s="1"/>
  <c r="AZ21" s="1"/>
  <c r="BB21" s="1"/>
  <c r="V3" i="46" l="1"/>
  <c r="R3"/>
  <c r="Q3"/>
  <c r="B3"/>
  <c r="V2"/>
  <c r="R2"/>
  <c r="Q2"/>
  <c r="B2"/>
  <c r="B3" i="41" l="1"/>
  <c r="B2"/>
  <c r="BD161" i="45" l="1"/>
  <c r="BE161" s="1"/>
  <c r="BA161"/>
  <c r="AX161"/>
  <c r="AK161"/>
  <c r="AM161" s="1"/>
  <c r="AZ161" s="1"/>
  <c r="L161"/>
  <c r="K161"/>
  <c r="BD160"/>
  <c r="BE160" s="1"/>
  <c r="BA160"/>
  <c r="AX160"/>
  <c r="AK160"/>
  <c r="AM160" s="1"/>
  <c r="AZ160" s="1"/>
  <c r="L160"/>
  <c r="K160"/>
  <c r="BD159"/>
  <c r="BE159" s="1"/>
  <c r="BA159"/>
  <c r="AX159"/>
  <c r="AK159"/>
  <c r="AM159" s="1"/>
  <c r="AZ159" s="1"/>
  <c r="L159"/>
  <c r="K159"/>
  <c r="BD158"/>
  <c r="BE158" s="1"/>
  <c r="BA158"/>
  <c r="AX158"/>
  <c r="AK158"/>
  <c r="AM158" s="1"/>
  <c r="AZ158" s="1"/>
  <c r="BB158" s="1"/>
  <c r="L158"/>
  <c r="K158"/>
  <c r="BB161" l="1"/>
  <c r="BB159"/>
  <c r="BB160"/>
  <c r="BD157"/>
  <c r="BE157" s="1"/>
  <c r="BA157"/>
  <c r="AX157"/>
  <c r="AL157"/>
  <c r="AI157"/>
  <c r="AH157"/>
  <c r="L157"/>
  <c r="K157"/>
  <c r="BD156"/>
  <c r="BE156" s="1"/>
  <c r="BA156"/>
  <c r="AX156"/>
  <c r="AL156"/>
  <c r="AI156"/>
  <c r="AH156"/>
  <c r="L156"/>
  <c r="K156"/>
  <c r="BD155"/>
  <c r="BE155" s="1"/>
  <c r="BA155"/>
  <c r="AX155"/>
  <c r="AL155"/>
  <c r="AJ155"/>
  <c r="AI155"/>
  <c r="AH155"/>
  <c r="L155"/>
  <c r="K155"/>
  <c r="BD154"/>
  <c r="BE154" s="1"/>
  <c r="BA154"/>
  <c r="AX154"/>
  <c r="AL154"/>
  <c r="AJ154"/>
  <c r="AI154"/>
  <c r="AH154"/>
  <c r="L154"/>
  <c r="K154"/>
  <c r="AK154" l="1"/>
  <c r="AM154" s="1"/>
  <c r="AZ154" s="1"/>
  <c r="BB154" s="1"/>
  <c r="AK157"/>
  <c r="AM157" s="1"/>
  <c r="AZ157" s="1"/>
  <c r="BB157" s="1"/>
  <c r="AK156"/>
  <c r="AM156" s="1"/>
  <c r="AZ156" s="1"/>
  <c r="BB156" s="1"/>
  <c r="AK155"/>
  <c r="AM155" s="1"/>
  <c r="AZ155" s="1"/>
  <c r="BB155" s="1"/>
  <c r="BD153" l="1"/>
  <c r="BE153" s="1"/>
  <c r="BA153"/>
  <c r="AX153"/>
  <c r="AK153"/>
  <c r="AM153" s="1"/>
  <c r="AZ153" s="1"/>
  <c r="Q153"/>
  <c r="L153"/>
  <c r="K153"/>
  <c r="BD152"/>
  <c r="BE152" s="1"/>
  <c r="BA152"/>
  <c r="AK152"/>
  <c r="AM152" s="1"/>
  <c r="AZ152" s="1"/>
  <c r="Q152"/>
  <c r="AX152" s="1"/>
  <c r="BD151"/>
  <c r="BE151" s="1"/>
  <c r="BA151"/>
  <c r="AK151"/>
  <c r="AM151" s="1"/>
  <c r="AZ151" s="1"/>
  <c r="Q151"/>
  <c r="AX151" s="1"/>
  <c r="BD150"/>
  <c r="BE150" s="1"/>
  <c r="BA150"/>
  <c r="AX150"/>
  <c r="AK150"/>
  <c r="AM150" s="1"/>
  <c r="AZ150" s="1"/>
  <c r="Q150"/>
  <c r="BD149"/>
  <c r="BE149" s="1"/>
  <c r="BA149"/>
  <c r="AK149"/>
  <c r="AM149" s="1"/>
  <c r="AZ149" s="1"/>
  <c r="Q149"/>
  <c r="AX149" s="1"/>
  <c r="BD148"/>
  <c r="BE148" s="1"/>
  <c r="BA148"/>
  <c r="AK148"/>
  <c r="AM148" s="1"/>
  <c r="AZ148" s="1"/>
  <c r="Q148"/>
  <c r="AX148" s="1"/>
  <c r="BB149" l="1"/>
  <c r="BB150"/>
  <c r="BB148"/>
  <c r="BB151"/>
  <c r="BB153"/>
  <c r="BB152"/>
  <c r="BA146"/>
  <c r="AX146"/>
  <c r="AK146"/>
  <c r="AM146" s="1"/>
  <c r="AZ146" s="1"/>
  <c r="BD146"/>
  <c r="BE146" s="1"/>
  <c r="BB146" l="1"/>
  <c r="BD147"/>
  <c r="BE147" s="1"/>
  <c r="BA147"/>
  <c r="AX147"/>
  <c r="AK147"/>
  <c r="AM147" s="1"/>
  <c r="AZ147" s="1"/>
  <c r="L147"/>
  <c r="K147"/>
  <c r="L146"/>
  <c r="K146"/>
  <c r="BD145"/>
  <c r="BE145" s="1"/>
  <c r="BA145"/>
  <c r="AX145"/>
  <c r="AK145"/>
  <c r="AM145" s="1"/>
  <c r="AZ145" s="1"/>
  <c r="L145"/>
  <c r="K145"/>
  <c r="BD144"/>
  <c r="BE144" s="1"/>
  <c r="BA144"/>
  <c r="AX144"/>
  <c r="AK144"/>
  <c r="AM144" s="1"/>
  <c r="AZ144" s="1"/>
  <c r="L144"/>
  <c r="K144"/>
  <c r="BB144" l="1"/>
  <c r="BB147"/>
  <c r="BB145"/>
  <c r="BD143"/>
  <c r="BE143" s="1"/>
  <c r="BA143"/>
  <c r="AX143"/>
  <c r="AK143"/>
  <c r="AM143" s="1"/>
  <c r="AZ143" s="1"/>
  <c r="L143"/>
  <c r="K143"/>
  <c r="BD142"/>
  <c r="BE142" s="1"/>
  <c r="BA142"/>
  <c r="AX142"/>
  <c r="AK142"/>
  <c r="AM142" s="1"/>
  <c r="AZ142" s="1"/>
  <c r="L142"/>
  <c r="K142"/>
  <c r="BD141"/>
  <c r="BE141" s="1"/>
  <c r="BA141"/>
  <c r="AX141"/>
  <c r="AK141"/>
  <c r="AM141" s="1"/>
  <c r="AZ141" s="1"/>
  <c r="L141"/>
  <c r="K141"/>
  <c r="BB141" l="1"/>
  <c r="BB142"/>
  <c r="BB143"/>
  <c r="BD140"/>
  <c r="BE140" s="1"/>
  <c r="BA140"/>
  <c r="AX140"/>
  <c r="AK140"/>
  <c r="AM140" s="1"/>
  <c r="AZ140" s="1"/>
  <c r="L140"/>
  <c r="K140"/>
  <c r="BD139"/>
  <c r="BE139" s="1"/>
  <c r="BA139"/>
  <c r="AX139"/>
  <c r="AK139"/>
  <c r="AM139" s="1"/>
  <c r="AZ139" s="1"/>
  <c r="L139"/>
  <c r="K139"/>
  <c r="BB140" l="1"/>
  <c r="BB139"/>
  <c r="BD138"/>
  <c r="BE138" s="1"/>
  <c r="BA138"/>
  <c r="AX138"/>
  <c r="AK138"/>
  <c r="AM138" s="1"/>
  <c r="AZ138" s="1"/>
  <c r="L138"/>
  <c r="K138"/>
  <c r="BD137"/>
  <c r="BE137" s="1"/>
  <c r="BA137"/>
  <c r="AX137"/>
  <c r="AK137"/>
  <c r="AM137" s="1"/>
  <c r="AZ137" s="1"/>
  <c r="L137"/>
  <c r="K137"/>
  <c r="BB137" l="1"/>
  <c r="BB138"/>
  <c r="BD136"/>
  <c r="BE136" s="1"/>
  <c r="BA136"/>
  <c r="AX136"/>
  <c r="AK136"/>
  <c r="AM136" s="1"/>
  <c r="AZ136" s="1"/>
  <c r="AI136"/>
  <c r="AH136"/>
  <c r="L136"/>
  <c r="K136"/>
  <c r="BD135"/>
  <c r="BE135" s="1"/>
  <c r="BA135"/>
  <c r="AX135"/>
  <c r="AK135"/>
  <c r="AM135" s="1"/>
  <c r="AZ135" s="1"/>
  <c r="AI135"/>
  <c r="AH135"/>
  <c r="L135"/>
  <c r="K135"/>
  <c r="BD134"/>
  <c r="BE134" s="1"/>
  <c r="BA134"/>
  <c r="AK134"/>
  <c r="AM134" s="1"/>
  <c r="AZ134" s="1"/>
  <c r="AI134"/>
  <c r="AH134"/>
  <c r="Q134"/>
  <c r="AX134" s="1"/>
  <c r="L134"/>
  <c r="K134"/>
  <c r="BD133"/>
  <c r="BE133" s="1"/>
  <c r="BA133"/>
  <c r="AX133"/>
  <c r="AI133"/>
  <c r="AH133"/>
  <c r="L133"/>
  <c r="K133"/>
  <c r="BD132"/>
  <c r="BE132" s="1"/>
  <c r="BA132"/>
  <c r="AX132"/>
  <c r="AI132"/>
  <c r="AH132"/>
  <c r="L132"/>
  <c r="K132"/>
  <c r="BD131"/>
  <c r="BE131" s="1"/>
  <c r="BA131"/>
  <c r="AK131"/>
  <c r="AM131" s="1"/>
  <c r="AZ131" s="1"/>
  <c r="AI131"/>
  <c r="AH131"/>
  <c r="Q131"/>
  <c r="AX131" s="1"/>
  <c r="L131"/>
  <c r="K131"/>
  <c r="BD130"/>
  <c r="BE130" s="1"/>
  <c r="BA130"/>
  <c r="AI130"/>
  <c r="AH130"/>
  <c r="Q130"/>
  <c r="AX130" s="1"/>
  <c r="L130"/>
  <c r="K130"/>
  <c r="AK132" l="1"/>
  <c r="AK130"/>
  <c r="AM130" s="1"/>
  <c r="AZ130" s="1"/>
  <c r="BB130" s="1"/>
  <c r="AK133"/>
  <c r="AM133" s="1"/>
  <c r="AZ133" s="1"/>
  <c r="BB133" s="1"/>
  <c r="BB136"/>
  <c r="BB135"/>
  <c r="BB131"/>
  <c r="BB134"/>
  <c r="BD129"/>
  <c r="BE129" s="1"/>
  <c r="BA129"/>
  <c r="AX129"/>
  <c r="AK129"/>
  <c r="AM129" s="1"/>
  <c r="AZ129" s="1"/>
  <c r="L129"/>
  <c r="K129"/>
  <c r="BD128"/>
  <c r="BE128" s="1"/>
  <c r="BA128"/>
  <c r="AX128"/>
  <c r="AK128"/>
  <c r="AM128" s="1"/>
  <c r="AZ128" s="1"/>
  <c r="L128"/>
  <c r="K128"/>
  <c r="BD127"/>
  <c r="BE127" s="1"/>
  <c r="BA127"/>
  <c r="AX127"/>
  <c r="AK127"/>
  <c r="AM127" s="1"/>
  <c r="AZ127" s="1"/>
  <c r="L127"/>
  <c r="K127"/>
  <c r="BD126"/>
  <c r="BE126" s="1"/>
  <c r="BA126"/>
  <c r="AX126"/>
  <c r="AK126"/>
  <c r="AM126" s="1"/>
  <c r="AZ126" s="1"/>
  <c r="L126"/>
  <c r="K126"/>
  <c r="BD125"/>
  <c r="BE125" s="1"/>
  <c r="BA125"/>
  <c r="AX125"/>
  <c r="AK125"/>
  <c r="AM125" s="1"/>
  <c r="AZ125" s="1"/>
  <c r="L125"/>
  <c r="K125"/>
  <c r="BD124"/>
  <c r="BE124" s="1"/>
  <c r="BA124"/>
  <c r="AX124"/>
  <c r="AK124"/>
  <c r="AM124" s="1"/>
  <c r="AZ124" s="1"/>
  <c r="L124"/>
  <c r="K124"/>
  <c r="BD123"/>
  <c r="BE123" s="1"/>
  <c r="BA123"/>
  <c r="AX123"/>
  <c r="AK123"/>
  <c r="AM123" s="1"/>
  <c r="AZ123" s="1"/>
  <c r="L123"/>
  <c r="K123"/>
  <c r="AZ132" l="1"/>
  <c r="BB132" s="1"/>
  <c r="AM132"/>
  <c r="BB128"/>
  <c r="BB129"/>
  <c r="BB126"/>
  <c r="BB127"/>
  <c r="BB124"/>
  <c r="BB123"/>
  <c r="BB125"/>
  <c r="BD122"/>
  <c r="BE122" s="1"/>
  <c r="BA122"/>
  <c r="AX122"/>
  <c r="AK122"/>
  <c r="AM122" s="1"/>
  <c r="AZ122" s="1"/>
  <c r="L122"/>
  <c r="K122"/>
  <c r="BD121"/>
  <c r="BE121" s="1"/>
  <c r="BA121"/>
  <c r="AX121"/>
  <c r="AK121"/>
  <c r="AM121" s="1"/>
  <c r="AZ121" s="1"/>
  <c r="L121"/>
  <c r="K121"/>
  <c r="BD120"/>
  <c r="BE120" s="1"/>
  <c r="BA120"/>
  <c r="AX120"/>
  <c r="AK120"/>
  <c r="AM120" s="1"/>
  <c r="AZ120" s="1"/>
  <c r="L120"/>
  <c r="K120"/>
  <c r="BD119"/>
  <c r="BE119" s="1"/>
  <c r="BA119"/>
  <c r="AX119"/>
  <c r="AK119"/>
  <c r="AM119" s="1"/>
  <c r="AZ119" s="1"/>
  <c r="BD118"/>
  <c r="BE118" s="1"/>
  <c r="BA118"/>
  <c r="AX118"/>
  <c r="AK118"/>
  <c r="AM118" s="1"/>
  <c r="AZ118" s="1"/>
  <c r="L118"/>
  <c r="K118"/>
  <c r="BD117"/>
  <c r="BE117" s="1"/>
  <c r="BA117"/>
  <c r="AX117"/>
  <c r="AK117"/>
  <c r="AM117" s="1"/>
  <c r="AZ117" s="1"/>
  <c r="L117"/>
  <c r="K117"/>
  <c r="BD2" i="16"/>
  <c r="BA2"/>
  <c r="AX2"/>
  <c r="AI2"/>
  <c r="AH2"/>
  <c r="AK2" s="1"/>
  <c r="AM2" s="1"/>
  <c r="AZ2" s="1"/>
  <c r="BB2" s="1"/>
  <c r="L2"/>
  <c r="K2"/>
  <c r="BB117" i="45" l="1"/>
  <c r="BB118"/>
  <c r="BB119"/>
  <c r="BB122"/>
  <c r="BB120"/>
  <c r="BB121"/>
  <c r="BD116"/>
  <c r="BE116" s="1"/>
  <c r="BA116"/>
  <c r="AX116"/>
  <c r="AK116"/>
  <c r="AM116" s="1"/>
  <c r="AZ116" s="1"/>
  <c r="L116"/>
  <c r="K116"/>
  <c r="BD115"/>
  <c r="BE115" s="1"/>
  <c r="BA115"/>
  <c r="AX115"/>
  <c r="AK115"/>
  <c r="AM115" s="1"/>
  <c r="AZ115" s="1"/>
  <c r="L115"/>
  <c r="K115"/>
  <c r="BD114"/>
  <c r="BE114" s="1"/>
  <c r="BA114"/>
  <c r="AX114"/>
  <c r="AK114"/>
  <c r="AM114" s="1"/>
  <c r="AZ114" s="1"/>
  <c r="BD113"/>
  <c r="BE113" s="1"/>
  <c r="BA113"/>
  <c r="AX113"/>
  <c r="AK113"/>
  <c r="AM113" s="1"/>
  <c r="AZ113" s="1"/>
  <c r="L113"/>
  <c r="K113"/>
  <c r="BB114" l="1"/>
  <c r="BB116"/>
  <c r="BB113"/>
  <c r="BB115"/>
  <c r="BD112"/>
  <c r="BE112" s="1"/>
  <c r="BA112"/>
  <c r="AX112"/>
  <c r="AK112"/>
  <c r="AM112" s="1"/>
  <c r="AZ112" s="1"/>
  <c r="BD111"/>
  <c r="BE111" s="1"/>
  <c r="BA111"/>
  <c r="AX111"/>
  <c r="AK111"/>
  <c r="AM111" s="1"/>
  <c r="AZ111" s="1"/>
  <c r="L111"/>
  <c r="K111"/>
  <c r="BD110"/>
  <c r="BE110" s="1"/>
  <c r="BA110"/>
  <c r="AX110"/>
  <c r="AK110"/>
  <c r="AM110" s="1"/>
  <c r="AZ110" s="1"/>
  <c r="L110"/>
  <c r="K110"/>
  <c r="BD109"/>
  <c r="BE109" s="1"/>
  <c r="BA109"/>
  <c r="AX109"/>
  <c r="AK109"/>
  <c r="AM109" s="1"/>
  <c r="AZ109" s="1"/>
  <c r="L109"/>
  <c r="K109"/>
  <c r="BD108"/>
  <c r="BE108" s="1"/>
  <c r="BA108"/>
  <c r="AX108"/>
  <c r="AK108"/>
  <c r="AM108" s="1"/>
  <c r="AZ108" s="1"/>
  <c r="L108"/>
  <c r="K108"/>
  <c r="BD107"/>
  <c r="BE107" s="1"/>
  <c r="BA107"/>
  <c r="AX107"/>
  <c r="AK107"/>
  <c r="AM107" s="1"/>
  <c r="AZ107" s="1"/>
  <c r="L107"/>
  <c r="K107"/>
  <c r="BD106"/>
  <c r="BE106" s="1"/>
  <c r="BA106"/>
  <c r="AX106"/>
  <c r="AK106"/>
  <c r="AM106" s="1"/>
  <c r="AZ106" s="1"/>
  <c r="L106"/>
  <c r="K106"/>
  <c r="BB112" l="1"/>
  <c r="BB110"/>
  <c r="BB106"/>
  <c r="BB111"/>
  <c r="BB107"/>
  <c r="BB109"/>
  <c r="BB108"/>
  <c r="BD105"/>
  <c r="BE105" s="1"/>
  <c r="BA105"/>
  <c r="AK105"/>
  <c r="AM105" s="1"/>
  <c r="AZ105" s="1"/>
  <c r="Q105"/>
  <c r="AX105" s="1"/>
  <c r="L105"/>
  <c r="K105"/>
  <c r="BB105" l="1"/>
  <c r="BD104"/>
  <c r="BE104" s="1"/>
  <c r="BA104"/>
  <c r="AX104"/>
  <c r="AK104"/>
  <c r="AM104" s="1"/>
  <c r="AZ104" s="1"/>
  <c r="BD103"/>
  <c r="BE103" s="1"/>
  <c r="BA103"/>
  <c r="AX103"/>
  <c r="AK103"/>
  <c r="AM103" s="1"/>
  <c r="AZ103" s="1"/>
  <c r="L103"/>
  <c r="K103"/>
  <c r="BB103" l="1"/>
  <c r="BB104"/>
  <c r="BD102"/>
  <c r="BE102" s="1"/>
  <c r="BA102"/>
  <c r="AK102"/>
  <c r="AM102" s="1"/>
  <c r="AZ102" s="1"/>
  <c r="Q102"/>
  <c r="AX102" s="1"/>
  <c r="BD101"/>
  <c r="BE101" s="1"/>
  <c r="BA101"/>
  <c r="AK101"/>
  <c r="AM101" s="1"/>
  <c r="AZ101" s="1"/>
  <c r="Q101"/>
  <c r="AX101" s="1"/>
  <c r="L101"/>
  <c r="K101"/>
  <c r="BD100"/>
  <c r="BE100" s="1"/>
  <c r="BA100"/>
  <c r="AK100"/>
  <c r="AM100" s="1"/>
  <c r="AZ100" s="1"/>
  <c r="Q100"/>
  <c r="AX100" s="1"/>
  <c r="BD99"/>
  <c r="BE99" s="1"/>
  <c r="BA99"/>
  <c r="AK99"/>
  <c r="AM99" s="1"/>
  <c r="AZ99" s="1"/>
  <c r="Q99"/>
  <c r="AX99" s="1"/>
  <c r="L99"/>
  <c r="K99"/>
  <c r="BD98"/>
  <c r="BE98" s="1"/>
  <c r="BA98"/>
  <c r="AK98"/>
  <c r="AM98" s="1"/>
  <c r="AZ98" s="1"/>
  <c r="Q98"/>
  <c r="AX98" s="1"/>
  <c r="L98"/>
  <c r="K98"/>
  <c r="BB101" l="1"/>
  <c r="BB102"/>
  <c r="BB100"/>
  <c r="BB98"/>
  <c r="BB99"/>
  <c r="BD97"/>
  <c r="BE97" s="1"/>
  <c r="BA97"/>
  <c r="AX97"/>
  <c r="AK97"/>
  <c r="AM97" s="1"/>
  <c r="AZ97" s="1"/>
  <c r="L97"/>
  <c r="K97"/>
  <c r="BB97" l="1"/>
  <c r="BD96"/>
  <c r="BE96" s="1"/>
  <c r="BA96"/>
  <c r="AX96"/>
  <c r="AK96"/>
  <c r="AM96" s="1"/>
  <c r="AZ96" s="1"/>
  <c r="BD95"/>
  <c r="BE95" s="1"/>
  <c r="BA95"/>
  <c r="AX95"/>
  <c r="AK95"/>
  <c r="AM95" s="1"/>
  <c r="AZ95" s="1"/>
  <c r="L95"/>
  <c r="K95"/>
  <c r="BD94"/>
  <c r="BE94" s="1"/>
  <c r="BA94"/>
  <c r="AX94"/>
  <c r="AK94"/>
  <c r="AM94" s="1"/>
  <c r="AZ94" s="1"/>
  <c r="L94"/>
  <c r="BD93"/>
  <c r="BE93" s="1"/>
  <c r="BA93"/>
  <c r="AK93"/>
  <c r="AM93" s="1"/>
  <c r="AZ93" s="1"/>
  <c r="Q93"/>
  <c r="AX93" s="1"/>
  <c r="L93"/>
  <c r="K93"/>
  <c r="BD92"/>
  <c r="BE92" s="1"/>
  <c r="BA92"/>
  <c r="AK92"/>
  <c r="AM92" s="1"/>
  <c r="AZ92" s="1"/>
  <c r="Q92"/>
  <c r="AX92" s="1"/>
  <c r="L92"/>
  <c r="K92"/>
  <c r="BD91"/>
  <c r="BE91" s="1"/>
  <c r="BA91"/>
  <c r="AK91"/>
  <c r="AM91" s="1"/>
  <c r="AZ91" s="1"/>
  <c r="Q91"/>
  <c r="AX91" s="1"/>
  <c r="L91"/>
  <c r="K91"/>
  <c r="BD90"/>
  <c r="BE90" s="1"/>
  <c r="BA90"/>
  <c r="AK90"/>
  <c r="AM90" s="1"/>
  <c r="AZ90" s="1"/>
  <c r="Q90"/>
  <c r="AX90" s="1"/>
  <c r="L90"/>
  <c r="K90"/>
  <c r="BD89"/>
  <c r="BE89" s="1"/>
  <c r="BA89"/>
  <c r="AK89"/>
  <c r="AM89" s="1"/>
  <c r="AZ89" s="1"/>
  <c r="Q89"/>
  <c r="AX89" s="1"/>
  <c r="BB94" l="1"/>
  <c r="BB90"/>
  <c r="BB96"/>
  <c r="BB95"/>
  <c r="BB92"/>
  <c r="BB91"/>
  <c r="BB89"/>
  <c r="BB93"/>
  <c r="BD88" l="1"/>
  <c r="BE88" s="1"/>
  <c r="BA88"/>
  <c r="AX88"/>
  <c r="AK88"/>
  <c r="AM88" s="1"/>
  <c r="AZ88" s="1"/>
  <c r="L88"/>
  <c r="K88"/>
  <c r="BB88" l="1"/>
  <c r="BD87"/>
  <c r="BE87" s="1"/>
  <c r="BA87"/>
  <c r="AX87"/>
  <c r="AK87"/>
  <c r="AM87" s="1"/>
  <c r="AZ87" s="1"/>
  <c r="L87"/>
  <c r="K87"/>
  <c r="BB87" l="1"/>
  <c r="BD86"/>
  <c r="BE86" s="1"/>
  <c r="BA86"/>
  <c r="AX86"/>
  <c r="AK86"/>
  <c r="AM86" s="1"/>
  <c r="AZ86" s="1"/>
  <c r="L86"/>
  <c r="K86"/>
  <c r="BB86" l="1"/>
  <c r="BD85"/>
  <c r="BE85" s="1"/>
  <c r="BA85"/>
  <c r="AX85"/>
  <c r="AK85"/>
  <c r="AM85" s="1"/>
  <c r="AZ85" s="1"/>
  <c r="L85"/>
  <c r="K85"/>
  <c r="BB85" l="1"/>
  <c r="BD84"/>
  <c r="BE84" s="1"/>
  <c r="BA84"/>
  <c r="AX84"/>
  <c r="AK84"/>
  <c r="AM84" s="1"/>
  <c r="AZ84" s="1"/>
  <c r="L84"/>
  <c r="K84"/>
  <c r="BD83"/>
  <c r="BE83" s="1"/>
  <c r="BA83"/>
  <c r="AX83"/>
  <c r="AK83"/>
  <c r="AM83" s="1"/>
  <c r="AZ83" s="1"/>
  <c r="L83"/>
  <c r="K83"/>
  <c r="BB84" l="1"/>
  <c r="BB83"/>
  <c r="BD82" l="1"/>
  <c r="BE82" s="1"/>
  <c r="BA82"/>
  <c r="AX82"/>
  <c r="AK82"/>
  <c r="AM82" s="1"/>
  <c r="AZ82" s="1"/>
  <c r="L82"/>
  <c r="K82"/>
  <c r="BD81"/>
  <c r="BE81" s="1"/>
  <c r="BA81"/>
  <c r="AX81"/>
  <c r="AK81"/>
  <c r="AM81" s="1"/>
  <c r="AZ81" s="1"/>
  <c r="L81"/>
  <c r="K81"/>
  <c r="BD80"/>
  <c r="BE80" s="1"/>
  <c r="BA80"/>
  <c r="AX80"/>
  <c r="AK80"/>
  <c r="AM80" s="1"/>
  <c r="AZ80" s="1"/>
  <c r="L80"/>
  <c r="K80"/>
  <c r="BB81" l="1"/>
  <c r="BB80"/>
  <c r="BB82"/>
  <c r="BD79"/>
  <c r="BE79" s="1"/>
  <c r="BA79"/>
  <c r="AX79"/>
  <c r="AK79"/>
  <c r="AM79" s="1"/>
  <c r="AZ79" s="1"/>
  <c r="L79"/>
  <c r="K79"/>
  <c r="BB79" l="1"/>
  <c r="BD78" l="1"/>
  <c r="BE78" s="1"/>
  <c r="BA78"/>
  <c r="AX78"/>
  <c r="AK78"/>
  <c r="AM78" s="1"/>
  <c r="AZ78" s="1"/>
  <c r="L78"/>
  <c r="K78"/>
  <c r="BD77"/>
  <c r="BE77" s="1"/>
  <c r="BA77"/>
  <c r="AX77"/>
  <c r="AK77"/>
  <c r="AM77" s="1"/>
  <c r="AZ77" s="1"/>
  <c r="L77"/>
  <c r="K77"/>
  <c r="BB77" l="1"/>
  <c r="BB78"/>
  <c r="BD76" l="1"/>
  <c r="BE76" s="1"/>
  <c r="BA76"/>
  <c r="AK76"/>
  <c r="AM76" s="1"/>
  <c r="AZ76" s="1"/>
  <c r="Q76"/>
  <c r="AX76" s="1"/>
  <c r="L76"/>
  <c r="K76"/>
  <c r="BB76" l="1"/>
  <c r="BD75" l="1"/>
  <c r="BE75" s="1"/>
  <c r="BA75"/>
  <c r="AX75"/>
  <c r="AK75"/>
  <c r="AM75" s="1"/>
  <c r="AZ75" s="1"/>
  <c r="L75"/>
  <c r="K75"/>
  <c r="BD74"/>
  <c r="BE74" s="1"/>
  <c r="BA74"/>
  <c r="AX74"/>
  <c r="AK74"/>
  <c r="AM74" s="1"/>
  <c r="AZ74" s="1"/>
  <c r="L74"/>
  <c r="K74"/>
  <c r="BB75" l="1"/>
  <c r="BB74"/>
  <c r="BD73"/>
  <c r="BE73" s="1"/>
  <c r="BA73"/>
  <c r="AX73"/>
  <c r="AK73"/>
  <c r="AM73" s="1"/>
  <c r="AZ73" s="1"/>
  <c r="L73"/>
  <c r="K73"/>
  <c r="BD72"/>
  <c r="BE72" s="1"/>
  <c r="BA72"/>
  <c r="AX72"/>
  <c r="AK72"/>
  <c r="AM72" s="1"/>
  <c r="AZ72" s="1"/>
  <c r="L72"/>
  <c r="K72"/>
  <c r="BB72" l="1"/>
  <c r="BB73"/>
  <c r="BD71" l="1"/>
  <c r="BE71" s="1"/>
  <c r="BA71"/>
  <c r="AX71"/>
  <c r="AK71"/>
  <c r="AM71" s="1"/>
  <c r="AZ71" s="1"/>
  <c r="L71"/>
  <c r="K71"/>
  <c r="BB71" l="1"/>
  <c r="BD70"/>
  <c r="BE70" s="1"/>
  <c r="BA70"/>
  <c r="AX70"/>
  <c r="AK70"/>
  <c r="AM70" s="1"/>
  <c r="AZ70" s="1"/>
  <c r="L70"/>
  <c r="K70"/>
  <c r="BD69"/>
  <c r="BE69" s="1"/>
  <c r="BA69"/>
  <c r="AX69"/>
  <c r="AK69"/>
  <c r="AM69" s="1"/>
  <c r="AZ69" s="1"/>
  <c r="L69"/>
  <c r="K69"/>
  <c r="BD68"/>
  <c r="BE68" s="1"/>
  <c r="BA68"/>
  <c r="AX68"/>
  <c r="AK68"/>
  <c r="AM68" s="1"/>
  <c r="AZ68" s="1"/>
  <c r="L68"/>
  <c r="K68"/>
  <c r="BD67"/>
  <c r="BE67" s="1"/>
  <c r="BA67"/>
  <c r="AX67"/>
  <c r="AK67"/>
  <c r="AM67" s="1"/>
  <c r="AZ67" s="1"/>
  <c r="L67"/>
  <c r="K67"/>
  <c r="BD66"/>
  <c r="BE66" s="1"/>
  <c r="BA66"/>
  <c r="AX66"/>
  <c r="AK66"/>
  <c r="AM66" s="1"/>
  <c r="AZ66" s="1"/>
  <c r="L66"/>
  <c r="K66"/>
  <c r="BB68" l="1"/>
  <c r="BB67"/>
  <c r="BB69"/>
  <c r="BB66"/>
  <c r="BB70"/>
  <c r="BD64"/>
  <c r="BE64" s="1"/>
  <c r="BA64"/>
  <c r="AX64"/>
  <c r="AK64"/>
  <c r="AM64" s="1"/>
  <c r="AZ64" s="1"/>
  <c r="L64"/>
  <c r="K64"/>
  <c r="BD63"/>
  <c r="BE63" s="1"/>
  <c r="BA63"/>
  <c r="AX63"/>
  <c r="AK63"/>
  <c r="AM63" s="1"/>
  <c r="AZ63" s="1"/>
  <c r="L63"/>
  <c r="K63"/>
  <c r="BD65"/>
  <c r="BE65" s="1"/>
  <c r="BA65"/>
  <c r="AX65"/>
  <c r="AK65"/>
  <c r="AM65" s="1"/>
  <c r="AZ65" s="1"/>
  <c r="BB64" l="1"/>
  <c r="BB65"/>
  <c r="BB63"/>
  <c r="BD62"/>
  <c r="BE62" s="1"/>
  <c r="BA62"/>
  <c r="AX62"/>
  <c r="AK62"/>
  <c r="AM62" s="1"/>
  <c r="AZ62" s="1"/>
  <c r="L62"/>
  <c r="K62"/>
  <c r="BB62" l="1"/>
  <c r="BD61"/>
  <c r="BE61" s="1"/>
  <c r="BA61"/>
  <c r="AX61"/>
  <c r="AK61"/>
  <c r="AM61" s="1"/>
  <c r="AZ61" s="1"/>
  <c r="L61"/>
  <c r="K61"/>
  <c r="BB61" l="1"/>
  <c r="BD60"/>
  <c r="BE60" s="1"/>
  <c r="BA60"/>
  <c r="AX60"/>
  <c r="AK60"/>
  <c r="AM60" s="1"/>
  <c r="AZ60" s="1"/>
  <c r="L60"/>
  <c r="K60"/>
  <c r="BD59"/>
  <c r="BE59" s="1"/>
  <c r="BA59"/>
  <c r="AX59"/>
  <c r="AK59"/>
  <c r="AM59" s="1"/>
  <c r="AZ59" s="1"/>
  <c r="L59"/>
  <c r="K59"/>
  <c r="BB60" l="1"/>
  <c r="BB59"/>
  <c r="BD58"/>
  <c r="BE58" s="1"/>
  <c r="BA58"/>
  <c r="AK58"/>
  <c r="AM58" s="1"/>
  <c r="AZ58" s="1"/>
  <c r="Q58"/>
  <c r="AX58" s="1"/>
  <c r="L58"/>
  <c r="K58"/>
  <c r="BD57"/>
  <c r="BE57" s="1"/>
  <c r="BA57"/>
  <c r="AK57"/>
  <c r="AM57" s="1"/>
  <c r="AZ57" s="1"/>
  <c r="Q57"/>
  <c r="AX57" s="1"/>
  <c r="L57"/>
  <c r="K57"/>
  <c r="BD56"/>
  <c r="BE56" s="1"/>
  <c r="BA56"/>
  <c r="AX56"/>
  <c r="AK56"/>
  <c r="AM56" s="1"/>
  <c r="AZ56" s="1"/>
  <c r="L56"/>
  <c r="K56"/>
  <c r="BD55"/>
  <c r="BE55" s="1"/>
  <c r="BA55"/>
  <c r="AX55"/>
  <c r="AK55"/>
  <c r="AM55" s="1"/>
  <c r="AZ55" s="1"/>
  <c r="L55"/>
  <c r="K55"/>
  <c r="BB56" l="1"/>
  <c r="BB58"/>
  <c r="BB57"/>
  <c r="BB55"/>
  <c r="BD54" l="1"/>
  <c r="BE54" s="1"/>
  <c r="BA54"/>
  <c r="AK54"/>
  <c r="AM54" s="1"/>
  <c r="AZ54" s="1"/>
  <c r="Q54"/>
  <c r="AX54" s="1"/>
  <c r="L54"/>
  <c r="K54"/>
  <c r="BD53"/>
  <c r="BE53" s="1"/>
  <c r="BA53"/>
  <c r="AK53"/>
  <c r="AM53" s="1"/>
  <c r="AZ53" s="1"/>
  <c r="Q53"/>
  <c r="AX53" s="1"/>
  <c r="L53"/>
  <c r="K53"/>
  <c r="BD52"/>
  <c r="BE52" s="1"/>
  <c r="BA52"/>
  <c r="AK52"/>
  <c r="AM52" s="1"/>
  <c r="AZ52" s="1"/>
  <c r="Q52"/>
  <c r="AX52" s="1"/>
  <c r="L52"/>
  <c r="K52"/>
  <c r="BB54" l="1"/>
  <c r="BB53"/>
  <c r="BB52"/>
  <c r="BD51" l="1"/>
  <c r="BE51" s="1"/>
  <c r="BA51"/>
  <c r="AX51"/>
  <c r="AK51"/>
  <c r="AM51" s="1"/>
  <c r="AZ51" s="1"/>
  <c r="L51"/>
  <c r="K51"/>
  <c r="BD50"/>
  <c r="BE50" s="1"/>
  <c r="BA50"/>
  <c r="AX50"/>
  <c r="AK50"/>
  <c r="AM50" s="1"/>
  <c r="AZ50" s="1"/>
  <c r="L50"/>
  <c r="K50"/>
  <c r="BD49"/>
  <c r="BE49" s="1"/>
  <c r="BA49"/>
  <c r="AX49"/>
  <c r="AK49"/>
  <c r="AM49" s="1"/>
  <c r="AZ49" s="1"/>
  <c r="L49"/>
  <c r="K49"/>
  <c r="BD48"/>
  <c r="BE48" s="1"/>
  <c r="BA48"/>
  <c r="AX48"/>
  <c r="AK48"/>
  <c r="AM48" s="1"/>
  <c r="AZ48" s="1"/>
  <c r="L48"/>
  <c r="K48"/>
  <c r="BB49" l="1"/>
  <c r="BB50"/>
  <c r="BB48"/>
  <c r="BB51"/>
  <c r="BD47" l="1"/>
  <c r="BE47" s="1"/>
  <c r="BA47"/>
  <c r="AX47"/>
  <c r="AK47"/>
  <c r="AM47" s="1"/>
  <c r="AZ47" s="1"/>
  <c r="L47"/>
  <c r="K47"/>
  <c r="BB47" l="1"/>
  <c r="BD46"/>
  <c r="BE46" s="1"/>
  <c r="BA46"/>
  <c r="AX46"/>
  <c r="AK46"/>
  <c r="AM46" s="1"/>
  <c r="AZ46" s="1"/>
  <c r="L46"/>
  <c r="K46"/>
  <c r="BB46" l="1"/>
  <c r="BD45"/>
  <c r="BE45" s="1"/>
  <c r="BA45"/>
  <c r="AX45"/>
  <c r="AK45"/>
  <c r="AM45" s="1"/>
  <c r="AZ45" s="1"/>
  <c r="L45"/>
  <c r="K45"/>
  <c r="BB45" l="1"/>
  <c r="BD44" l="1"/>
  <c r="BE44" s="1"/>
  <c r="BA44"/>
  <c r="AX44"/>
  <c r="AK44"/>
  <c r="AM44" s="1"/>
  <c r="AZ44" s="1"/>
  <c r="L44"/>
  <c r="K44"/>
  <c r="BD43"/>
  <c r="BE43" s="1"/>
  <c r="BA43"/>
  <c r="AX43"/>
  <c r="AK43"/>
  <c r="AM43" s="1"/>
  <c r="AZ43" s="1"/>
  <c r="L43"/>
  <c r="K43"/>
  <c r="BB44" l="1"/>
  <c r="BB43"/>
  <c r="BD42" l="1"/>
  <c r="BE42" s="1"/>
  <c r="BA42"/>
  <c r="AX42"/>
  <c r="AK42"/>
  <c r="AM42" s="1"/>
  <c r="AZ42" s="1"/>
  <c r="L42"/>
  <c r="K42"/>
  <c r="BD41"/>
  <c r="BE41" s="1"/>
  <c r="BA41"/>
  <c r="AX41"/>
  <c r="AK41"/>
  <c r="AM41" s="1"/>
  <c r="AZ41" s="1"/>
  <c r="L41"/>
  <c r="K41"/>
  <c r="BD40"/>
  <c r="BE40" s="1"/>
  <c r="BA40"/>
  <c r="AX40"/>
  <c r="AK40"/>
  <c r="AM40" s="1"/>
  <c r="AZ40" s="1"/>
  <c r="L40"/>
  <c r="K40"/>
  <c r="BD39"/>
  <c r="BE39" s="1"/>
  <c r="BA39"/>
  <c r="AX39"/>
  <c r="AK39"/>
  <c r="AM39" s="1"/>
  <c r="AZ39" s="1"/>
  <c r="L39"/>
  <c r="K39"/>
  <c r="BD38"/>
  <c r="BE38" s="1"/>
  <c r="BA38"/>
  <c r="AX38"/>
  <c r="AK38"/>
  <c r="AM38" s="1"/>
  <c r="AZ38" s="1"/>
  <c r="L38"/>
  <c r="K38"/>
  <c r="BD37"/>
  <c r="BE37" s="1"/>
  <c r="BA37"/>
  <c r="AX37"/>
  <c r="AK37"/>
  <c r="AM37" s="1"/>
  <c r="AZ37" s="1"/>
  <c r="L37"/>
  <c r="K37"/>
  <c r="BD36"/>
  <c r="BE36" s="1"/>
  <c r="BA36"/>
  <c r="AX36"/>
  <c r="AK36"/>
  <c r="AM36" s="1"/>
  <c r="AZ36" s="1"/>
  <c r="BD35"/>
  <c r="BE35" s="1"/>
  <c r="BA35"/>
  <c r="AX35"/>
  <c r="AK35"/>
  <c r="AM35" s="1"/>
  <c r="AZ35" s="1"/>
  <c r="L35"/>
  <c r="K35"/>
  <c r="BD34"/>
  <c r="BE34" s="1"/>
  <c r="BA34"/>
  <c r="AX34"/>
  <c r="AK34"/>
  <c r="AM34" s="1"/>
  <c r="AZ34" s="1"/>
  <c r="L34"/>
  <c r="K34"/>
  <c r="BD33"/>
  <c r="BE33" s="1"/>
  <c r="BA33"/>
  <c r="AX33"/>
  <c r="AK33"/>
  <c r="AM33" s="1"/>
  <c r="AZ33" s="1"/>
  <c r="L33"/>
  <c r="K33"/>
  <c r="BD32"/>
  <c r="BE32" s="1"/>
  <c r="BA32"/>
  <c r="AX32"/>
  <c r="AK32"/>
  <c r="AM32" s="1"/>
  <c r="AZ32" s="1"/>
  <c r="L32"/>
  <c r="K32"/>
  <c r="BB39" l="1"/>
  <c r="BB32"/>
  <c r="BB36"/>
  <c r="BB40"/>
  <c r="BB34"/>
  <c r="BB42"/>
  <c r="BB35"/>
  <c r="BB33"/>
  <c r="BB41"/>
  <c r="BB37"/>
  <c r="BB38"/>
  <c r="BD31" l="1"/>
  <c r="BE31" s="1"/>
  <c r="BA31"/>
  <c r="AX31"/>
  <c r="AK31"/>
  <c r="AM31" s="1"/>
  <c r="AZ31" s="1"/>
  <c r="L31"/>
  <c r="K31"/>
  <c r="BD30"/>
  <c r="BE30" s="1"/>
  <c r="BA30"/>
  <c r="AX30"/>
  <c r="AK30"/>
  <c r="AM30" s="1"/>
  <c r="AZ30" s="1"/>
  <c r="L30"/>
  <c r="K30"/>
  <c r="BD29"/>
  <c r="BE29" s="1"/>
  <c r="BA29"/>
  <c r="AX29"/>
  <c r="AK29"/>
  <c r="AM29" s="1"/>
  <c r="AZ29" s="1"/>
  <c r="L29"/>
  <c r="K29"/>
  <c r="BE27"/>
  <c r="BE28"/>
  <c r="BB30" l="1"/>
  <c r="BB31"/>
  <c r="BB29"/>
  <c r="BD26"/>
  <c r="BE26" s="1"/>
  <c r="BA26"/>
  <c r="AX26"/>
  <c r="AK26"/>
  <c r="AM26" s="1"/>
  <c r="AZ26" s="1"/>
  <c r="L26"/>
  <c r="K26"/>
  <c r="BD25"/>
  <c r="BE25" s="1"/>
  <c r="BA25"/>
  <c r="AX25"/>
  <c r="AK25"/>
  <c r="AM25" s="1"/>
  <c r="AZ25" s="1"/>
  <c r="L25"/>
  <c r="K25"/>
  <c r="BB25" l="1"/>
  <c r="BB26"/>
  <c r="BD24"/>
  <c r="BE24" s="1"/>
  <c r="BA24"/>
  <c r="AX24"/>
  <c r="AK24"/>
  <c r="AM24" s="1"/>
  <c r="AZ24" s="1"/>
  <c r="L24"/>
  <c r="K24"/>
  <c r="BB24" l="1"/>
  <c r="K22"/>
  <c r="L22"/>
  <c r="AK22"/>
  <c r="AM22" s="1"/>
  <c r="AZ22" s="1"/>
  <c r="AX22"/>
  <c r="BA22"/>
  <c r="BD22"/>
  <c r="BE22" s="1"/>
  <c r="K23"/>
  <c r="L23"/>
  <c r="AK23"/>
  <c r="AM23" s="1"/>
  <c r="AZ23" s="1"/>
  <c r="AX23"/>
  <c r="BA23"/>
  <c r="BD23"/>
  <c r="BE23" s="1"/>
  <c r="BD21"/>
  <c r="BE21" s="1"/>
  <c r="BA21"/>
  <c r="AX21"/>
  <c r="AK21"/>
  <c r="AM21" s="1"/>
  <c r="AZ21" s="1"/>
  <c r="L21"/>
  <c r="K21"/>
  <c r="BD20"/>
  <c r="BE20" s="1"/>
  <c r="BA20"/>
  <c r="AX20"/>
  <c r="AK20"/>
  <c r="AM20" s="1"/>
  <c r="AZ20" s="1"/>
  <c r="L20"/>
  <c r="K20"/>
  <c r="BB21" l="1"/>
  <c r="BB22"/>
  <c r="BB23"/>
  <c r="BB20"/>
  <c r="BD19" l="1"/>
  <c r="BE19" s="1"/>
  <c r="BA19"/>
  <c r="AX19"/>
  <c r="AK19"/>
  <c r="AM19" s="1"/>
  <c r="AZ19" s="1"/>
  <c r="L19"/>
  <c r="K19"/>
  <c r="BD18"/>
  <c r="BE18" s="1"/>
  <c r="BA18"/>
  <c r="AX18"/>
  <c r="AK18"/>
  <c r="AM18" s="1"/>
  <c r="AZ18" s="1"/>
  <c r="L18"/>
  <c r="K18"/>
  <c r="BB18" l="1"/>
  <c r="BB19"/>
  <c r="BD17" l="1"/>
  <c r="BE17" s="1"/>
  <c r="BA17"/>
  <c r="AX17"/>
  <c r="AK17"/>
  <c r="AM17" s="1"/>
  <c r="AZ17" s="1"/>
  <c r="L17"/>
  <c r="K17"/>
  <c r="BD16"/>
  <c r="BE16" s="1"/>
  <c r="BA16"/>
  <c r="AX16"/>
  <c r="AK16"/>
  <c r="AM16" s="1"/>
  <c r="AZ16" s="1"/>
  <c r="L16"/>
  <c r="K16"/>
  <c r="BD15"/>
  <c r="BE15" s="1"/>
  <c r="BA15"/>
  <c r="AX15"/>
  <c r="AK15"/>
  <c r="AM15" s="1"/>
  <c r="AZ15" s="1"/>
  <c r="L15"/>
  <c r="K15"/>
  <c r="BB17" l="1"/>
  <c r="BB15"/>
  <c r="BB16"/>
  <c r="BD14" l="1"/>
  <c r="BE14" s="1"/>
  <c r="BA14"/>
  <c r="AX14"/>
  <c r="AK14"/>
  <c r="AM14" s="1"/>
  <c r="AZ14" s="1"/>
  <c r="L14"/>
  <c r="K14"/>
  <c r="BD13"/>
  <c r="BE13" s="1"/>
  <c r="BA13"/>
  <c r="AX13"/>
  <c r="AK13"/>
  <c r="AM13" s="1"/>
  <c r="AZ13" s="1"/>
  <c r="L13"/>
  <c r="K13"/>
  <c r="BB14" l="1"/>
  <c r="BB13"/>
  <c r="BD12" l="1"/>
  <c r="BE12" s="1"/>
  <c r="BA12"/>
  <c r="AK12"/>
  <c r="AM12" s="1"/>
  <c r="AZ12" s="1"/>
  <c r="Q12"/>
  <c r="AX12" s="1"/>
  <c r="L12"/>
  <c r="K12"/>
  <c r="BB12" l="1"/>
  <c r="BD11"/>
  <c r="BE11" s="1"/>
  <c r="BA11"/>
  <c r="AX11"/>
  <c r="AK11"/>
  <c r="AM11" s="1"/>
  <c r="AZ11" s="1"/>
  <c r="L11"/>
  <c r="K11"/>
  <c r="BD10"/>
  <c r="BE10" s="1"/>
  <c r="BA10"/>
  <c r="AX10"/>
  <c r="AK10"/>
  <c r="AM10" s="1"/>
  <c r="AZ10" s="1"/>
  <c r="L10"/>
  <c r="K10"/>
  <c r="BD9"/>
  <c r="BE9" s="1"/>
  <c r="BA9"/>
  <c r="AX9"/>
  <c r="AK9"/>
  <c r="AM9" s="1"/>
  <c r="AZ9" s="1"/>
  <c r="L9"/>
  <c r="K9"/>
  <c r="BB11" l="1"/>
  <c r="BB9"/>
  <c r="BB10"/>
  <c r="BD8"/>
  <c r="BE8" s="1"/>
  <c r="BA8"/>
  <c r="AX8"/>
  <c r="AK8"/>
  <c r="AM8" s="1"/>
  <c r="AZ8" s="1"/>
  <c r="L8"/>
  <c r="K8"/>
  <c r="BB8" l="1"/>
  <c r="BD7" l="1"/>
  <c r="BE7" s="1"/>
  <c r="BA7"/>
  <c r="AX7"/>
  <c r="AK7"/>
  <c r="AM7" s="1"/>
  <c r="AZ7" s="1"/>
  <c r="L7"/>
  <c r="K7"/>
  <c r="BB7" l="1"/>
  <c r="BD6" l="1"/>
  <c r="BE6" s="1"/>
  <c r="BA6"/>
  <c r="AX6"/>
  <c r="AK6"/>
  <c r="AM6" s="1"/>
  <c r="AZ6" s="1"/>
  <c r="L6"/>
  <c r="K6"/>
  <c r="BB6" l="1"/>
  <c r="BD5"/>
  <c r="BE5" s="1"/>
  <c r="BA5"/>
  <c r="AX5"/>
  <c r="AK5"/>
  <c r="AM5" s="1"/>
  <c r="AZ5" s="1"/>
  <c r="L5"/>
  <c r="K5"/>
  <c r="BD4"/>
  <c r="BE4" s="1"/>
  <c r="BA4"/>
  <c r="AX4"/>
  <c r="AK4"/>
  <c r="AM4" s="1"/>
  <c r="AZ4" s="1"/>
  <c r="L4"/>
  <c r="K4"/>
  <c r="BB4" l="1"/>
  <c r="BB5"/>
  <c r="BD3" l="1"/>
  <c r="BE3" s="1"/>
  <c r="BA3"/>
  <c r="AX3"/>
  <c r="AK3"/>
  <c r="AM3" s="1"/>
  <c r="AZ3" s="1"/>
  <c r="L3"/>
  <c r="K3"/>
  <c r="BD2"/>
  <c r="BE2" s="1"/>
  <c r="BA2"/>
  <c r="AX2"/>
  <c r="AK2"/>
  <c r="L2"/>
  <c r="K2"/>
  <c r="AM2" l="1"/>
  <c r="AZ2" s="1"/>
  <c r="BB2" s="1"/>
  <c r="BB3"/>
  <c r="BD119" i="43" l="1"/>
  <c r="BE119" s="1"/>
  <c r="BA119"/>
  <c r="AX119"/>
  <c r="AK119"/>
  <c r="AM119" s="1"/>
  <c r="AZ119" s="1"/>
  <c r="L119"/>
  <c r="K119"/>
  <c r="BD118"/>
  <c r="BE118" s="1"/>
  <c r="BA118"/>
  <c r="AX118"/>
  <c r="AK118"/>
  <c r="AM118" s="1"/>
  <c r="AZ118" s="1"/>
  <c r="L118"/>
  <c r="K118"/>
  <c r="BD117"/>
  <c r="BE117" s="1"/>
  <c r="BA117"/>
  <c r="AX117"/>
  <c r="AK117"/>
  <c r="AM117" s="1"/>
  <c r="AZ117" s="1"/>
  <c r="L117"/>
  <c r="K117"/>
  <c r="BD116"/>
  <c r="BE116" s="1"/>
  <c r="BA116"/>
  <c r="AX116"/>
  <c r="AK116"/>
  <c r="AM116" s="1"/>
  <c r="AZ116" s="1"/>
  <c r="L116"/>
  <c r="K116"/>
  <c r="BD115"/>
  <c r="BE115" s="1"/>
  <c r="BA115"/>
  <c r="AX115"/>
  <c r="AK115"/>
  <c r="AM115" s="1"/>
  <c r="AZ115" s="1"/>
  <c r="L115"/>
  <c r="K115"/>
  <c r="BD114"/>
  <c r="BE114" s="1"/>
  <c r="BA114"/>
  <c r="AX114"/>
  <c r="AK114"/>
  <c r="AM114" s="1"/>
  <c r="AZ114" s="1"/>
  <c r="L114"/>
  <c r="K114"/>
  <c r="BB118" l="1"/>
  <c r="BB114"/>
  <c r="BB119"/>
  <c r="BB116"/>
  <c r="BB115"/>
  <c r="BB117"/>
  <c r="BD113" l="1"/>
  <c r="BE113" s="1"/>
  <c r="BA113"/>
  <c r="AX113"/>
  <c r="AK113"/>
  <c r="AM113" s="1"/>
  <c r="AZ113" s="1"/>
  <c r="L113"/>
  <c r="K113"/>
  <c r="BB113" l="1"/>
  <c r="BD112" l="1"/>
  <c r="BE112" s="1"/>
  <c r="BA112"/>
  <c r="AX112"/>
  <c r="AK112"/>
  <c r="AM112" s="1"/>
  <c r="AZ112" s="1"/>
  <c r="L112"/>
  <c r="K112"/>
  <c r="BB112" l="1"/>
  <c r="BD111" l="1"/>
  <c r="BE111" s="1"/>
  <c r="BA111"/>
  <c r="AK111"/>
  <c r="AM111" s="1"/>
  <c r="AZ111" s="1"/>
  <c r="Q111"/>
  <c r="AX111" s="1"/>
  <c r="L111"/>
  <c r="K111"/>
  <c r="BD110"/>
  <c r="BE110" s="1"/>
  <c r="BA110"/>
  <c r="AX110"/>
  <c r="AK110"/>
  <c r="AM110" s="1"/>
  <c r="AZ110" s="1"/>
  <c r="L110"/>
  <c r="K110"/>
  <c r="BD109"/>
  <c r="BE109" s="1"/>
  <c r="BA109"/>
  <c r="AX109"/>
  <c r="AK109"/>
  <c r="AM109" s="1"/>
  <c r="AZ109" s="1"/>
  <c r="L109"/>
  <c r="K109"/>
  <c r="BD108"/>
  <c r="BE108" s="1"/>
  <c r="BA108"/>
  <c r="AX108"/>
  <c r="AK108"/>
  <c r="AM108" s="1"/>
  <c r="AZ108" s="1"/>
  <c r="L108"/>
  <c r="K108"/>
  <c r="BD107"/>
  <c r="BE107" s="1"/>
  <c r="BA107"/>
  <c r="AX107"/>
  <c r="AK107"/>
  <c r="AM107" s="1"/>
  <c r="AZ107" s="1"/>
  <c r="L107"/>
  <c r="K107"/>
  <c r="BB108" l="1"/>
  <c r="BB110"/>
  <c r="BB111"/>
  <c r="BB109"/>
  <c r="BB107"/>
  <c r="BD106" l="1"/>
  <c r="BE106" s="1"/>
  <c r="BA106"/>
  <c r="AX106"/>
  <c r="AK106"/>
  <c r="AM106" s="1"/>
  <c r="AZ106" s="1"/>
  <c r="L106"/>
  <c r="K106"/>
  <c r="BD105"/>
  <c r="BE105" s="1"/>
  <c r="BA105"/>
  <c r="AX105"/>
  <c r="AK105"/>
  <c r="AM105" s="1"/>
  <c r="AZ105" s="1"/>
  <c r="BD104"/>
  <c r="BE104" s="1"/>
  <c r="BA104"/>
  <c r="AX104"/>
  <c r="AK104"/>
  <c r="AM104" s="1"/>
  <c r="AZ104" s="1"/>
  <c r="BD103"/>
  <c r="BE103" s="1"/>
  <c r="BA103"/>
  <c r="AX103"/>
  <c r="AK103"/>
  <c r="AM103" s="1"/>
  <c r="AZ103" s="1"/>
  <c r="BB106" l="1"/>
  <c r="BB104"/>
  <c r="BB103"/>
  <c r="BB105"/>
  <c r="BD102" l="1"/>
  <c r="BE102" s="1"/>
  <c r="BA102"/>
  <c r="AX102"/>
  <c r="AK102"/>
  <c r="AM102" s="1"/>
  <c r="AZ102" s="1"/>
  <c r="L102"/>
  <c r="K102"/>
  <c r="BD101"/>
  <c r="BE101" s="1"/>
  <c r="BA101"/>
  <c r="AX101"/>
  <c r="AM101"/>
  <c r="AZ101" s="1"/>
  <c r="AK101"/>
  <c r="L101"/>
  <c r="K101"/>
  <c r="BD100"/>
  <c r="BE100" s="1"/>
  <c r="BA100"/>
  <c r="AX100"/>
  <c r="AK100"/>
  <c r="AM100" s="1"/>
  <c r="AZ100" s="1"/>
  <c r="L100"/>
  <c r="K100"/>
  <c r="BD99"/>
  <c r="BE99" s="1"/>
  <c r="BA99"/>
  <c r="AX99"/>
  <c r="AK99"/>
  <c r="AM99" s="1"/>
  <c r="AZ99" s="1"/>
  <c r="BD98"/>
  <c r="BE98" s="1"/>
  <c r="BA98"/>
  <c r="AX98"/>
  <c r="AK98"/>
  <c r="AM98" s="1"/>
  <c r="AZ98" s="1"/>
  <c r="L98"/>
  <c r="K98"/>
  <c r="BD97"/>
  <c r="BE97" s="1"/>
  <c r="BA97"/>
  <c r="AX97"/>
  <c r="AK97"/>
  <c r="AM97" s="1"/>
  <c r="AZ97" s="1"/>
  <c r="BD96"/>
  <c r="BE96" s="1"/>
  <c r="BA96"/>
  <c r="AX96"/>
  <c r="AK96"/>
  <c r="AM96" s="1"/>
  <c r="AZ96" s="1"/>
  <c r="L96"/>
  <c r="K96"/>
  <c r="BB102" l="1"/>
  <c r="BB100"/>
  <c r="BB101"/>
  <c r="BB97"/>
  <c r="BB98"/>
  <c r="BB99"/>
  <c r="BB96"/>
  <c r="BD95" l="1"/>
  <c r="BE95" s="1"/>
  <c r="BA95"/>
  <c r="AX95"/>
  <c r="AK95"/>
  <c r="AM95" s="1"/>
  <c r="AZ95" s="1"/>
  <c r="BD94"/>
  <c r="BE94" s="1"/>
  <c r="BA94"/>
  <c r="AX94"/>
  <c r="AK94"/>
  <c r="AM94" s="1"/>
  <c r="AZ94" s="1"/>
  <c r="BD93"/>
  <c r="BE93" s="1"/>
  <c r="BA93"/>
  <c r="AX93"/>
  <c r="AK93"/>
  <c r="AM93" s="1"/>
  <c r="AZ93" s="1"/>
  <c r="L93"/>
  <c r="K93"/>
  <c r="BD92"/>
  <c r="BE92" s="1"/>
  <c r="BA92"/>
  <c r="AX92"/>
  <c r="AK92"/>
  <c r="AM92" s="1"/>
  <c r="AZ92" s="1"/>
  <c r="L92"/>
  <c r="K92"/>
  <c r="BB93" l="1"/>
  <c r="BB94"/>
  <c r="BB92"/>
  <c r="BB95"/>
  <c r="BD91" l="1"/>
  <c r="BE91" s="1"/>
  <c r="BA91"/>
  <c r="AX91"/>
  <c r="AK91"/>
  <c r="AM91" s="1"/>
  <c r="AZ91" s="1"/>
  <c r="L91"/>
  <c r="K91"/>
  <c r="BD90"/>
  <c r="BE90" s="1"/>
  <c r="BA90"/>
  <c r="AX90"/>
  <c r="AK90"/>
  <c r="AM90" s="1"/>
  <c r="AZ90" s="1"/>
  <c r="L90"/>
  <c r="K90"/>
  <c r="BD89"/>
  <c r="BE89" s="1"/>
  <c r="BA89"/>
  <c r="AX89"/>
  <c r="AK89"/>
  <c r="AM89" s="1"/>
  <c r="AZ89" s="1"/>
  <c r="L89"/>
  <c r="K89"/>
  <c r="BB89" l="1"/>
  <c r="BB90"/>
  <c r="BB91"/>
  <c r="BD88" l="1"/>
  <c r="BE88" s="1"/>
  <c r="BA88"/>
  <c r="AX88"/>
  <c r="AK88"/>
  <c r="AM88" s="1"/>
  <c r="AZ88" s="1"/>
  <c r="L88"/>
  <c r="K88"/>
  <c r="BD87"/>
  <c r="BE87" s="1"/>
  <c r="BA87"/>
  <c r="AX87"/>
  <c r="AK87"/>
  <c r="AM87" s="1"/>
  <c r="AZ87" s="1"/>
  <c r="L87"/>
  <c r="K87"/>
  <c r="BD86"/>
  <c r="BE86" s="1"/>
  <c r="BA86"/>
  <c r="AX86"/>
  <c r="AK86"/>
  <c r="AM86" s="1"/>
  <c r="AZ86" s="1"/>
  <c r="L86"/>
  <c r="K86"/>
  <c r="BD85"/>
  <c r="BE85" s="1"/>
  <c r="BA85"/>
  <c r="AX85"/>
  <c r="AK85"/>
  <c r="AM85" s="1"/>
  <c r="AZ85" s="1"/>
  <c r="L85"/>
  <c r="K85"/>
  <c r="BB87" l="1"/>
  <c r="BB85"/>
  <c r="BB88"/>
  <c r="BB86"/>
  <c r="BD84"/>
  <c r="BE84" s="1"/>
  <c r="BA84"/>
  <c r="AX84"/>
  <c r="AK84"/>
  <c r="AM84" s="1"/>
  <c r="AZ84" s="1"/>
  <c r="L84"/>
  <c r="K84"/>
  <c r="BD83"/>
  <c r="BE83" s="1"/>
  <c r="BA83"/>
  <c r="AX83"/>
  <c r="AK83"/>
  <c r="AM83" s="1"/>
  <c r="AZ83" s="1"/>
  <c r="L83"/>
  <c r="K83"/>
  <c r="BB83" l="1"/>
  <c r="BB84"/>
  <c r="BD82"/>
  <c r="BE82" s="1"/>
  <c r="BA82"/>
  <c r="AX82"/>
  <c r="AK82"/>
  <c r="AM82" s="1"/>
  <c r="AZ82" s="1"/>
  <c r="L82"/>
  <c r="K82"/>
  <c r="BD81"/>
  <c r="BE81" s="1"/>
  <c r="BA81"/>
  <c r="AX81"/>
  <c r="AK81"/>
  <c r="AM81" s="1"/>
  <c r="AZ81" s="1"/>
  <c r="L81"/>
  <c r="K81"/>
  <c r="BD80"/>
  <c r="BE80" s="1"/>
  <c r="BA80"/>
  <c r="AX80"/>
  <c r="AK80"/>
  <c r="AM80" s="1"/>
  <c r="AZ80" s="1"/>
  <c r="L80"/>
  <c r="K80"/>
  <c r="BD79"/>
  <c r="BE79" s="1"/>
  <c r="BA79"/>
  <c r="AX79"/>
  <c r="AK79"/>
  <c r="AM79" s="1"/>
  <c r="AZ79" s="1"/>
  <c r="L79"/>
  <c r="K79"/>
  <c r="BD78"/>
  <c r="BE78" s="1"/>
  <c r="BA78"/>
  <c r="AX78"/>
  <c r="AK78"/>
  <c r="AM78" s="1"/>
  <c r="AZ78" s="1"/>
  <c r="L78"/>
  <c r="K78"/>
  <c r="BB79" l="1"/>
  <c r="BB82"/>
  <c r="BB81"/>
  <c r="BB78"/>
  <c r="BB80"/>
  <c r="BD77"/>
  <c r="BE77" s="1"/>
  <c r="BA77"/>
  <c r="AX77"/>
  <c r="AK77"/>
  <c r="AM77" s="1"/>
  <c r="AZ77" s="1"/>
  <c r="BB77" s="1"/>
  <c r="L77"/>
  <c r="K77"/>
  <c r="BD76"/>
  <c r="BE76" s="1"/>
  <c r="BA76"/>
  <c r="AX76"/>
  <c r="AK76"/>
  <c r="AM76" s="1"/>
  <c r="AZ76" s="1"/>
  <c r="L76"/>
  <c r="K76"/>
  <c r="BD75"/>
  <c r="BE75" s="1"/>
  <c r="BA75"/>
  <c r="AX75"/>
  <c r="AK75"/>
  <c r="AM75" s="1"/>
  <c r="AZ75" s="1"/>
  <c r="L75"/>
  <c r="K75"/>
  <c r="BB75" l="1"/>
  <c r="BB76"/>
  <c r="BD74"/>
  <c r="BE74" s="1"/>
  <c r="BA74"/>
  <c r="AX74"/>
  <c r="AK74"/>
  <c r="AM74" s="1"/>
  <c r="AZ74" s="1"/>
  <c r="L74"/>
  <c r="K74"/>
  <c r="BD73"/>
  <c r="BE73" s="1"/>
  <c r="BA73"/>
  <c r="AX73"/>
  <c r="AK73"/>
  <c r="AM73" s="1"/>
  <c r="AZ73" s="1"/>
  <c r="L73"/>
  <c r="K73"/>
  <c r="BB73" l="1"/>
  <c r="BB74"/>
  <c r="BD72"/>
  <c r="BE72" s="1"/>
  <c r="BA72"/>
  <c r="AX72"/>
  <c r="AK72"/>
  <c r="AM72" s="1"/>
  <c r="AZ72" s="1"/>
  <c r="L72"/>
  <c r="K72"/>
  <c r="BB72" l="1"/>
  <c r="BD71" l="1"/>
  <c r="BE71" s="1"/>
  <c r="BA71"/>
  <c r="AX71"/>
  <c r="AK71"/>
  <c r="AM71" s="1"/>
  <c r="AZ71" s="1"/>
  <c r="L71"/>
  <c r="K71"/>
  <c r="BD70"/>
  <c r="BE70" s="1"/>
  <c r="BA70"/>
  <c r="AX70"/>
  <c r="AK70"/>
  <c r="AM70" s="1"/>
  <c r="AZ70" s="1"/>
  <c r="L70"/>
  <c r="K70"/>
  <c r="BD69"/>
  <c r="BE69" s="1"/>
  <c r="BA69"/>
  <c r="AX69"/>
  <c r="AK69"/>
  <c r="AM69" s="1"/>
  <c r="AZ69" s="1"/>
  <c r="L69"/>
  <c r="K69"/>
  <c r="BB70" l="1"/>
  <c r="BB69"/>
  <c r="BB71"/>
  <c r="BD68" l="1"/>
  <c r="BE68" s="1"/>
  <c r="BA68"/>
  <c r="AX68"/>
  <c r="AK68"/>
  <c r="AM68" s="1"/>
  <c r="AZ68" s="1"/>
  <c r="L68"/>
  <c r="K68"/>
  <c r="BB68" l="1"/>
  <c r="I12" i="15" l="1"/>
  <c r="C7"/>
  <c r="B33"/>
  <c r="G20"/>
  <c r="C20"/>
  <c r="C18"/>
  <c r="C17"/>
  <c r="H15"/>
  <c r="C15"/>
  <c r="C14"/>
  <c r="C13"/>
  <c r="C12"/>
  <c r="I13" l="1"/>
  <c r="BD67" i="43" l="1"/>
  <c r="BE67" s="1"/>
  <c r="BA67"/>
  <c r="AX67"/>
  <c r="AK67"/>
  <c r="AM67" s="1"/>
  <c r="AZ67" s="1"/>
  <c r="L67"/>
  <c r="K67"/>
  <c r="BB67" l="1"/>
  <c r="BD66" l="1"/>
  <c r="BE66" s="1"/>
  <c r="BA66"/>
  <c r="AX66"/>
  <c r="AK66"/>
  <c r="AM66" s="1"/>
  <c r="AZ66" s="1"/>
  <c r="L66"/>
  <c r="K66"/>
  <c r="BB66" l="1"/>
  <c r="BD65"/>
  <c r="BE65" s="1"/>
  <c r="BA65"/>
  <c r="AX65"/>
  <c r="AK65"/>
  <c r="AM65" s="1"/>
  <c r="AZ65" s="1"/>
  <c r="L65"/>
  <c r="K65"/>
  <c r="BB65" l="1"/>
  <c r="BD64" l="1"/>
  <c r="BE64" s="1"/>
  <c r="BA64"/>
  <c r="AX64"/>
  <c r="AK64"/>
  <c r="AM64" s="1"/>
  <c r="AZ64" s="1"/>
  <c r="L64"/>
  <c r="K64"/>
  <c r="BD63"/>
  <c r="BE63" s="1"/>
  <c r="BA63"/>
  <c r="AX63"/>
  <c r="AK63"/>
  <c r="AM63" s="1"/>
  <c r="AZ63" s="1"/>
  <c r="L63"/>
  <c r="K63"/>
  <c r="BB63" l="1"/>
  <c r="BB64"/>
  <c r="BD62"/>
  <c r="BE62" s="1"/>
  <c r="BA62"/>
  <c r="AX62"/>
  <c r="AK62"/>
  <c r="AM62" s="1"/>
  <c r="AZ62" s="1"/>
  <c r="L62"/>
  <c r="K62"/>
  <c r="BD61"/>
  <c r="BE61" s="1"/>
  <c r="BA61"/>
  <c r="AX61"/>
  <c r="AK61"/>
  <c r="AM61" s="1"/>
  <c r="AZ61" s="1"/>
  <c r="L61"/>
  <c r="K61"/>
  <c r="BD60"/>
  <c r="BE60" s="1"/>
  <c r="BA60"/>
  <c r="AX60"/>
  <c r="AK60"/>
  <c r="AM60" s="1"/>
  <c r="AZ60" s="1"/>
  <c r="L60"/>
  <c r="K60"/>
  <c r="BB60" l="1"/>
  <c r="BB62"/>
  <c r="BB61"/>
  <c r="BD59" l="1"/>
  <c r="BE59" s="1"/>
  <c r="BA59"/>
  <c r="AX59"/>
  <c r="AK59"/>
  <c r="AM59" s="1"/>
  <c r="AZ59" s="1"/>
  <c r="L59"/>
  <c r="K59"/>
  <c r="BB59" l="1"/>
  <c r="BD58" l="1"/>
  <c r="BE58" s="1"/>
  <c r="BA58"/>
  <c r="AX58"/>
  <c r="AK58"/>
  <c r="AM58" s="1"/>
  <c r="AZ58" s="1"/>
  <c r="L58"/>
  <c r="K58"/>
  <c r="BB58" l="1"/>
  <c r="BD57"/>
  <c r="BE57" s="1"/>
  <c r="BA57"/>
  <c r="AX57"/>
  <c r="AK57"/>
  <c r="AM57" s="1"/>
  <c r="AZ57" s="1"/>
  <c r="L57"/>
  <c r="K57"/>
  <c r="BB57" l="1"/>
  <c r="BD56"/>
  <c r="BE56" s="1"/>
  <c r="BA56"/>
  <c r="AX56"/>
  <c r="AK56"/>
  <c r="AM56" s="1"/>
  <c r="AZ56" s="1"/>
  <c r="L56"/>
  <c r="K56"/>
  <c r="BB56" l="1"/>
  <c r="BD55"/>
  <c r="BE55" s="1"/>
  <c r="BA55"/>
  <c r="AX55"/>
  <c r="AK55"/>
  <c r="AM55" s="1"/>
  <c r="AZ55" s="1"/>
  <c r="L55"/>
  <c r="K55"/>
  <c r="BD54"/>
  <c r="BE54" s="1"/>
  <c r="BA54"/>
  <c r="AX54"/>
  <c r="AK54"/>
  <c r="AM54" s="1"/>
  <c r="AZ54" s="1"/>
  <c r="L54"/>
  <c r="K54"/>
  <c r="BB55" l="1"/>
  <c r="BB54"/>
  <c r="BD53"/>
  <c r="BE53" s="1"/>
  <c r="BA53"/>
  <c r="AX53"/>
  <c r="AK53"/>
  <c r="AM53" s="1"/>
  <c r="AZ53" s="1"/>
  <c r="L53"/>
  <c r="K53"/>
  <c r="BD52"/>
  <c r="BE52" s="1"/>
  <c r="BA52"/>
  <c r="AX52"/>
  <c r="AK52"/>
  <c r="AM52" s="1"/>
  <c r="AZ52" s="1"/>
  <c r="L52"/>
  <c r="K52"/>
  <c r="BD51"/>
  <c r="BE51" s="1"/>
  <c r="BA51"/>
  <c r="AX51"/>
  <c r="AK51"/>
  <c r="AM51" s="1"/>
  <c r="AZ51" s="1"/>
  <c r="L51"/>
  <c r="K51"/>
  <c r="BD50"/>
  <c r="BE50" s="1"/>
  <c r="BA50"/>
  <c r="AX50"/>
  <c r="AK50"/>
  <c r="AM50" s="1"/>
  <c r="AZ50" s="1"/>
  <c r="L50"/>
  <c r="K50"/>
  <c r="BB52" l="1"/>
  <c r="BB51"/>
  <c r="BB50"/>
  <c r="BB53"/>
  <c r="BD49"/>
  <c r="BE49" s="1"/>
  <c r="BA49"/>
  <c r="AX49"/>
  <c r="AK49"/>
  <c r="AM49" s="1"/>
  <c r="AZ49" s="1"/>
  <c r="L49"/>
  <c r="K49"/>
  <c r="BD48"/>
  <c r="BE48" s="1"/>
  <c r="BA48"/>
  <c r="AX48"/>
  <c r="AK48"/>
  <c r="AM48" s="1"/>
  <c r="AZ48" s="1"/>
  <c r="L48"/>
  <c r="K48"/>
  <c r="BB48" l="1"/>
  <c r="BB49"/>
  <c r="BD47"/>
  <c r="BE47" s="1"/>
  <c r="BA47"/>
  <c r="AX47"/>
  <c r="AK47"/>
  <c r="AM47" s="1"/>
  <c r="AZ47" s="1"/>
  <c r="L47"/>
  <c r="K47"/>
  <c r="BB47" l="1"/>
  <c r="BD46" l="1"/>
  <c r="BE46" s="1"/>
  <c r="BA46"/>
  <c r="AK46"/>
  <c r="AM46" s="1"/>
  <c r="AZ46" s="1"/>
  <c r="Q46"/>
  <c r="AX46" s="1"/>
  <c r="L46"/>
  <c r="K46"/>
  <c r="BD45"/>
  <c r="BE45" s="1"/>
  <c r="BA45"/>
  <c r="AK45"/>
  <c r="AM45" s="1"/>
  <c r="AZ45" s="1"/>
  <c r="Q45"/>
  <c r="AX45" s="1"/>
  <c r="L45"/>
  <c r="K45"/>
  <c r="BD44"/>
  <c r="BE44" s="1"/>
  <c r="BA44"/>
  <c r="AK44"/>
  <c r="AM44" s="1"/>
  <c r="AZ44" s="1"/>
  <c r="Q44"/>
  <c r="AX44" s="1"/>
  <c r="L44"/>
  <c r="K44"/>
  <c r="BB45" l="1"/>
  <c r="BB44"/>
  <c r="BB46"/>
  <c r="BD43" l="1"/>
  <c r="BE43" s="1"/>
  <c r="BA43"/>
  <c r="AX43"/>
  <c r="AK43"/>
  <c r="AM43" s="1"/>
  <c r="AZ43" s="1"/>
  <c r="L43"/>
  <c r="K43"/>
  <c r="BB43" l="1"/>
  <c r="K5" i="42"/>
  <c r="L5"/>
  <c r="AM5"/>
  <c r="AO5" s="1"/>
  <c r="BB5" s="1"/>
  <c r="BC5" s="1"/>
  <c r="AY5"/>
  <c r="BD5"/>
  <c r="BG5"/>
  <c r="BH5" s="1"/>
  <c r="BD42" i="43"/>
  <c r="BE42" s="1"/>
  <c r="BA42"/>
  <c r="AX42"/>
  <c r="AI42"/>
  <c r="AK42" s="1"/>
  <c r="AM42" s="1"/>
  <c r="AZ42" s="1"/>
  <c r="L42"/>
  <c r="K42"/>
  <c r="BD41"/>
  <c r="BE41" s="1"/>
  <c r="BA41"/>
  <c r="AX41"/>
  <c r="AK41"/>
  <c r="AM41" s="1"/>
  <c r="AZ41" s="1"/>
  <c r="L41"/>
  <c r="K41"/>
  <c r="BD40"/>
  <c r="BE40" s="1"/>
  <c r="BA40"/>
  <c r="AX40"/>
  <c r="AK40"/>
  <c r="AM40" s="1"/>
  <c r="AZ40" s="1"/>
  <c r="L40"/>
  <c r="K40"/>
  <c r="BD39"/>
  <c r="BE39" s="1"/>
  <c r="BA39"/>
  <c r="AX39"/>
  <c r="AI39"/>
  <c r="AK39" s="1"/>
  <c r="AM39" s="1"/>
  <c r="AZ39" s="1"/>
  <c r="L39"/>
  <c r="K39"/>
  <c r="BD38"/>
  <c r="BE38" s="1"/>
  <c r="BA38"/>
  <c r="AX38"/>
  <c r="AI38"/>
  <c r="AK38" s="1"/>
  <c r="AM38" s="1"/>
  <c r="AZ38" s="1"/>
  <c r="L38"/>
  <c r="K38"/>
  <c r="BD37"/>
  <c r="BE37" s="1"/>
  <c r="BA37"/>
  <c r="AX37"/>
  <c r="AK37"/>
  <c r="AM37" s="1"/>
  <c r="AZ37" s="1"/>
  <c r="L37"/>
  <c r="K37"/>
  <c r="BD36"/>
  <c r="BE36" s="1"/>
  <c r="BA36"/>
  <c r="AK36"/>
  <c r="AM36" s="1"/>
  <c r="AZ36" s="1"/>
  <c r="Q36"/>
  <c r="AX36" s="1"/>
  <c r="L36"/>
  <c r="K36"/>
  <c r="BD35"/>
  <c r="BE35" s="1"/>
  <c r="BA35"/>
  <c r="AK35"/>
  <c r="AM35" s="1"/>
  <c r="AZ35" s="1"/>
  <c r="Q35"/>
  <c r="AX35" s="1"/>
  <c r="L35"/>
  <c r="K35"/>
  <c r="BD34"/>
  <c r="BE34" s="1"/>
  <c r="BA34"/>
  <c r="AK34"/>
  <c r="AM34" s="1"/>
  <c r="AZ34" s="1"/>
  <c r="Q34"/>
  <c r="AX34" s="1"/>
  <c r="L34"/>
  <c r="K34"/>
  <c r="BD33"/>
  <c r="BE33" s="1"/>
  <c r="BA33"/>
  <c r="AX33"/>
  <c r="AI33"/>
  <c r="AK33" s="1"/>
  <c r="AM33" s="1"/>
  <c r="AZ33" s="1"/>
  <c r="L33"/>
  <c r="K33"/>
  <c r="BD32"/>
  <c r="BE32" s="1"/>
  <c r="BA32"/>
  <c r="AX32"/>
  <c r="AI32"/>
  <c r="AK32" s="1"/>
  <c r="AM32" s="1"/>
  <c r="AZ32" s="1"/>
  <c r="L32"/>
  <c r="K32"/>
  <c r="BD31"/>
  <c r="BE31" s="1"/>
  <c r="BA31"/>
  <c r="AX31"/>
  <c r="AI31"/>
  <c r="AK31" s="1"/>
  <c r="AM31" s="1"/>
  <c r="AZ31" s="1"/>
  <c r="L31"/>
  <c r="K31"/>
  <c r="BD30"/>
  <c r="BE30" s="1"/>
  <c r="BA30"/>
  <c r="AX30"/>
  <c r="AI30"/>
  <c r="AK30" s="1"/>
  <c r="AM30" s="1"/>
  <c r="AZ30" s="1"/>
  <c r="L30"/>
  <c r="K30"/>
  <c r="BD29"/>
  <c r="BE29" s="1"/>
  <c r="BA29"/>
  <c r="AX29"/>
  <c r="AI29"/>
  <c r="AK29" s="1"/>
  <c r="AM29" s="1"/>
  <c r="AZ29" s="1"/>
  <c r="L29"/>
  <c r="K29"/>
  <c r="BD28"/>
  <c r="BE28" s="1"/>
  <c r="BA28"/>
  <c r="AI28"/>
  <c r="AK28" s="1"/>
  <c r="AM28" s="1"/>
  <c r="AZ28" s="1"/>
  <c r="Q28"/>
  <c r="AX28" s="1"/>
  <c r="L28"/>
  <c r="K28"/>
  <c r="BD27"/>
  <c r="BE27" s="1"/>
  <c r="BA27"/>
  <c r="AX27"/>
  <c r="AK27"/>
  <c r="AM27" s="1"/>
  <c r="AZ27" s="1"/>
  <c r="L27"/>
  <c r="K27"/>
  <c r="D1" i="15"/>
  <c r="G56" s="1"/>
  <c r="D2"/>
  <c r="C8"/>
  <c r="C9"/>
  <c r="C10"/>
  <c r="G10"/>
  <c r="AM2" i="40"/>
  <c r="AO2" s="1"/>
  <c r="BB2" s="1"/>
  <c r="BC2" s="1"/>
  <c r="BE2" s="1"/>
  <c r="AY2"/>
  <c r="BD2"/>
  <c r="BG2"/>
  <c r="BH2" s="1"/>
  <c r="AJ3"/>
  <c r="AM3" s="1"/>
  <c r="AO3" s="1"/>
  <c r="BB3" s="1"/>
  <c r="BC3" s="1"/>
  <c r="AY3"/>
  <c r="BD3"/>
  <c r="BF3"/>
  <c r="BH3" s="1"/>
  <c r="BG3"/>
  <c r="AY4"/>
  <c r="BC4"/>
  <c r="BE4" s="1"/>
  <c r="BD4"/>
  <c r="BG4"/>
  <c r="BH4" s="1"/>
  <c r="AY5"/>
  <c r="BC5"/>
  <c r="BD5"/>
  <c r="BG5"/>
  <c r="BH5"/>
  <c r="AM6"/>
  <c r="AO6" s="1"/>
  <c r="BB6" s="1"/>
  <c r="BC6" s="1"/>
  <c r="AY6"/>
  <c r="BD6"/>
  <c r="BG6"/>
  <c r="BH6" s="1"/>
  <c r="L7"/>
  <c r="AM7"/>
  <c r="AO7" s="1"/>
  <c r="BB7" s="1"/>
  <c r="BC7" s="1"/>
  <c r="BE7" s="1"/>
  <c r="AY7"/>
  <c r="BD7"/>
  <c r="BG7"/>
  <c r="BH7" s="1"/>
  <c r="L8"/>
  <c r="AM8"/>
  <c r="AO8" s="1"/>
  <c r="BB8" s="1"/>
  <c r="BC8" s="1"/>
  <c r="AY8"/>
  <c r="BD8"/>
  <c r="BG8"/>
  <c r="BH8" s="1"/>
  <c r="L9"/>
  <c r="AM9"/>
  <c r="AO9" s="1"/>
  <c r="BB9" s="1"/>
  <c r="BC9" s="1"/>
  <c r="BE9" s="1"/>
  <c r="AY9"/>
  <c r="BD9"/>
  <c r="BG9"/>
  <c r="BH9" s="1"/>
  <c r="L10"/>
  <c r="AM10"/>
  <c r="AO10" s="1"/>
  <c r="BB10" s="1"/>
  <c r="BC10" s="1"/>
  <c r="AY10"/>
  <c r="BD10"/>
  <c r="BG10"/>
  <c r="BH10" s="1"/>
  <c r="L11"/>
  <c r="AM11"/>
  <c r="AO11" s="1"/>
  <c r="BB11" s="1"/>
  <c r="BC11" s="1"/>
  <c r="AY11"/>
  <c r="BD11"/>
  <c r="BG11"/>
  <c r="BH11" s="1"/>
  <c r="L12"/>
  <c r="AM12"/>
  <c r="AO12" s="1"/>
  <c r="BB12" s="1"/>
  <c r="BC12" s="1"/>
  <c r="AY12"/>
  <c r="BD12"/>
  <c r="BF12"/>
  <c r="BG12"/>
  <c r="BH12" s="1"/>
  <c r="L13"/>
  <c r="AM13"/>
  <c r="AO13" s="1"/>
  <c r="BB13" s="1"/>
  <c r="BC13" s="1"/>
  <c r="BE13" s="1"/>
  <c r="AY13"/>
  <c r="BD13"/>
  <c r="BF13"/>
  <c r="BG13"/>
  <c r="L14"/>
  <c r="AM14"/>
  <c r="AO14"/>
  <c r="BB14" s="1"/>
  <c r="BC14" s="1"/>
  <c r="BE14" s="1"/>
  <c r="AY14"/>
  <c r="BD14"/>
  <c r="BF14"/>
  <c r="BG14"/>
  <c r="BH14" s="1"/>
  <c r="L15"/>
  <c r="AM15"/>
  <c r="AO15" s="1"/>
  <c r="BB15" s="1"/>
  <c r="BC15" s="1"/>
  <c r="AY15"/>
  <c r="BD15"/>
  <c r="BF15"/>
  <c r="BH15" s="1"/>
  <c r="BG15"/>
  <c r="L16"/>
  <c r="AM16"/>
  <c r="AO16" s="1"/>
  <c r="BB16" s="1"/>
  <c r="BC16" s="1"/>
  <c r="AY16"/>
  <c r="BD16"/>
  <c r="BF16"/>
  <c r="BH16" s="1"/>
  <c r="BG16"/>
  <c r="AM17"/>
  <c r="AO17" s="1"/>
  <c r="BB17" s="1"/>
  <c r="BC17" s="1"/>
  <c r="BE17" s="1"/>
  <c r="AY17"/>
  <c r="BD17"/>
  <c r="BF17"/>
  <c r="BH17" s="1"/>
  <c r="BG17"/>
  <c r="L18"/>
  <c r="AM18"/>
  <c r="AO18" s="1"/>
  <c r="BB18" s="1"/>
  <c r="BC18" s="1"/>
  <c r="AY18"/>
  <c r="BD18"/>
  <c r="BG18"/>
  <c r="BH18" s="1"/>
  <c r="L19"/>
  <c r="AM19"/>
  <c r="AO19" s="1"/>
  <c r="BB19" s="1"/>
  <c r="BC19" s="1"/>
  <c r="BE19" s="1"/>
  <c r="AY19"/>
  <c r="BD19"/>
  <c r="BG19"/>
  <c r="BH19" s="1"/>
  <c r="K20"/>
  <c r="L20"/>
  <c r="AM20"/>
  <c r="AO20" s="1"/>
  <c r="BB20" s="1"/>
  <c r="BC20" s="1"/>
  <c r="AY20"/>
  <c r="BA20"/>
  <c r="BD20"/>
  <c r="BG20"/>
  <c r="BH20"/>
  <c r="L21"/>
  <c r="AM21"/>
  <c r="AO21" s="1"/>
  <c r="BB21" s="1"/>
  <c r="BC21" s="1"/>
  <c r="BE21" s="1"/>
  <c r="AY21"/>
  <c r="BD21"/>
  <c r="BG21"/>
  <c r="BH21" s="1"/>
  <c r="L22"/>
  <c r="AM22"/>
  <c r="AO22" s="1"/>
  <c r="BB22" s="1"/>
  <c r="BC22" s="1"/>
  <c r="AY22"/>
  <c r="BD22"/>
  <c r="BG22"/>
  <c r="BH22" s="1"/>
  <c r="K23"/>
  <c r="L23"/>
  <c r="AM23"/>
  <c r="AO23" s="1"/>
  <c r="BB23" s="1"/>
  <c r="BC23" s="1"/>
  <c r="AY23"/>
  <c r="BD23"/>
  <c r="BG23"/>
  <c r="BH23" s="1"/>
  <c r="K24"/>
  <c r="L24"/>
  <c r="AM24"/>
  <c r="AO24" s="1"/>
  <c r="BB24" s="1"/>
  <c r="BC24" s="1"/>
  <c r="AY24"/>
  <c r="BD24"/>
  <c r="BG24"/>
  <c r="BH24" s="1"/>
  <c r="K25"/>
  <c r="L25"/>
  <c r="AM25"/>
  <c r="AO25" s="1"/>
  <c r="BB25" s="1"/>
  <c r="BC25" s="1"/>
  <c r="AY25"/>
  <c r="BD25"/>
  <c r="BG25"/>
  <c r="BH25" s="1"/>
  <c r="K26"/>
  <c r="L26"/>
  <c r="AM26"/>
  <c r="AO26" s="1"/>
  <c r="BB26" s="1"/>
  <c r="BC26" s="1"/>
  <c r="BE26" s="1"/>
  <c r="AY26"/>
  <c r="BD26"/>
  <c r="BG26"/>
  <c r="BH26" s="1"/>
  <c r="K27"/>
  <c r="L27"/>
  <c r="AM27"/>
  <c r="AO27" s="1"/>
  <c r="BB27" s="1"/>
  <c r="BC27" s="1"/>
  <c r="AY27"/>
  <c r="BD27"/>
  <c r="BG27"/>
  <c r="BH27" s="1"/>
  <c r="K28"/>
  <c r="L28"/>
  <c r="AM28"/>
  <c r="AO28" s="1"/>
  <c r="BB28" s="1"/>
  <c r="BC28" s="1"/>
  <c r="AY28"/>
  <c r="BD28"/>
  <c r="BG28"/>
  <c r="BH28" s="1"/>
  <c r="K29"/>
  <c r="L29"/>
  <c r="AM29"/>
  <c r="AO29" s="1"/>
  <c r="BB29" s="1"/>
  <c r="BC29" s="1"/>
  <c r="AY29"/>
  <c r="BD29"/>
  <c r="BG29"/>
  <c r="BH29" s="1"/>
  <c r="K30"/>
  <c r="L30"/>
  <c r="AM30"/>
  <c r="AO30" s="1"/>
  <c r="BB30" s="1"/>
  <c r="BC30" s="1"/>
  <c r="AY30"/>
  <c r="BD30"/>
  <c r="BG30"/>
  <c r="BH30" s="1"/>
  <c r="K31"/>
  <c r="L31"/>
  <c r="AM31"/>
  <c r="AO31" s="1"/>
  <c r="BB31" s="1"/>
  <c r="BC31" s="1"/>
  <c r="BE31" s="1"/>
  <c r="AY31"/>
  <c r="BD31"/>
  <c r="BG31"/>
  <c r="BH31" s="1"/>
  <c r="K32"/>
  <c r="L32"/>
  <c r="AM32"/>
  <c r="AO32" s="1"/>
  <c r="BB32" s="1"/>
  <c r="BC32" s="1"/>
  <c r="AY32"/>
  <c r="BD32"/>
  <c r="BG32"/>
  <c r="BH32" s="1"/>
  <c r="K33"/>
  <c r="L33"/>
  <c r="AM33"/>
  <c r="AO33" s="1"/>
  <c r="BB33" s="1"/>
  <c r="BC33" s="1"/>
  <c r="BE33" s="1"/>
  <c r="AY33"/>
  <c r="BD33"/>
  <c r="BG33"/>
  <c r="BH33" s="1"/>
  <c r="K34"/>
  <c r="L34"/>
  <c r="AM34"/>
  <c r="AO34" s="1"/>
  <c r="BB34" s="1"/>
  <c r="BC34" s="1"/>
  <c r="BE34" s="1"/>
  <c r="AY34"/>
  <c r="BD34"/>
  <c r="BG34"/>
  <c r="BH34" s="1"/>
  <c r="K35"/>
  <c r="L35"/>
  <c r="AM35"/>
  <c r="AO35" s="1"/>
  <c r="BB35" s="1"/>
  <c r="BC35" s="1"/>
  <c r="BE35" s="1"/>
  <c r="AY35"/>
  <c r="BD35"/>
  <c r="BG35"/>
  <c r="BH35" s="1"/>
  <c r="K36"/>
  <c r="L36"/>
  <c r="AM36"/>
  <c r="AO36" s="1"/>
  <c r="BB36" s="1"/>
  <c r="BC36" s="1"/>
  <c r="AY36"/>
  <c r="BD36"/>
  <c r="BG36"/>
  <c r="BH36" s="1"/>
  <c r="K37"/>
  <c r="L37"/>
  <c r="AM37"/>
  <c r="AO37" s="1"/>
  <c r="BB37" s="1"/>
  <c r="BC37" s="1"/>
  <c r="AY37"/>
  <c r="BD37"/>
  <c r="BG37"/>
  <c r="BH37" s="1"/>
  <c r="K38"/>
  <c r="L38"/>
  <c r="AM38"/>
  <c r="AO38" s="1"/>
  <c r="BB38" s="1"/>
  <c r="BC38" s="1"/>
  <c r="BE38" s="1"/>
  <c r="AY38"/>
  <c r="BD38"/>
  <c r="BG38"/>
  <c r="BH38" s="1"/>
  <c r="AM2" i="42"/>
  <c r="AO2" s="1"/>
  <c r="BB2" s="1"/>
  <c r="BC2" s="1"/>
  <c r="BE2" s="1"/>
  <c r="AY2"/>
  <c r="BD2"/>
  <c r="BG2"/>
  <c r="BH2" s="1"/>
  <c r="K3"/>
  <c r="L3"/>
  <c r="AM3"/>
  <c r="AO3" s="1"/>
  <c r="BB3" s="1"/>
  <c r="BC3" s="1"/>
  <c r="BE3" s="1"/>
  <c r="AY3"/>
  <c r="BD3"/>
  <c r="BG3"/>
  <c r="BH3" s="1"/>
  <c r="K4"/>
  <c r="L4"/>
  <c r="AM4"/>
  <c r="AO4" s="1"/>
  <c r="BB4" s="1"/>
  <c r="BC4" s="1"/>
  <c r="AY4"/>
  <c r="BD4"/>
  <c r="BG4"/>
  <c r="BH4" s="1"/>
  <c r="K6"/>
  <c r="L6"/>
  <c r="AM6"/>
  <c r="AO6" s="1"/>
  <c r="BB6" s="1"/>
  <c r="BC6" s="1"/>
  <c r="BE6" s="1"/>
  <c r="AY6"/>
  <c r="BD6"/>
  <c r="BG6"/>
  <c r="BH6" s="1"/>
  <c r="K7"/>
  <c r="L7"/>
  <c r="AM7"/>
  <c r="AO7" s="1"/>
  <c r="BB7" s="1"/>
  <c r="BC7" s="1"/>
  <c r="BE7" s="1"/>
  <c r="AY7"/>
  <c r="BD7"/>
  <c r="BG7"/>
  <c r="BH7" s="1"/>
  <c r="K8"/>
  <c r="L8"/>
  <c r="AM8"/>
  <c r="AO8" s="1"/>
  <c r="BB8" s="1"/>
  <c r="BC8" s="1"/>
  <c r="BE8" s="1"/>
  <c r="AY8"/>
  <c r="BD8"/>
  <c r="BG8"/>
  <c r="BH8" s="1"/>
  <c r="K9"/>
  <c r="L9"/>
  <c r="AM9"/>
  <c r="AO9" s="1"/>
  <c r="BB9" s="1"/>
  <c r="BC9" s="1"/>
  <c r="AY9"/>
  <c r="BD9"/>
  <c r="BG9"/>
  <c r="BH9" s="1"/>
  <c r="K10"/>
  <c r="L10"/>
  <c r="AM10"/>
  <c r="AO10" s="1"/>
  <c r="BB10" s="1"/>
  <c r="BC10" s="1"/>
  <c r="BE10" s="1"/>
  <c r="AY10"/>
  <c r="BD10"/>
  <c r="BG10"/>
  <c r="BH10" s="1"/>
  <c r="K11"/>
  <c r="L11"/>
  <c r="AM11"/>
  <c r="AO11" s="1"/>
  <c r="BB11" s="1"/>
  <c r="BC11" s="1"/>
  <c r="AY11"/>
  <c r="BD11"/>
  <c r="BG11"/>
  <c r="BH11" s="1"/>
  <c r="K12"/>
  <c r="L12"/>
  <c r="AM12"/>
  <c r="AO12" s="1"/>
  <c r="BB12" s="1"/>
  <c r="BC12" s="1"/>
  <c r="BE12" s="1"/>
  <c r="AY12"/>
  <c r="BD12"/>
  <c r="BG12"/>
  <c r="BH12" s="1"/>
  <c r="K13"/>
  <c r="L13"/>
  <c r="AM13"/>
  <c r="AO13" s="1"/>
  <c r="BB13" s="1"/>
  <c r="BC13" s="1"/>
  <c r="AY13"/>
  <c r="BD13"/>
  <c r="BG13"/>
  <c r="BH13" s="1"/>
  <c r="K14"/>
  <c r="L14"/>
  <c r="AM14"/>
  <c r="AO14" s="1"/>
  <c r="BB14" s="1"/>
  <c r="BC14" s="1"/>
  <c r="BE14" s="1"/>
  <c r="AY14"/>
  <c r="BD14"/>
  <c r="BG14"/>
  <c r="BH14" s="1"/>
  <c r="K15"/>
  <c r="L15"/>
  <c r="AK15"/>
  <c r="AM15" s="1"/>
  <c r="AO15" s="1"/>
  <c r="BB15" s="1"/>
  <c r="BC15" s="1"/>
  <c r="BE15" s="1"/>
  <c r="AY15"/>
  <c r="BD15"/>
  <c r="BG15"/>
  <c r="BH15" s="1"/>
  <c r="K16"/>
  <c r="L16"/>
  <c r="AK16"/>
  <c r="AM16" s="1"/>
  <c r="AO16" s="1"/>
  <c r="BB16" s="1"/>
  <c r="BC16" s="1"/>
  <c r="BE16" s="1"/>
  <c r="AY16"/>
  <c r="BD16"/>
  <c r="BG16"/>
  <c r="BH16" s="1"/>
  <c r="K17"/>
  <c r="L17"/>
  <c r="AK17"/>
  <c r="AM17" s="1"/>
  <c r="AO17" s="1"/>
  <c r="BB17" s="1"/>
  <c r="BC17" s="1"/>
  <c r="AY17"/>
  <c r="BD17"/>
  <c r="BG17"/>
  <c r="BH17" s="1"/>
  <c r="K18"/>
  <c r="L18"/>
  <c r="AK18"/>
  <c r="AM18" s="1"/>
  <c r="AO18" s="1"/>
  <c r="BB18" s="1"/>
  <c r="BC18" s="1"/>
  <c r="BE18" s="1"/>
  <c r="AY18"/>
  <c r="BD18"/>
  <c r="BG18"/>
  <c r="BH18" s="1"/>
  <c r="K19"/>
  <c r="L19"/>
  <c r="AK19"/>
  <c r="AM19" s="1"/>
  <c r="AO19" s="1"/>
  <c r="BB19" s="1"/>
  <c r="BC19" s="1"/>
  <c r="BE19" s="1"/>
  <c r="AY19"/>
  <c r="BD19"/>
  <c r="BG19"/>
  <c r="BH19" s="1"/>
  <c r="K20"/>
  <c r="L20"/>
  <c r="AK20"/>
  <c r="AM20" s="1"/>
  <c r="AO20" s="1"/>
  <c r="BB20" s="1"/>
  <c r="BC20" s="1"/>
  <c r="BE20" s="1"/>
  <c r="AY20"/>
  <c r="BD20"/>
  <c r="BG20"/>
  <c r="BH20" s="1"/>
  <c r="K21"/>
  <c r="L21"/>
  <c r="AK21"/>
  <c r="AM21" s="1"/>
  <c r="AO21" s="1"/>
  <c r="BB21" s="1"/>
  <c r="BC21" s="1"/>
  <c r="AY21"/>
  <c r="BD21"/>
  <c r="BG21"/>
  <c r="BH21" s="1"/>
  <c r="K22"/>
  <c r="L22"/>
  <c r="AK22"/>
  <c r="AM22" s="1"/>
  <c r="AO22" s="1"/>
  <c r="BB22" s="1"/>
  <c r="BC22" s="1"/>
  <c r="BE22" s="1"/>
  <c r="AY22"/>
  <c r="BD22"/>
  <c r="BG22"/>
  <c r="BH22" s="1"/>
  <c r="K23"/>
  <c r="L23"/>
  <c r="AK23"/>
  <c r="AM23" s="1"/>
  <c r="AO23" s="1"/>
  <c r="BB23" s="1"/>
  <c r="BC23" s="1"/>
  <c r="BE23" s="1"/>
  <c r="AY23"/>
  <c r="BD23"/>
  <c r="BG23"/>
  <c r="BH23" s="1"/>
  <c r="K24"/>
  <c r="L24"/>
  <c r="AM24"/>
  <c r="AO24" s="1"/>
  <c r="BB24" s="1"/>
  <c r="BC24" s="1"/>
  <c r="BE24" s="1"/>
  <c r="AY24"/>
  <c r="BD24"/>
  <c r="BG24"/>
  <c r="BH24" s="1"/>
  <c r="K25"/>
  <c r="L25"/>
  <c r="AK25"/>
  <c r="AM25"/>
  <c r="AO25" s="1"/>
  <c r="BB25" s="1"/>
  <c r="BC25" s="1"/>
  <c r="AY25"/>
  <c r="BD25"/>
  <c r="BG25"/>
  <c r="BH25" s="1"/>
  <c r="K26"/>
  <c r="L26"/>
  <c r="AK26"/>
  <c r="AM26" s="1"/>
  <c r="AO26" s="1"/>
  <c r="BB26" s="1"/>
  <c r="BC26" s="1"/>
  <c r="AY26"/>
  <c r="BD26"/>
  <c r="BG26"/>
  <c r="BH26" s="1"/>
  <c r="K27"/>
  <c r="L27"/>
  <c r="AK27"/>
  <c r="AM27" s="1"/>
  <c r="AO27" s="1"/>
  <c r="BB27" s="1"/>
  <c r="BC27" s="1"/>
  <c r="AY27"/>
  <c r="BD27"/>
  <c r="BG27"/>
  <c r="BH27" s="1"/>
  <c r="K28"/>
  <c r="L28"/>
  <c r="AK28"/>
  <c r="AM28" s="1"/>
  <c r="AO28" s="1"/>
  <c r="BB28" s="1"/>
  <c r="BC28" s="1"/>
  <c r="BE28" s="1"/>
  <c r="AY28"/>
  <c r="BD28"/>
  <c r="BG28"/>
  <c r="BH28" s="1"/>
  <c r="AK29"/>
  <c r="AM29" s="1"/>
  <c r="AO29" s="1"/>
  <c r="BB29" s="1"/>
  <c r="BC29" s="1"/>
  <c r="BE29" s="1"/>
  <c r="AY29"/>
  <c r="BD29"/>
  <c r="BG29"/>
  <c r="BH29" s="1"/>
  <c r="K30"/>
  <c r="L30"/>
  <c r="AM30"/>
  <c r="AO30" s="1"/>
  <c r="BB30" s="1"/>
  <c r="BC30" s="1"/>
  <c r="AY30"/>
  <c r="BD30"/>
  <c r="BG30"/>
  <c r="BH30" s="1"/>
  <c r="K31"/>
  <c r="L31"/>
  <c r="AM31"/>
  <c r="AO31" s="1"/>
  <c r="BB31" s="1"/>
  <c r="BC31" s="1"/>
  <c r="BE31" s="1"/>
  <c r="AY31"/>
  <c r="BD31"/>
  <c r="BG31"/>
  <c r="BH31" s="1"/>
  <c r="K32"/>
  <c r="L32"/>
  <c r="AM32"/>
  <c r="AO32" s="1"/>
  <c r="BB32" s="1"/>
  <c r="BC32" s="1"/>
  <c r="AY32"/>
  <c r="BD32"/>
  <c r="BG32"/>
  <c r="BH32" s="1"/>
  <c r="K33"/>
  <c r="L33"/>
  <c r="AK33"/>
  <c r="AM33" s="1"/>
  <c r="AO33" s="1"/>
  <c r="BB33" s="1"/>
  <c r="BC33" s="1"/>
  <c r="BE33" s="1"/>
  <c r="AY33"/>
  <c r="BD33"/>
  <c r="BG33"/>
  <c r="BH33" s="1"/>
  <c r="K34"/>
  <c r="L34"/>
  <c r="AK34"/>
  <c r="AM34" s="1"/>
  <c r="AO34" s="1"/>
  <c r="BB34" s="1"/>
  <c r="BC34" s="1"/>
  <c r="AY34"/>
  <c r="BD34"/>
  <c r="BG34"/>
  <c r="BH34"/>
  <c r="K35"/>
  <c r="L35"/>
  <c r="AK35"/>
  <c r="AM35" s="1"/>
  <c r="AO35" s="1"/>
  <c r="BB35" s="1"/>
  <c r="BC35" s="1"/>
  <c r="BE35" s="1"/>
  <c r="AY35"/>
  <c r="BD35"/>
  <c r="BG35"/>
  <c r="BH35" s="1"/>
  <c r="K36"/>
  <c r="L36"/>
  <c r="AM36"/>
  <c r="AO36" s="1"/>
  <c r="BB36" s="1"/>
  <c r="BC36" s="1"/>
  <c r="BE36" s="1"/>
  <c r="AY36"/>
  <c r="BD36"/>
  <c r="BG36"/>
  <c r="BH36" s="1"/>
  <c r="K37"/>
  <c r="L37"/>
  <c r="AM37"/>
  <c r="AO37" s="1"/>
  <c r="BB37" s="1"/>
  <c r="BC37" s="1"/>
  <c r="AY37"/>
  <c r="BD37"/>
  <c r="BG37"/>
  <c r="BH37" s="1"/>
  <c r="K38"/>
  <c r="L38"/>
  <c r="AK38"/>
  <c r="AM38" s="1"/>
  <c r="AO38" s="1"/>
  <c r="BB38" s="1"/>
  <c r="BC38" s="1"/>
  <c r="BE38" s="1"/>
  <c r="AY38"/>
  <c r="BD38"/>
  <c r="BG38"/>
  <c r="BH38" s="1"/>
  <c r="K39"/>
  <c r="L39"/>
  <c r="AK39"/>
  <c r="AM39" s="1"/>
  <c r="AO39" s="1"/>
  <c r="BB39" s="1"/>
  <c r="BC39" s="1"/>
  <c r="AY39"/>
  <c r="BD39"/>
  <c r="BG39"/>
  <c r="BH39" s="1"/>
  <c r="K40"/>
  <c r="L40"/>
  <c r="AK40"/>
  <c r="AM40" s="1"/>
  <c r="AO40" s="1"/>
  <c r="BB40" s="1"/>
  <c r="BC40" s="1"/>
  <c r="BE40" s="1"/>
  <c r="AY40"/>
  <c r="BD40"/>
  <c r="BG40"/>
  <c r="BH40" s="1"/>
  <c r="K41"/>
  <c r="L41"/>
  <c r="AK41"/>
  <c r="AM41" s="1"/>
  <c r="AO41" s="1"/>
  <c r="BB41" s="1"/>
  <c r="BC41" s="1"/>
  <c r="AY41"/>
  <c r="BD41"/>
  <c r="BG41"/>
  <c r="BH41" s="1"/>
  <c r="K42"/>
  <c r="L42"/>
  <c r="AK42"/>
  <c r="AM42" s="1"/>
  <c r="AO42" s="1"/>
  <c r="BB42" s="1"/>
  <c r="BC42" s="1"/>
  <c r="BE42" s="1"/>
  <c r="AY42"/>
  <c r="BD42"/>
  <c r="BG42"/>
  <c r="BH42" s="1"/>
  <c r="K43"/>
  <c r="L43"/>
  <c r="Q43"/>
  <c r="AY43" s="1"/>
  <c r="AM43"/>
  <c r="AO43" s="1"/>
  <c r="BB43" s="1"/>
  <c r="BC43" s="1"/>
  <c r="BE43" s="1"/>
  <c r="BD43"/>
  <c r="BG43"/>
  <c r="BH43" s="1"/>
  <c r="K44"/>
  <c r="L44"/>
  <c r="AK44"/>
  <c r="AM44" s="1"/>
  <c r="AO44" s="1"/>
  <c r="BB44" s="1"/>
  <c r="BC44" s="1"/>
  <c r="BE44" s="1"/>
  <c r="AY44"/>
  <c r="BD44"/>
  <c r="BG44"/>
  <c r="BH44" s="1"/>
  <c r="K45"/>
  <c r="L45"/>
  <c r="AK45"/>
  <c r="AM45" s="1"/>
  <c r="AO45" s="1"/>
  <c r="BB45" s="1"/>
  <c r="BC45" s="1"/>
  <c r="AY45"/>
  <c r="BD45"/>
  <c r="BG45"/>
  <c r="BH45" s="1"/>
  <c r="K46"/>
  <c r="L46"/>
  <c r="AK46"/>
  <c r="AM46" s="1"/>
  <c r="AO46" s="1"/>
  <c r="BB46" s="1"/>
  <c r="BC46" s="1"/>
  <c r="BE46" s="1"/>
  <c r="AY46"/>
  <c r="BD46"/>
  <c r="BG46"/>
  <c r="BH46" s="1"/>
  <c r="K47"/>
  <c r="L47"/>
  <c r="AK47"/>
  <c r="AM47" s="1"/>
  <c r="AO47" s="1"/>
  <c r="BB47" s="1"/>
  <c r="BC47" s="1"/>
  <c r="AY47"/>
  <c r="BD47"/>
  <c r="BG47"/>
  <c r="BH47" s="1"/>
  <c r="K48"/>
  <c r="L48"/>
  <c r="AK48"/>
  <c r="AM48" s="1"/>
  <c r="AO48" s="1"/>
  <c r="BB48" s="1"/>
  <c r="BC48" s="1"/>
  <c r="AY48"/>
  <c r="BD48"/>
  <c r="BG48"/>
  <c r="BH48" s="1"/>
  <c r="K49"/>
  <c r="L49"/>
  <c r="AK49"/>
  <c r="AM49" s="1"/>
  <c r="AO49" s="1"/>
  <c r="BB49" s="1"/>
  <c r="BC49" s="1"/>
  <c r="AY49"/>
  <c r="BD49"/>
  <c r="BG49"/>
  <c r="BH49" s="1"/>
  <c r="K50"/>
  <c r="L50"/>
  <c r="AK50"/>
  <c r="AM50" s="1"/>
  <c r="AO50" s="1"/>
  <c r="BB50" s="1"/>
  <c r="BC50" s="1"/>
  <c r="BE50" s="1"/>
  <c r="AY50"/>
  <c r="BD50"/>
  <c r="BG50"/>
  <c r="BH50" s="1"/>
  <c r="K51"/>
  <c r="L51"/>
  <c r="AK51"/>
  <c r="AM51" s="1"/>
  <c r="AO51" s="1"/>
  <c r="BB51" s="1"/>
  <c r="BC51" s="1"/>
  <c r="AY51"/>
  <c r="BD51"/>
  <c r="BG51"/>
  <c r="BH51" s="1"/>
  <c r="K52"/>
  <c r="L52"/>
  <c r="AK52"/>
  <c r="AM52" s="1"/>
  <c r="AO52" s="1"/>
  <c r="BB52" s="1"/>
  <c r="BC52" s="1"/>
  <c r="AY52"/>
  <c r="BD52"/>
  <c r="BG52"/>
  <c r="BH52" s="1"/>
  <c r="K53"/>
  <c r="L53"/>
  <c r="AK53"/>
  <c r="AM53" s="1"/>
  <c r="AO53" s="1"/>
  <c r="BB53" s="1"/>
  <c r="BC53" s="1"/>
  <c r="AY53"/>
  <c r="BD53"/>
  <c r="BG53"/>
  <c r="BH53" s="1"/>
  <c r="K54"/>
  <c r="L54"/>
  <c r="AK54"/>
  <c r="AM54" s="1"/>
  <c r="AO54" s="1"/>
  <c r="BB54" s="1"/>
  <c r="BC54" s="1"/>
  <c r="BE54" s="1"/>
  <c r="AY54"/>
  <c r="BD54"/>
  <c r="BG54"/>
  <c r="BH54" s="1"/>
  <c r="K55"/>
  <c r="L55"/>
  <c r="AK55"/>
  <c r="AM55" s="1"/>
  <c r="AO55" s="1"/>
  <c r="BB55" s="1"/>
  <c r="BC55" s="1"/>
  <c r="BE55" s="1"/>
  <c r="AY55"/>
  <c r="BD55"/>
  <c r="BG55"/>
  <c r="BH55" s="1"/>
  <c r="K56"/>
  <c r="L56"/>
  <c r="AK56"/>
  <c r="AM56" s="1"/>
  <c r="AO56" s="1"/>
  <c r="BB56" s="1"/>
  <c r="BC56" s="1"/>
  <c r="AY56"/>
  <c r="BD56"/>
  <c r="BG56"/>
  <c r="BH56" s="1"/>
  <c r="K57"/>
  <c r="L57"/>
  <c r="AK57"/>
  <c r="AM57" s="1"/>
  <c r="AO57" s="1"/>
  <c r="BB57" s="1"/>
  <c r="BC57" s="1"/>
  <c r="AY57"/>
  <c r="BD57"/>
  <c r="BG57"/>
  <c r="BH57" s="1"/>
  <c r="K58"/>
  <c r="L58"/>
  <c r="AK58"/>
  <c r="AM58" s="1"/>
  <c r="AO58" s="1"/>
  <c r="BB58" s="1"/>
  <c r="BC58" s="1"/>
  <c r="BE58" s="1"/>
  <c r="AY58"/>
  <c r="BD58"/>
  <c r="BG58"/>
  <c r="BH58" s="1"/>
  <c r="K59"/>
  <c r="L59"/>
  <c r="AK59"/>
  <c r="AM59" s="1"/>
  <c r="AO59" s="1"/>
  <c r="BB59" s="1"/>
  <c r="BC59" s="1"/>
  <c r="BE59" s="1"/>
  <c r="AY59"/>
  <c r="BD59"/>
  <c r="BG59"/>
  <c r="BH59" s="1"/>
  <c r="K60"/>
  <c r="L60"/>
  <c r="AK60"/>
  <c r="AM60" s="1"/>
  <c r="AO60" s="1"/>
  <c r="BB60" s="1"/>
  <c r="BC60" s="1"/>
  <c r="AY60"/>
  <c r="BD60"/>
  <c r="BG60"/>
  <c r="BH60" s="1"/>
  <c r="K61"/>
  <c r="L61"/>
  <c r="AK61"/>
  <c r="AM61" s="1"/>
  <c r="AO61" s="1"/>
  <c r="BB61" s="1"/>
  <c r="BC61" s="1"/>
  <c r="AY61"/>
  <c r="BD61"/>
  <c r="BG61"/>
  <c r="BH61" s="1"/>
  <c r="K62"/>
  <c r="L62"/>
  <c r="AK62"/>
  <c r="AM62" s="1"/>
  <c r="AO62" s="1"/>
  <c r="BB62" s="1"/>
  <c r="BC62" s="1"/>
  <c r="BE62" s="1"/>
  <c r="AY62"/>
  <c r="BD62"/>
  <c r="BG62"/>
  <c r="BH62" s="1"/>
  <c r="K63"/>
  <c r="L63"/>
  <c r="AK63"/>
  <c r="AM63" s="1"/>
  <c r="AO63" s="1"/>
  <c r="BB63" s="1"/>
  <c r="BC63" s="1"/>
  <c r="BE63" s="1"/>
  <c r="AY63"/>
  <c r="BD63"/>
  <c r="BG63"/>
  <c r="BH63" s="1"/>
  <c r="K64"/>
  <c r="L64"/>
  <c r="AK64"/>
  <c r="AM64" s="1"/>
  <c r="AO64" s="1"/>
  <c r="BB64" s="1"/>
  <c r="BC64" s="1"/>
  <c r="AY64"/>
  <c r="BD64"/>
  <c r="BG64"/>
  <c r="BH64" s="1"/>
  <c r="K65"/>
  <c r="L65"/>
  <c r="AK65"/>
  <c r="AM65" s="1"/>
  <c r="AO65" s="1"/>
  <c r="BB65" s="1"/>
  <c r="BC65" s="1"/>
  <c r="AY65"/>
  <c r="BD65"/>
  <c r="BG65"/>
  <c r="BH65" s="1"/>
  <c r="K66"/>
  <c r="L66"/>
  <c r="AK66"/>
  <c r="AM66" s="1"/>
  <c r="AO66" s="1"/>
  <c r="BB66" s="1"/>
  <c r="BC66" s="1"/>
  <c r="BE66" s="1"/>
  <c r="AY66"/>
  <c r="BD66"/>
  <c r="BG66"/>
  <c r="BH66" s="1"/>
  <c r="K67"/>
  <c r="L67"/>
  <c r="AK67"/>
  <c r="AM67" s="1"/>
  <c r="AO67" s="1"/>
  <c r="BB67" s="1"/>
  <c r="BC67" s="1"/>
  <c r="BE67" s="1"/>
  <c r="AY67"/>
  <c r="BD67"/>
  <c r="BG67"/>
  <c r="BH67" s="1"/>
  <c r="K68"/>
  <c r="L68"/>
  <c r="AK68"/>
  <c r="AM68" s="1"/>
  <c r="AO68" s="1"/>
  <c r="BB68" s="1"/>
  <c r="BC68" s="1"/>
  <c r="AY68"/>
  <c r="BD68"/>
  <c r="BG68"/>
  <c r="BH68" s="1"/>
  <c r="K69"/>
  <c r="L69"/>
  <c r="AK69"/>
  <c r="AM69" s="1"/>
  <c r="AO69" s="1"/>
  <c r="BB69" s="1"/>
  <c r="BC69" s="1"/>
  <c r="AY69"/>
  <c r="BD69"/>
  <c r="BG69"/>
  <c r="BH69" s="1"/>
  <c r="K70"/>
  <c r="L70"/>
  <c r="AK70"/>
  <c r="AM70" s="1"/>
  <c r="AO70" s="1"/>
  <c r="BB70" s="1"/>
  <c r="BC70" s="1"/>
  <c r="BE70" s="1"/>
  <c r="AY70"/>
  <c r="BD70"/>
  <c r="BG70"/>
  <c r="BH70" s="1"/>
  <c r="K71"/>
  <c r="L71"/>
  <c r="AM71"/>
  <c r="AO71" s="1"/>
  <c r="BB71" s="1"/>
  <c r="BC71" s="1"/>
  <c r="BE71" s="1"/>
  <c r="AY71"/>
  <c r="BD71"/>
  <c r="BG71"/>
  <c r="BH71" s="1"/>
  <c r="K72"/>
  <c r="L72"/>
  <c r="AK72"/>
  <c r="AM72" s="1"/>
  <c r="AO72" s="1"/>
  <c r="BB72" s="1"/>
  <c r="BC72" s="1"/>
  <c r="AY72"/>
  <c r="BD72"/>
  <c r="BG72"/>
  <c r="BH72" s="1"/>
  <c r="K73"/>
  <c r="L73"/>
  <c r="AK73"/>
  <c r="AM73"/>
  <c r="AO73" s="1"/>
  <c r="BB73" s="1"/>
  <c r="BC73" s="1"/>
  <c r="AY73"/>
  <c r="BD73"/>
  <c r="BG73"/>
  <c r="BH73" s="1"/>
  <c r="K74"/>
  <c r="L74"/>
  <c r="AM74"/>
  <c r="AO74" s="1"/>
  <c r="BB74" s="1"/>
  <c r="BC74" s="1"/>
  <c r="AY74"/>
  <c r="BD74"/>
  <c r="BG74"/>
  <c r="BH74" s="1"/>
  <c r="K75"/>
  <c r="L75"/>
  <c r="AK75"/>
  <c r="AM75" s="1"/>
  <c r="AO75" s="1"/>
  <c r="BB75" s="1"/>
  <c r="BC75" s="1"/>
  <c r="BE75" s="1"/>
  <c r="AY75"/>
  <c r="BD75"/>
  <c r="BG75"/>
  <c r="BH75" s="1"/>
  <c r="K76"/>
  <c r="L76"/>
  <c r="AK76"/>
  <c r="AM76" s="1"/>
  <c r="AO76" s="1"/>
  <c r="BB76" s="1"/>
  <c r="BC76" s="1"/>
  <c r="AY76"/>
  <c r="BD76"/>
  <c r="BG76"/>
  <c r="BH76" s="1"/>
  <c r="K77"/>
  <c r="L77"/>
  <c r="AK77"/>
  <c r="AM77" s="1"/>
  <c r="AO77" s="1"/>
  <c r="BB77" s="1"/>
  <c r="BC77" s="1"/>
  <c r="AY77"/>
  <c r="BD77"/>
  <c r="BG77"/>
  <c r="BH77" s="1"/>
  <c r="K78"/>
  <c r="L78"/>
  <c r="AK78"/>
  <c r="AM78" s="1"/>
  <c r="AO78" s="1"/>
  <c r="BB78" s="1"/>
  <c r="BC78" s="1"/>
  <c r="AY78"/>
  <c r="BD78"/>
  <c r="BG78"/>
  <c r="BH78" s="1"/>
  <c r="K79"/>
  <c r="L79"/>
  <c r="AK79"/>
  <c r="AM79" s="1"/>
  <c r="AO79" s="1"/>
  <c r="BB79" s="1"/>
  <c r="BC79" s="1"/>
  <c r="BE79" s="1"/>
  <c r="AY79"/>
  <c r="BD79"/>
  <c r="BG79"/>
  <c r="BH79" s="1"/>
  <c r="K80"/>
  <c r="L80"/>
  <c r="AK80"/>
  <c r="AM80" s="1"/>
  <c r="AO80" s="1"/>
  <c r="BB80" s="1"/>
  <c r="BC80" s="1"/>
  <c r="BE80" s="1"/>
  <c r="AY80"/>
  <c r="BD80"/>
  <c r="BG80"/>
  <c r="BH80" s="1"/>
  <c r="K81"/>
  <c r="L81"/>
  <c r="AK81"/>
  <c r="AM81"/>
  <c r="AO81" s="1"/>
  <c r="BB81" s="1"/>
  <c r="BC81" s="1"/>
  <c r="BE81" s="1"/>
  <c r="AY81"/>
  <c r="BD81"/>
  <c r="BG81"/>
  <c r="BH81" s="1"/>
  <c r="K82"/>
  <c r="L82"/>
  <c r="AM82"/>
  <c r="AO82" s="1"/>
  <c r="BB82" s="1"/>
  <c r="BC82" s="1"/>
  <c r="AY82"/>
  <c r="BD82"/>
  <c r="BG82"/>
  <c r="BH82" s="1"/>
  <c r="K83"/>
  <c r="L83"/>
  <c r="AK83"/>
  <c r="AM83" s="1"/>
  <c r="AO83" s="1"/>
  <c r="BB83" s="1"/>
  <c r="BC83" s="1"/>
  <c r="AY83"/>
  <c r="BD83"/>
  <c r="BG83"/>
  <c r="BH83" s="1"/>
  <c r="K84"/>
  <c r="L84"/>
  <c r="AM84"/>
  <c r="AO84" s="1"/>
  <c r="BB84" s="1"/>
  <c r="BC84" s="1"/>
  <c r="AY84"/>
  <c r="BD84"/>
  <c r="BG84"/>
  <c r="BH84" s="1"/>
  <c r="K85"/>
  <c r="L85"/>
  <c r="Q85"/>
  <c r="AY85" s="1"/>
  <c r="AM85"/>
  <c r="AO85" s="1"/>
  <c r="BB85" s="1"/>
  <c r="BC85" s="1"/>
  <c r="BE85" s="1"/>
  <c r="BD85"/>
  <c r="BG85"/>
  <c r="BH85" s="1"/>
  <c r="AM86"/>
  <c r="AO86" s="1"/>
  <c r="BB86" s="1"/>
  <c r="BC86" s="1"/>
  <c r="BE86" s="1"/>
  <c r="AY86"/>
  <c r="BD86"/>
  <c r="BG86"/>
  <c r="BH86" s="1"/>
  <c r="AM87"/>
  <c r="AO87" s="1"/>
  <c r="BB87" s="1"/>
  <c r="BC87" s="1"/>
  <c r="BE87" s="1"/>
  <c r="AY87"/>
  <c r="BD87"/>
  <c r="BG87"/>
  <c r="BH87" s="1"/>
  <c r="AM88"/>
  <c r="AO88" s="1"/>
  <c r="BB88" s="1"/>
  <c r="BC88" s="1"/>
  <c r="AY88"/>
  <c r="BD88"/>
  <c r="BG88"/>
  <c r="BH88" s="1"/>
  <c r="K2" i="43"/>
  <c r="L2"/>
  <c r="Q2"/>
  <c r="AX2" s="1"/>
  <c r="AI2"/>
  <c r="AK2" s="1"/>
  <c r="AM2" s="1"/>
  <c r="AZ2" s="1"/>
  <c r="BA2"/>
  <c r="BD2"/>
  <c r="BE2" s="1"/>
  <c r="AK3"/>
  <c r="AM3" s="1"/>
  <c r="AZ3" s="1"/>
  <c r="AX3"/>
  <c r="BA3"/>
  <c r="BD3"/>
  <c r="BE3" s="1"/>
  <c r="K4"/>
  <c r="L4"/>
  <c r="AK4"/>
  <c r="AM4" s="1"/>
  <c r="AZ4" s="1"/>
  <c r="AX4"/>
  <c r="BA4"/>
  <c r="BD4"/>
  <c r="BE4" s="1"/>
  <c r="K5"/>
  <c r="L5"/>
  <c r="AI5"/>
  <c r="AK5" s="1"/>
  <c r="AM5" s="1"/>
  <c r="AZ5" s="1"/>
  <c r="AX5"/>
  <c r="BA5"/>
  <c r="BD5"/>
  <c r="BE5" s="1"/>
  <c r="K6"/>
  <c r="L6"/>
  <c r="AI6"/>
  <c r="AK6" s="1"/>
  <c r="AM6" s="1"/>
  <c r="AZ6" s="1"/>
  <c r="AX6"/>
  <c r="BA6"/>
  <c r="BD6"/>
  <c r="BE6" s="1"/>
  <c r="K7"/>
  <c r="L7"/>
  <c r="AK7"/>
  <c r="AM7" s="1"/>
  <c r="AZ7" s="1"/>
  <c r="AX7"/>
  <c r="BA7"/>
  <c r="BD7"/>
  <c r="BE7" s="1"/>
  <c r="K8"/>
  <c r="L8"/>
  <c r="AI8"/>
  <c r="AK8" s="1"/>
  <c r="AM8" s="1"/>
  <c r="AZ8" s="1"/>
  <c r="AX8"/>
  <c r="BA8"/>
  <c r="BD8"/>
  <c r="BE8" s="1"/>
  <c r="K9"/>
  <c r="L9"/>
  <c r="AI9"/>
  <c r="AK9" s="1"/>
  <c r="AM9" s="1"/>
  <c r="AZ9" s="1"/>
  <c r="AX9"/>
  <c r="BA9"/>
  <c r="BD9"/>
  <c r="BE9" s="1"/>
  <c r="K10"/>
  <c r="L10"/>
  <c r="AI10"/>
  <c r="AK10" s="1"/>
  <c r="AM10" s="1"/>
  <c r="AZ10" s="1"/>
  <c r="AX10"/>
  <c r="BA10"/>
  <c r="BD10"/>
  <c r="BE10" s="1"/>
  <c r="K11"/>
  <c r="L11"/>
  <c r="AI11"/>
  <c r="AK11" s="1"/>
  <c r="AM11" s="1"/>
  <c r="AZ11" s="1"/>
  <c r="AX11"/>
  <c r="BA11"/>
  <c r="BD11"/>
  <c r="BE11" s="1"/>
  <c r="K12"/>
  <c r="L12"/>
  <c r="AI12"/>
  <c r="AK12" s="1"/>
  <c r="AM12" s="1"/>
  <c r="AZ12" s="1"/>
  <c r="AX12"/>
  <c r="BA12"/>
  <c r="BD12"/>
  <c r="BE12" s="1"/>
  <c r="K13"/>
  <c r="L13"/>
  <c r="Q13"/>
  <c r="AX13" s="1"/>
  <c r="AI13"/>
  <c r="AK13" s="1"/>
  <c r="AM13" s="1"/>
  <c r="AZ13" s="1"/>
  <c r="BA13"/>
  <c r="BD13"/>
  <c r="BE13" s="1"/>
  <c r="K14"/>
  <c r="L14"/>
  <c r="Q14"/>
  <c r="AX14" s="1"/>
  <c r="AI14"/>
  <c r="AK14" s="1"/>
  <c r="AM14" s="1"/>
  <c r="AZ14" s="1"/>
  <c r="BA14"/>
  <c r="BD14"/>
  <c r="BE14" s="1"/>
  <c r="K15"/>
  <c r="L15"/>
  <c r="AK15"/>
  <c r="AM15" s="1"/>
  <c r="AZ15" s="1"/>
  <c r="AX15"/>
  <c r="BA15"/>
  <c r="BD15"/>
  <c r="BE15" s="1"/>
  <c r="K16"/>
  <c r="L16"/>
  <c r="AI16"/>
  <c r="AK16"/>
  <c r="AM16" s="1"/>
  <c r="AZ16" s="1"/>
  <c r="AX16"/>
  <c r="BA16"/>
  <c r="BD16"/>
  <c r="BE16" s="1"/>
  <c r="K17"/>
  <c r="L17"/>
  <c r="AI17"/>
  <c r="AK17" s="1"/>
  <c r="AM17" s="1"/>
  <c r="AZ17" s="1"/>
  <c r="AX17"/>
  <c r="BA17"/>
  <c r="BD17"/>
  <c r="BE17" s="1"/>
  <c r="K18"/>
  <c r="L18"/>
  <c r="AK18"/>
  <c r="AM18" s="1"/>
  <c r="AZ18" s="1"/>
  <c r="AX18"/>
  <c r="BA18"/>
  <c r="BD18"/>
  <c r="BE18" s="1"/>
  <c r="K19"/>
  <c r="L19"/>
  <c r="AK19"/>
  <c r="AM19" s="1"/>
  <c r="AZ19" s="1"/>
  <c r="AX19"/>
  <c r="BA19"/>
  <c r="BD19"/>
  <c r="BE19" s="1"/>
  <c r="K20"/>
  <c r="L20"/>
  <c r="AI20"/>
  <c r="AK20" s="1"/>
  <c r="AM20" s="1"/>
  <c r="AZ20" s="1"/>
  <c r="AX20"/>
  <c r="BA20"/>
  <c r="BD20"/>
  <c r="BE20" s="1"/>
  <c r="K21"/>
  <c r="L21"/>
  <c r="AK21"/>
  <c r="AM21" s="1"/>
  <c r="AZ21" s="1"/>
  <c r="AX21"/>
  <c r="BA21"/>
  <c r="BD21"/>
  <c r="BE21" s="1"/>
  <c r="K22"/>
  <c r="L22"/>
  <c r="AK22"/>
  <c r="AM22" s="1"/>
  <c r="AZ22" s="1"/>
  <c r="AX22"/>
  <c r="BA22"/>
  <c r="BD22"/>
  <c r="BE22" s="1"/>
  <c r="K23"/>
  <c r="L23"/>
  <c r="AI23"/>
  <c r="AK23" s="1"/>
  <c r="AM23" s="1"/>
  <c r="AZ23" s="1"/>
  <c r="AX23"/>
  <c r="BA23"/>
  <c r="BD23"/>
  <c r="BE23" s="1"/>
  <c r="K24"/>
  <c r="L24"/>
  <c r="AI24"/>
  <c r="AK24" s="1"/>
  <c r="AM24" s="1"/>
  <c r="AZ24" s="1"/>
  <c r="AX24"/>
  <c r="BA24"/>
  <c r="BD24"/>
  <c r="BE24" s="1"/>
  <c r="K25"/>
  <c r="L25"/>
  <c r="AK25"/>
  <c r="AM25" s="1"/>
  <c r="AZ25" s="1"/>
  <c r="AX25"/>
  <c r="BA25"/>
  <c r="BD25"/>
  <c r="BE25" s="1"/>
  <c r="K26"/>
  <c r="L26"/>
  <c r="Q26"/>
  <c r="AX26" s="1"/>
  <c r="AI26"/>
  <c r="AK26" s="1"/>
  <c r="AM26" s="1"/>
  <c r="AZ26" s="1"/>
  <c r="BA26"/>
  <c r="BD26"/>
  <c r="BE26" s="1"/>
  <c r="BE82" i="42" l="1"/>
  <c r="BE13"/>
  <c r="BE9"/>
  <c r="BE4"/>
  <c r="BE32" i="40"/>
  <c r="BE11"/>
  <c r="BB3" i="43"/>
  <c r="BE65" i="42"/>
  <c r="BE61"/>
  <c r="BE57"/>
  <c r="BE49"/>
  <c r="BE45"/>
  <c r="BE41"/>
  <c r="BE37"/>
  <c r="BE32"/>
  <c r="BE27" i="40"/>
  <c r="BE15"/>
  <c r="BE8"/>
  <c r="BE5" i="42"/>
  <c r="BE34"/>
  <c r="BE27"/>
  <c r="BE25" i="40"/>
  <c r="BE20"/>
  <c r="BE12"/>
  <c r="BB23" i="43"/>
  <c r="BE69" i="42"/>
  <c r="BE53"/>
  <c r="BE37" i="40"/>
  <c r="BE30"/>
  <c r="BE24"/>
  <c r="BE18"/>
  <c r="BE5"/>
  <c r="BE88" i="42"/>
  <c r="BE84"/>
  <c r="BE74"/>
  <c r="BE48"/>
  <c r="BE29" i="40"/>
  <c r="BE22"/>
  <c r="BH13"/>
  <c r="BE76" i="42"/>
  <c r="BE73"/>
  <c r="BE68"/>
  <c r="BE64"/>
  <c r="BE60"/>
  <c r="BE56"/>
  <c r="BE52"/>
  <c r="BE30"/>
  <c r="BE26"/>
  <c r="BE21"/>
  <c r="BE17"/>
  <c r="BE36" i="40"/>
  <c r="BE16"/>
  <c r="BE83" i="42"/>
  <c r="BE78"/>
  <c r="BE77"/>
  <c r="BE72"/>
  <c r="BE51"/>
  <c r="BE47"/>
  <c r="BE39"/>
  <c r="BE25"/>
  <c r="BE11"/>
  <c r="BE28" i="40"/>
  <c r="BE23"/>
  <c r="BE10"/>
  <c r="BE6"/>
  <c r="BE3"/>
  <c r="BB26" i="43"/>
  <c r="BB40"/>
  <c r="BB16"/>
  <c r="BB7"/>
  <c r="BB4"/>
  <c r="BB32"/>
  <c r="BB37"/>
  <c r="BB42"/>
  <c r="BB2"/>
  <c r="BB11"/>
  <c r="BB21"/>
  <c r="BB17"/>
  <c r="BB5"/>
  <c r="BB15"/>
  <c r="BB34"/>
  <c r="BB38"/>
  <c r="BB22"/>
  <c r="BB18"/>
  <c r="BB14"/>
  <c r="BB28"/>
  <c r="BB12"/>
  <c r="BB6"/>
  <c r="BB41"/>
  <c r="BB29"/>
  <c r="BB30"/>
  <c r="BB35"/>
  <c r="BB39"/>
  <c r="BB20"/>
  <c r="BB13"/>
  <c r="BB31"/>
  <c r="BB36"/>
  <c r="BB25"/>
  <c r="BB10"/>
  <c r="BB9"/>
  <c r="BB27"/>
  <c r="BB33"/>
  <c r="BB24"/>
  <c r="BB19"/>
  <c r="BB8"/>
</calcChain>
</file>

<file path=xl/comments1.xml><?xml version="1.0" encoding="utf-8"?>
<comments xmlns="http://schemas.openxmlformats.org/spreadsheetml/2006/main">
  <authors>
    <author>paulolourencao</author>
  </authors>
  <commentList>
    <comment ref="N1" authorId="0">
      <text>
        <r>
          <rPr>
            <b/>
            <sz val="9"/>
            <color indexed="81"/>
            <rFont val="Tahoma"/>
            <family val="2"/>
          </rPr>
          <t>paulolourencao:</t>
        </r>
        <r>
          <rPr>
            <sz val="9"/>
            <color indexed="81"/>
            <rFont val="Tahoma"/>
            <family val="2"/>
          </rPr>
          <t xml:space="preserve">
A maioria das vezes nós não temos essa informação, conversei com a Asia Shipping eles recebem a notificação que haverá embarque no navio "X", porém não sabem afirmar ao certo quando o container será entregue no porto de origem pelo exportador... então coloco a Data que nós fomos informados sobre o embarque.
</t>
        </r>
      </text>
    </comment>
  </commentList>
</comments>
</file>

<file path=xl/comments2.xml><?xml version="1.0" encoding="utf-8"?>
<comments xmlns="http://schemas.openxmlformats.org/spreadsheetml/2006/main">
  <authors>
    <author>paulolourencao</author>
    <author>grasielacunha</author>
  </authors>
  <commentList>
    <comment ref="N1" authorId="0">
      <text>
        <r>
          <rPr>
            <b/>
            <sz val="9"/>
            <color indexed="81"/>
            <rFont val="Tahoma"/>
            <family val="2"/>
          </rPr>
          <t>paulolourencao:</t>
        </r>
        <r>
          <rPr>
            <sz val="9"/>
            <color indexed="81"/>
            <rFont val="Tahoma"/>
            <family val="2"/>
          </rPr>
          <t xml:space="preserve">
A maioria das vezes nós não temos essa informação, conversei com a Asia Shipping eles recebem a notificação que haverá embarque no navio "X", porém não sabem afirmar ao certo quando o container será entregue no porto de origem pelo exportador... então coloco a Data que nós fomos informados sobre o embarque.
</t>
        </r>
      </text>
    </comment>
    <comment ref="BA20" authorId="1">
      <text>
        <r>
          <rPr>
            <sz val="9"/>
            <color indexed="81"/>
            <rFont val="Tahoma"/>
            <family val="2"/>
          </rPr>
          <t>Capatazia = R$ 2.406,00</t>
        </r>
        <r>
          <rPr>
            <sz val="9"/>
            <color indexed="81"/>
            <rFont val="Tahoma"/>
            <family val="2"/>
          </rPr>
          <t xml:space="preserve">
</t>
        </r>
      </text>
    </comment>
  </commentList>
</comments>
</file>

<file path=xl/sharedStrings.xml><?xml version="1.0" encoding="utf-8"?>
<sst xmlns="http://schemas.openxmlformats.org/spreadsheetml/2006/main" count="18406" uniqueCount="6500">
  <si>
    <r>
      <t>29/01 - Recebida informação do embarque. Compradora autorizou.
01/02 - Expeditors informou que a carga é muito volumosa e foi dividida em 2 houses. Compradora informou que pode seguir com o processo. 
02/02 - Processo enviado ao despachante. Solicitada</t>
    </r>
    <r>
      <rPr>
        <sz val="10"/>
        <color indexed="10"/>
        <rFont val="Arial"/>
        <family val="2"/>
      </rPr>
      <t xml:space="preserve"> emissão de LI.</t>
    </r>
    <r>
      <rPr>
        <sz val="10"/>
        <rFont val="Arial"/>
        <family val="2"/>
      </rPr>
      <t xml:space="preserve">
03/02 - Embarque tem previsão de chegar em MIA dia 07/02.
10/02 - LI deferida.
12/02 - 549-20834984. ETA: 13/02 aprox.19:00hs.
15/02 - Carga chegou em 14/02 as 20h00.  DI registrada. Canal amarelo.
17/02 - Despachante informou que não vieram os dctos originais com a carga.
18/02 - Solicitado dctos originais a compradora. Enviados via motoboy.
22/02 - Fiscal Henrique.
23/02 - Fiscalização questionou sobre o ventilador e dissipador de calor. Solicitada ajuda a engenharia e a mesma informou que a descrição está errada. Aguardando retorno da fiscalização.
24/02 - Storillo e Engenharia refizeram a descrição tirando a palavra dissipador. Solicitada retificação ao despachante. Retificação OK.
26/02 - Desembaraçada.</t>
    </r>
  </si>
  <si>
    <t>1360i10</t>
  </si>
  <si>
    <t>P825586</t>
  </si>
  <si>
    <t>1365i10</t>
  </si>
  <si>
    <t>P825587</t>
  </si>
  <si>
    <t>DGG027818</t>
  </si>
  <si>
    <t>S-VMI-3074i09</t>
  </si>
  <si>
    <t>2200000729_13</t>
  </si>
  <si>
    <t>EBP-960685</t>
  </si>
  <si>
    <t>Hon Hai
Cooler Master</t>
  </si>
  <si>
    <t>NE-2852i09</t>
  </si>
  <si>
    <t>13/01 - Recebida informação do embarque. 
14/01 - Compradora autorizou.
15/01 - Enviada ref. Processo com o despachante.
18/01 - MAWB 045-76513835. ETA: 19/01 aprox. 10:00hs.
20/01 - Carga chegou em 19/01 as 11h00. DI registrada. Canal verde.</t>
  </si>
  <si>
    <t>NE-4555i09</t>
  </si>
  <si>
    <t>4558i09</t>
  </si>
  <si>
    <t>1101499561
1101499562</t>
  </si>
  <si>
    <t>25/01 - Recebida informação do embarque. Expeditors informou que se for DDU (custos repassados a origem, eles não poderão remover a carga).
29/01 - Confirmado que a Foxconn que irá pagar todos os custos. Embarque autorizado. Processo com o despachante.
01/02 - Embarque previsto chegar em MIA hoje.
02/02 - MAWB 549-20812960. ETA: 03/02 aprox. 19:00hs.
04/02 - Carga chegou em 03/02 as 19h50. Di registrada. Canal verde.
05/02 - Processo com madeira condenada. Será trocada na segunda-feira, 08/02.</t>
  </si>
  <si>
    <t>46-18623</t>
  </si>
  <si>
    <t>4600019408
4600020043
4600020045</t>
  </si>
  <si>
    <r>
      <t>Carga com seguro. Material deve ser fotografado ao chegar na fábrica.</t>
    </r>
    <r>
      <rPr>
        <sz val="10"/>
        <rFont val="Arial"/>
        <family val="2"/>
      </rPr>
      <t xml:space="preserve">
15/12 - Recebida informação do embarque.
17/12 - Compradora autorizou.
18/12 - Enviada ref. Processo com o despachante. 
28/12 - Recebida cópia do BL. Despachante em cópia. ETA SSZ 28/01/2010.
04/01 - Cobrei PO lines de compras. Recebida cópia de BL revisada. Despachante em cópia. Recebida PO lines.
05/01 - Enviado a Vanessa (Original).
11/01 - Solicitadas NVEs a Engenharia.
13/01 - Enviadas NVEs ao despachante.
27/01 - Dctos originais serão retirados amanhã na Itatrans em Santos.
28/01 - Navio atracou as 08h30.
29/01 - Ag. Entrada dos containers no terminal.
01/02 - Seguradora informou que um dos containers estava posicionado na terceira fileira, não podendo ser inspecionado. Despachante informou que o mesmo será posicionado na área de conferência amanhã.
02/02 - Origem informou que desconhece os lacres encontrados no container.
04/02 - Quanta informou que o lacre encontrado no container é o lacre do vendor, porém não está notificado em nenhum dcto. Solicitei fotos a seguradora. Se o lacre não estiver rompido, a Quanta assumirá esse processo.
05/02 - Recebidas fotos do container. Enviadas a compradora. Ag. retorno da China. Quanta alega que precisa de fotos de todo o container. Pedi ajuda a Tereza Hsu.
08/02 - O vendor informou que se responsabiliza pelo lacre que está no container. Desembaraço autorizado. Seguradora e despachante cientes. Ag. retorno da seguradora. Seguradora informou que precisa de uma declaração de correção do lacre. Itatrans informou que estará disponível amanhã em Santos.
09/02 - Recebida cópia da carta que a Itatrans emitiu a respeito do lacre. Seguradora liberou para nacionalização. Presença de carga OK. DI registrada. Em análise fiscal.
10/02 - Canal verde.
15/02 - Transportadora informou que os containers  GATU 404.314-4.  e POCU 110.300-5. deverão ser lavados.
22/02 - Itatrans informou que foi negociado com o armador e não haverá demurrage devido ao atraso das lavagens.</t>
    </r>
  </si>
  <si>
    <t>1258i10</t>
  </si>
  <si>
    <t>REMOÇAO EM 05/05
07/05 - PRESENCA OK - Ag. Autorização para registro de DI.
09/06 - Priscila autorizou o registro. Devido ao horário, será registrado amanhã.
10/06 - Di registrada. Ag. Parametrização.
12/06 - Canal vermelho.
15/06 - Distribuido Fiscal Nivaldo.
16/06 - Desembaraçada. Entregue.</t>
  </si>
  <si>
    <t>NE-4861i09</t>
  </si>
  <si>
    <t>S-VMI-4850i09</t>
  </si>
  <si>
    <t>23/10 - Recebida invoices. Processo enviado ao despachante. Draft enviado.DI registrada. Em análise fiscal. Enviado ICMS para pagamento.
26/10 - Canal verde sairá amanhã pois hoje é feriado na RF. Solicitada emissão de NF.
27/10 - Canal verde. Enviado comprovante de ICMS as 09h50.</t>
  </si>
  <si>
    <t>NE-5218i09</t>
  </si>
  <si>
    <t>NE-5225i09</t>
  </si>
  <si>
    <t>5229i09</t>
  </si>
  <si>
    <t>05/02 - Recebida informação do embarque. MAWB 045-76635344. ETA VCP 07/02.
09/02 - Processo enviado ao despachante. Carga chegou hoje as 08h40.
10/02 - DI registrada. Canal verde.
11/02 - Compradora informou que a carga pode ser entregue em 19/02.</t>
  </si>
  <si>
    <t>1107i10</t>
  </si>
  <si>
    <t>5001508271
5001508272
5001508564</t>
  </si>
  <si>
    <t>11/08 - Recebida informação do embarque. Ricardo Silva autorizou.
12/08 - Enviada ref. Previsão de ETA MIA 15/08.
13/08 -  ETA VCP 16/08. Ag. Confirmação de horário.
14/08 - Docs originais enviados sob o tracking 8703 6205 5847.
17/08 - MAWB 404-2174 1462. ETA VCP 17/08 as 09h00. Carga chegou hoje as 06h50.
18/08 - DI registrada. Ag. parametrização. Verde.</t>
  </si>
  <si>
    <t>3535i09</t>
  </si>
  <si>
    <t>S-0908-01K</t>
  </si>
  <si>
    <t>729i10</t>
  </si>
  <si>
    <t>10/08 - Recebida informação do embarque. Compradora autorizou.
11/08 - Enviada ref. Processo com o despachante.
13/08 - Previsão de ETA MIA hoje.
17/08 - MAWB 549-20734685. Carga chegou hoje as 02h40. DI registrada.
18/08 - Canal verde.</t>
  </si>
  <si>
    <t>10/09 - Recebido docs.
12/09 - Processo enviado ao despachante.
14/09 - DI registrada. Canal verde.
15/09 - Enviado comprovante de pgto GARE ao despachante. Ag. Emissão de NF. NF emitida. Enviado ao despachante.</t>
  </si>
  <si>
    <t>11/01 - Recebido dctos da compradora autorizando o embarque.
13/01 - MAWB 020-22172824. ETA: 16/01 aprox. 12:00hs. Processo enviado ao despachante.
18/01 - Carga prevista em VCP hoje as 10h00.
19/01 - Carga chegou em 18/01 as 09h20. DI registrada. Canal vermelho. Cobrei dctos originais da compradora pois não vieram com a carga. Dctos originais serão enviados via motoboy amanhã de manhã.
26/01 - Fiscal Jorge.
27/01 - Desembaraçada.</t>
  </si>
  <si>
    <t>654i10</t>
  </si>
  <si>
    <t>EBP-9C0896</t>
  </si>
  <si>
    <t>15/07 - Recebido docs originais. ETA SSZ 19/07.
20/07 - Navio esperado para hoje as 13h00.  Navio em Santos. Ag. atracação. Navio atracado as 13h00.
21/07 - Ag. Desconsolidação.
22/07 - DI registrada.
23/07 - Canal verde.</t>
  </si>
  <si>
    <t>454i10</t>
  </si>
  <si>
    <t>PG812935</t>
  </si>
  <si>
    <t>NHSL10010258</t>
  </si>
  <si>
    <t>Kota Latif</t>
  </si>
  <si>
    <t>19/08 - Recebido docs. Enviado draft. DI registrada. Canal amarelo.
20/08 - Ag. Fatura original da HP para entrada na RF.
24/08 - Desembaraçado.</t>
  </si>
  <si>
    <t>20/08 - Recebido docs. 
21/08 - Enviado draft. DI registrada. Em análise fiscal.
24/08 - Canal verde.</t>
  </si>
  <si>
    <t>20/08 - Recebido docs. 
21/08 - Enviado draft. DI registrada. Canal vermelho.
24/08 - Desembaraçada.</t>
  </si>
  <si>
    <t>06/05 - Recebido docs.
07/05 - Draft enviado.DI registrada.
08/05 - Canal amarelo.
11/05 - Ag. Conferência.. 
12/05 - Entregue.</t>
  </si>
  <si>
    <t>A-VMI-4506i09</t>
  </si>
  <si>
    <t>AAH0088146</t>
  </si>
  <si>
    <t>5001291733
5001291734
5001291735</t>
  </si>
  <si>
    <t>EBP-960479</t>
  </si>
  <si>
    <t>2686i09</t>
  </si>
  <si>
    <t>Flávia</t>
  </si>
  <si>
    <t>26/08 - Recebido docs. Draft enviado.
01/09 - DI registrada. Canal amarelo. Nfe não foi emitida devido a problemas no dpto. fiscal.
04/09 - Desembaraçado. Compras informou que precisa da carga ainda hoje.</t>
  </si>
  <si>
    <t>6470i09</t>
  </si>
  <si>
    <t>Datec</t>
  </si>
  <si>
    <t>04/12 - Recebida informação do embarque. Compradora autorizou. Enviada ref. Processo com o despachante.  
08/12 - Carga estava prevista para chegar ontem em MIA. Ag. Confirmação e dados do vôo para VCP.
09/12 - Cobrei DHL. MAWB: 369 3669 7312. ETA VCP 10/12.
10/12 - Carga chegou as 05h00. DI registrada. Canal verde.</t>
  </si>
  <si>
    <t>28/06 - Recebido dctos da compradora. ETA SSZ 01/07.
01/07 - Enviada ref. Processo com o despachante. Navio Cap Serrat atracou dia 01/07 às 09:10hs.
02/07 - Aguardando descarga do conteiner no terminal.
05/07 - Despachante informou que as NCMs 8504 e 8544 não estão no BL. Compradora ciente. Solicitada correção a Maersk.
07/07 - NCM já foram inclusas.
14/07 - Remoção sendo feita hoje.
20/07 - DA registrada. Canal vermelho.
21/07 - Fiscal Leal.
22/07 - Desembaraçada. Ag. emissão do CD.
23/07 - CD 04827-10</t>
  </si>
  <si>
    <t>BL</t>
  </si>
  <si>
    <r>
      <t xml:space="preserve">19/10 - Recebido dctos.
22/10 - Processo enviado ao despachante. Navio atracado.
</t>
    </r>
    <r>
      <rPr>
        <b/>
        <sz val="10"/>
        <rFont val="Arial"/>
        <family val="2"/>
      </rPr>
      <t xml:space="preserve">27/10 - Entregar na fábrica em 06/11.  </t>
    </r>
    <r>
      <rPr>
        <sz val="10"/>
        <rFont val="Arial"/>
        <family val="2"/>
      </rPr>
      <t>Di registrada. Canal verde. Inspeção de madeira agendada para amanhã a tarde.
06/11 - Caminhão no terminal aguardando carregamento.</t>
    </r>
  </si>
  <si>
    <t>5555i09</t>
  </si>
  <si>
    <t>SBG-5985i09</t>
  </si>
  <si>
    <t>AAH0090580</t>
  </si>
  <si>
    <t>SBG-5986i09</t>
  </si>
  <si>
    <t>AAH0090579</t>
  </si>
  <si>
    <t>SBG-5987i09</t>
  </si>
  <si>
    <t>AAH0090610
AAH0090611
AAH0090612</t>
  </si>
  <si>
    <t>9QR0782</t>
  </si>
  <si>
    <t>6016i09</t>
  </si>
  <si>
    <r>
      <t xml:space="preserve">30/10 - Solicitada </t>
    </r>
    <r>
      <rPr>
        <sz val="10"/>
        <color indexed="10"/>
        <rFont val="Arial"/>
        <family val="2"/>
      </rPr>
      <t>emissão de LI</t>
    </r>
    <r>
      <rPr>
        <sz val="10"/>
        <rFont val="Arial"/>
        <family val="2"/>
      </rPr>
      <t>. Ag. Deferimento. 
05/11 - Navio atracou as 07h00.
06/11 - Li deferida. Presença de carga OK.
09/11 - Despachante apontou NCM errada em 3 itens.
11/11 - NCMs corrigidas. Draft reenviado. Di registrada. Canal amarelo.
13/11 - Distribuído para o fiscal Renato.  Desembaraçada.
16/11 - Inspeção de madeira hoje a tarde.</t>
    </r>
  </si>
  <si>
    <t>ABG-5757i09</t>
  </si>
  <si>
    <t>AAH0090248</t>
  </si>
  <si>
    <t>17/10 - Navio atracado.
19/10 - Trazer dia 26/10 para a fábrica.DI registrada. Em análise fiscal.
20/10 - Inspeção de mandeira agendada para hoje. Canal verde.
21/10 - Terminal não posicionou o container. Inspeção de madeira agendada para hoje.
22/10 - Compradora informou que carga deve ser entregue terça-feira, 27/10. Despachante avisado.
23/10 - Transportadora informou que não há janela para carregamento na manhã de 27/10. Compradora informou que deve ser carregado em 28/10 e entregue em 29/10.</t>
  </si>
  <si>
    <r>
      <t xml:space="preserve">25/05 - Navio previsto p/ 26/05.
26/05 - Ag. Confirmação de chegada do navio esperado p/ hoje.
01/06 - DTA Emitida - Ag.parametrização.
03/06 - Remoçao sendo feita em 04/06.
05/06 - Presença de carga OK.  Ag. Autorização para registro de DI.
</t>
    </r>
    <r>
      <rPr>
        <b/>
        <sz val="10"/>
        <color indexed="10"/>
        <rFont val="Arial"/>
        <family val="2"/>
      </rPr>
      <t xml:space="preserve">15/09 - Carga irá para perdimento em 02/10/2009. Compradora avisada.
16/09 - Carga deverá ser nacionalizada 1 semana antes do vencimento. despachante avisado.
</t>
    </r>
    <r>
      <rPr>
        <sz val="10"/>
        <rFont val="Arial"/>
        <family val="2"/>
      </rPr>
      <t>28/09 - Di registrada. Ag. parametrização. Canal verde.
01/10 - Carga deve ser entregue na Foxconn em 02/10.</t>
    </r>
  </si>
  <si>
    <t>A-3384i09</t>
  </si>
  <si>
    <t>Ajoho Precision</t>
  </si>
  <si>
    <t>SBG-5793i09</t>
  </si>
  <si>
    <t>AAH0090241</t>
  </si>
  <si>
    <t>SBG-5795i09</t>
  </si>
  <si>
    <t>07/07 - Recebidas invoices.
09/07 - Enviados docs originais a SSZ.
13/07 - Enviadas refs. Processo era entreposto. Compradora informou que houve aumento de demanda e será desembaraçado em SSZ. Despachante avisado. ETA SSZ 18/07.
20/07 - Navio atracou em 18/07. Ag. Descarga e desova.
22/07 - DI registrada.
23/07 - Canal verde.</t>
  </si>
  <si>
    <r>
      <t>Carga com seguro.  Fotografar o material assim que chegar na fábrica.</t>
    </r>
    <r>
      <rPr>
        <sz val="10"/>
        <rFont val="Arial"/>
        <family val="2"/>
      </rPr>
      <t xml:space="preserve">
14/12 - Recebida informação do embarque.
15/12 - Compradora autorizou.
17/12 - Enviada ref. Ao despachante.</t>
    </r>
    <r>
      <rPr>
        <b/>
        <sz val="10"/>
        <rFont val="Arial"/>
        <family val="2"/>
      </rPr>
      <t xml:space="preserve"> ETA SSZ 21/01/2010.</t>
    </r>
    <r>
      <rPr>
        <sz val="10"/>
        <rFont val="Arial"/>
        <family val="2"/>
      </rPr>
      <t xml:space="preserve"> Ag. Cópia de BL.
18/12 - Recebida cópia do BL. Despachante em cópia.
04/01 - Cobrei PO lines de compras. Recebida PO lines.
05/01 - Enviado a Vanessa (Original).
11/01 - Dctos originais disponíveis em Santos. Despachante avisado.
12/01 - Dctos originais com o despachante.
15/01 - Processo enviado a seguradora.
21/01 - Navio esperado para as 09h00. Navio atracou as 09h30.
22/01 - Aguardando entrada do container no terminal.
25/01 - Seguradora liberou para desembaraço. Presença de carga OK. Sistema da Original está fora do ar.
26/01 - DI registrada. Em análise fiscal.
27/01 - Canal verde.
</t>
    </r>
    <r>
      <rPr>
        <b/>
        <sz val="10"/>
        <rFont val="Arial"/>
        <family val="2"/>
      </rPr>
      <t>28/01 - Armazenagem na Deicmar vence em 06/02.</t>
    </r>
  </si>
  <si>
    <t>699i10</t>
  </si>
  <si>
    <t>700i10</t>
  </si>
  <si>
    <t>PG817211</t>
  </si>
  <si>
    <r>
      <t xml:space="preserve">03/02 - Recebido dctos da compradora. Enviado processo ao despachante. Solicitada </t>
    </r>
    <r>
      <rPr>
        <sz val="10"/>
        <color indexed="10"/>
        <rFont val="Arial"/>
        <family val="2"/>
      </rPr>
      <t xml:space="preserve">emissão de LI </t>
    </r>
    <r>
      <rPr>
        <sz val="10"/>
        <rFont val="Arial"/>
        <family val="2"/>
      </rPr>
      <t xml:space="preserve">(final do dia). </t>
    </r>
    <r>
      <rPr>
        <b/>
        <sz val="10"/>
        <rFont val="Arial"/>
        <family val="2"/>
      </rPr>
      <t xml:space="preserve">ETA SSZ 04/02.
</t>
    </r>
    <r>
      <rPr>
        <sz val="10"/>
        <rFont val="Arial"/>
        <family val="2"/>
      </rPr>
      <t>04/02 - LI emitida. Navio atracou as 08h00. Despachante informou que a NCM 7318.15.00 não está no BL. Solicitada inclusão. Compradora avisada.
05/02 - Container no terminal.
09/02 - CE mercante já está OK. Pedi a compradora ajuda na origem para autorização de re-emissão do BL em Santos.
11/02 - LI deferida. Cobrei re-emissão do BL correto. DI registrada. Canal amarelo.
12/02 - BL retirado na Maersk. Daremos entrada no despacho na quarta, 17/02 na RF.
18/02 - Fiscal Paulo Guimarães.
19/02 - Desembaraçada.
23/02 - Warehouse informou que há falta e sobra de materiais. Solicitada retificação de DI.
24/02 - Solicitada NFe complementar.
25/02 - Enviada NFe ao warehouse. Processo complementar S-1306i10.
26/02 - Solicitada cópia do livro 6 ao dpto.fiscal.
03/03 - Recebida cópia do livro 6. Enviado via malote ao despachante.
04/03 - Recebido protocolo de retificação.</t>
    </r>
  </si>
  <si>
    <t>NE-1502i10</t>
  </si>
  <si>
    <t>08/01 - Recebida informação do embarque. ETA VCP 10/01.
11/01 - Processo com o despachante. Não há informação da carga no mantra. Questionei agente de cargas. Houve atraso na conexão. Novo ETA para hoje as 17h55.
12/01 - Carga chegou em 11/01 as 18h45. Di registrada. Canal verde.</t>
  </si>
  <si>
    <t>184i10</t>
  </si>
  <si>
    <t>DMCQHKG2167301</t>
  </si>
  <si>
    <t>20/01 - Recebida informação do embarque. Compradora autorizou.
21/01 - Enviada ref. Processo com o despachante.
22/01 - MAWB 549-20806645. ETA: 22/01 aprox. 22:00hs.
25/01 - Carga chegou em 22/01 as 22h10. DI registrada. Canal verde.</t>
  </si>
  <si>
    <t>23/12 - Recebida informação do embarque. Compradora autorizou.
28/12 - Processo com o despachante.MAWB 404-22218560. Carga chegou hoje as 06h45.
29/12 - DI registrada. Canal verde.</t>
  </si>
  <si>
    <t>6896i09</t>
  </si>
  <si>
    <t>PG807013</t>
  </si>
  <si>
    <t>STS91203044</t>
  </si>
  <si>
    <t>A-VMI-2692i09</t>
  </si>
  <si>
    <t>3083I09</t>
  </si>
  <si>
    <t>CNV-970019</t>
  </si>
  <si>
    <t>MSSTS97L091038</t>
  </si>
  <si>
    <t>4600018807
4600018794
4600018684</t>
  </si>
  <si>
    <t>5001333371
5001333374
5001333236</t>
  </si>
  <si>
    <t>SZHF48758</t>
  </si>
  <si>
    <r>
      <t>24/02 - Recebido dctos da compradora depois do horário.
01/03 - Processo enviado ao despachante.</t>
    </r>
    <r>
      <rPr>
        <b/>
        <sz val="10"/>
        <rFont val="Arial"/>
        <family val="2"/>
      </rPr>
      <t xml:space="preserve"> </t>
    </r>
    <r>
      <rPr>
        <sz val="10"/>
        <rFont val="Arial"/>
        <family val="2"/>
      </rPr>
      <t>Solicitada</t>
    </r>
    <r>
      <rPr>
        <sz val="10"/>
        <color indexed="10"/>
        <rFont val="Arial"/>
        <family val="2"/>
      </rPr>
      <t xml:space="preserve"> emissão de LI.</t>
    </r>
    <r>
      <rPr>
        <b/>
        <sz val="10"/>
        <rFont val="Arial"/>
        <family val="2"/>
      </rPr>
      <t xml:space="preserve"> ETA SSZ 04/03.
</t>
    </r>
    <r>
      <rPr>
        <sz val="10"/>
        <rFont val="Arial"/>
        <family val="2"/>
      </rPr>
      <t>04/03 - Navio atracou hoje às 07:50h e está operando.
09/03 - DI registrada. Canal amarelo.
10/03 - Fiscal Renato. Desembaraçada. Inspeção de madeira em 11/03.</t>
    </r>
  </si>
  <si>
    <t>10/06 - Recebi invoices no fim da tarde.
12/06 - Inf. Ref. Navio previsto p/ chegar dia 21/06 em Santos.
23/06 - Ag. Parametrização da DTA.
25/06 - Remoção será feita hoje.
26/06 - Ag. Presença de carga.
20/07 - Compradora solicitou registro de DI. DI registrada. Ag. parametrização.
21/07 - Canal verde.</t>
  </si>
  <si>
    <t>E-44P09</t>
  </si>
  <si>
    <t>SZHF48336</t>
  </si>
  <si>
    <t>E-45P09</t>
  </si>
  <si>
    <t>SZHF48331</t>
  </si>
  <si>
    <t>E-46P09</t>
  </si>
  <si>
    <t xml:space="preserve">27/08 - Recebida informação do embarque. ETA VCP 28/08.
28/08 - Enviada processo ao despachante. Ag. Confirmação de chegada.
31/08 - Carga chegou em 28/08 as 19h15.
01/09 - Di registrada. Canal verde. </t>
  </si>
  <si>
    <r>
      <t>31/08 - Processo com o despachante. Invoice e PL originais enviados no malote.</t>
    </r>
    <r>
      <rPr>
        <b/>
        <sz val="10"/>
        <rFont val="Arial"/>
        <family val="2"/>
      </rPr>
      <t xml:space="preserve"> ETA SSZ 09/09.
</t>
    </r>
    <r>
      <rPr>
        <sz val="10"/>
        <rFont val="Arial"/>
        <family val="2"/>
      </rPr>
      <t>09/09 - Navio atracado. Ag. Entrada do container no terminal.
11/09 - DI registrada. Ag. Parametrização.
14/09 - Canal verde. Carga pode ser entregue em 16/09.</t>
    </r>
  </si>
  <si>
    <t>S-VMI-4172i09</t>
  </si>
  <si>
    <t>MOLU543165873</t>
  </si>
  <si>
    <t>6339-0442-908-015</t>
  </si>
  <si>
    <t>CSAV Romeral</t>
  </si>
  <si>
    <t>17/10 - Navio atracado.
19/10 - Di registrada. Canal vermelho.
21/10 - Fiscal Álvaro.
22/10 - Exame documental concluído, aguardando distribuição para conferência física.
23/10 - Processo distribuído para o Fiscal Valença – ag. agendamento pra conferencia física. Desembaraçada. Inspeção de madeira hoje a tarde.</t>
  </si>
  <si>
    <t>5152i09</t>
  </si>
  <si>
    <t>P767407</t>
  </si>
  <si>
    <t>DGG030802</t>
  </si>
  <si>
    <t>5153i09</t>
  </si>
  <si>
    <t>P768215</t>
  </si>
  <si>
    <t>DGG031138</t>
  </si>
  <si>
    <t>5154i09</t>
  </si>
  <si>
    <t>P768216</t>
  </si>
  <si>
    <t>DGG031141</t>
  </si>
  <si>
    <t>ABG-5157i09</t>
  </si>
  <si>
    <t>AAH0089221</t>
  </si>
  <si>
    <t>867660755915</t>
  </si>
  <si>
    <t>SZHF49188</t>
  </si>
  <si>
    <t>4320i09</t>
  </si>
  <si>
    <t>16/04 - Recebida invoice da compradora.
20/04 - Enviada ref. Ao despachante. Ag. Atracação, prevista para 21/04.
24/04 - Navio atrasou. Ag. Atracação prevista para hoje.
25/04 - AG. DESCARGA PRA PROV. DTA.
27/04 - LI deferida.
04/05 - Remoção prevista para hoje.
06/05 - DA registrada. Ag. parametrização.
**carga avariada. Enviado ao Leonardo**
07/05 - Canal amarelo. Ag. recepção e documentos e distribuição. Desembaraçada – AG. CD
08/05 - CD 02581-09.
24/07 - Solicitada prorrogação de LI.</t>
  </si>
  <si>
    <r>
      <t>Carga com seguro.</t>
    </r>
    <r>
      <rPr>
        <sz val="10"/>
        <rFont val="Arial"/>
        <family val="2"/>
      </rPr>
      <t xml:space="preserve">
11/02 - Recebida informação do embarque. Compradora autorizou. Recebida invoices com condição de pgto correta (75 dias).
12/02 - Recebido booking. </t>
    </r>
    <r>
      <rPr>
        <b/>
        <sz val="10"/>
        <rFont val="Arial"/>
        <family val="2"/>
      </rPr>
      <t>ETA SSZ 18/03.</t>
    </r>
    <r>
      <rPr>
        <sz val="10"/>
        <rFont val="Arial"/>
        <family val="2"/>
      </rPr>
      <t xml:space="preserve">
19/02 - Processo enviado ao despachante. Enviadas invoices corretas ao despachante.
22/02 - Compradora informou que pode ser emitido apenas 1 BL para todas as invoices (S-1234i10). Ag. retorno da Maxfreight.
23/02 - As invoices do BL MAKS-1002245 pertece agora a esse processo. O S-1234i10 deixou de existir. </t>
    </r>
    <r>
      <rPr>
        <b/>
        <sz val="10"/>
        <rFont val="Arial"/>
        <family val="2"/>
      </rPr>
      <t xml:space="preserve">Necessidade Foxconn 25/03.
</t>
    </r>
    <r>
      <rPr>
        <sz val="10"/>
        <rFont val="Arial"/>
        <family val="2"/>
      </rPr>
      <t>17/03 - Dctos originais disponíveis amanhã em Santos. Despachante avisado. Seguradora informada sobre o processo.
18/03 - Despachante informou que a NCM 8414.59.10 está faltando no BL. Compras ciente. Ag. retorno.Navio atracado as 10h40.
22/03 - Cobrei compras. Ag. retorno do Storillo.
23/03 - Storillo alterou para a NCM antiga, portanto não será necessário correção do mercante. Despachante ciente.
24/03 - Ag. entrada do container no terminal.
26/03 - Ag. entrada do container no terminal.
06/04 - Container no terminal. Processo vistoriado e liberado para desembaraço.
07/04 - DI registrada. Canal verde. Inspeção de madeira 08/04 a tarde.
10/04 - Veículo descarregado.</t>
    </r>
  </si>
  <si>
    <r>
      <t>15/01 - Recebido dctos da compradora. Processo enviado ao despachante.</t>
    </r>
    <r>
      <rPr>
        <b/>
        <sz val="10"/>
        <rFont val="Arial"/>
        <family val="2"/>
      </rPr>
      <t xml:space="preserve"> ETA SSZ 21/01.
</t>
    </r>
    <r>
      <rPr>
        <sz val="10"/>
        <rFont val="Arial"/>
        <family val="2"/>
      </rPr>
      <t xml:space="preserve">21/01 - Navio esperado para as 09h00. Navio atracou as 09h30.
22/01 - Aguardando entrada do container no terminal.
25/01 - Presença de carga OK. Sistema da Original fora do ar para registro de DI.
26/01 - DI registrada. Canal verde.
27/01 - Inspeção de madeira amanhã a tarde. </t>
    </r>
    <r>
      <rPr>
        <b/>
        <sz val="10"/>
        <rFont val="Arial"/>
        <family val="2"/>
      </rPr>
      <t>Compradora informou que pode ser entregue na fábrica em 01/02.</t>
    </r>
  </si>
  <si>
    <t>4600022760
4600022431
4600022432</t>
  </si>
  <si>
    <t>5001487162
5001487151</t>
  </si>
  <si>
    <t>E-23P09</t>
  </si>
  <si>
    <t>E-3P09</t>
  </si>
  <si>
    <t>E-24P09</t>
  </si>
  <si>
    <t>SZ1499637</t>
  </si>
  <si>
    <t>10/08 - Compradora solicitou registro de DI. Draft enviado. DI registrada.
11/08 - Canal verde.</t>
  </si>
  <si>
    <t>26/08 - Recebido docs. Draft enviado. DI registrada. Canal vermelha.
27/08 - NF enviada via motoboy.
28/08 -  Desembaraçado.</t>
  </si>
  <si>
    <t>01/09 - Recebido docs. Conforme call com a HP os pesos brutos estão errados. Ag. corretos para providenciar o draft. 18h55. Recebido peso do pallet. Processo enviado ao despachante.
02/09 - Draft enviado as 10h20. DI registrada. Ag. Parametrização. GARE enviada ao financeiro para pgto.Solicitada emissão de NF. 16h50 enviado comprovante da GARE. Canal verde.</t>
  </si>
  <si>
    <t>A-3886i09</t>
  </si>
  <si>
    <t>4600019596
4600019597</t>
  </si>
  <si>
    <t>4300281911
1101496444
1101496445</t>
  </si>
  <si>
    <t>3891i09</t>
  </si>
  <si>
    <t>PG764878</t>
  </si>
  <si>
    <t>96738R0/6</t>
  </si>
  <si>
    <t>A-3892i09</t>
  </si>
  <si>
    <t>A-3893i09</t>
  </si>
  <si>
    <t>Ajoho</t>
  </si>
  <si>
    <r>
      <t xml:space="preserve">16/10 - Solicitada </t>
    </r>
    <r>
      <rPr>
        <sz val="10"/>
        <color indexed="10"/>
        <rFont val="Arial"/>
        <family val="2"/>
      </rPr>
      <t>emissão de LI.</t>
    </r>
    <r>
      <rPr>
        <sz val="10"/>
        <rFont val="Arial"/>
        <family val="2"/>
      </rPr>
      <t xml:space="preserve">
19/10 - </t>
    </r>
    <r>
      <rPr>
        <b/>
        <sz val="10"/>
        <rFont val="Arial"/>
        <family val="2"/>
      </rPr>
      <t>ETA SSZ 22/10.</t>
    </r>
    <r>
      <rPr>
        <sz val="10"/>
        <rFont val="Arial"/>
        <family val="2"/>
      </rPr>
      <t xml:space="preserve">
21/10 - LI deferida.
22/10 - Navio atracado.
23/10 - Desistência de avaria.
</t>
    </r>
    <r>
      <rPr>
        <b/>
        <sz val="10"/>
        <rFont val="Arial"/>
        <family val="2"/>
      </rPr>
      <t xml:space="preserve">27/10 - Assim que desembaraçar deve subir para fábrica. </t>
    </r>
    <r>
      <rPr>
        <sz val="10"/>
        <rFont val="Arial"/>
        <family val="2"/>
      </rPr>
      <t>A NCM 7318.15.00 não consta no BL. Solicitada inclusão. Compradora ciente.
28/10 - Maersk entrou com pedido de correção.Ag. deferimento fiscal. O BL está OK. DI registrada. Canal amarelo.
30/10 - Fiscal Potiguara.
03/11 - Desembaraçada.
05/11 - Inspeção de madeira agendada para hoje.</t>
    </r>
  </si>
  <si>
    <t>10/06 - Andressa autorizou embarque. Inf. Ref.
29/06 - Recebi BL. Previsto p/ chegar em Santos dia 09/07.
08/07 - Navio atracado.
13/07 - Di registrada. Canal verde.
16/07 - Madeira condenada. Enviado laudo a Santos.</t>
  </si>
  <si>
    <t>17/09 - Recebido docs.
18/09 - NCM errada no sistema. Ag. Correção. Draft enviado. Di registrada. Canal verde.</t>
  </si>
  <si>
    <r>
      <t xml:space="preserve">24/11 - Recebido dctos da compradora. </t>
    </r>
    <r>
      <rPr>
        <b/>
        <sz val="10"/>
        <rFont val="Arial"/>
        <family val="2"/>
      </rPr>
      <t>ETA SSZ 26/11.</t>
    </r>
    <r>
      <rPr>
        <sz val="10"/>
        <rFont val="Arial"/>
        <family val="2"/>
      </rPr>
      <t xml:space="preserve">
26/11 - Processo com o despachante. Navio atracado as 08h45.
03/12 - Caminhão a caminho do Eadi.
04/12 - Presença de carga OK. DA registrada. Canal verde. CD 06842-09.</t>
    </r>
  </si>
  <si>
    <r>
      <t xml:space="preserve">27/11 - Recebido dctos.
01/12 - Processo enviado ao despachante. Solicitada </t>
    </r>
    <r>
      <rPr>
        <sz val="10"/>
        <color indexed="10"/>
        <rFont val="Arial"/>
        <family val="2"/>
      </rPr>
      <t>emissão de LI</t>
    </r>
    <r>
      <rPr>
        <sz val="10"/>
        <rFont val="Arial"/>
        <family val="2"/>
      </rPr>
      <t>. ETA SSZ 03/12.
02/12 - Navio atracado no final da tarde.
03/12 - Li emitida.
04/12 - Presença de carga OK.
09/12 - LI deferida. DI registrada. Canal amarelo.
11/12 - Distribuído para o fiscal Adil.
14/12 - Fiscal fez a seguinte exigência: PARA TER DIREITO A AQUISICAO COM SUSPENSAO DO IPI APRESENTAR O REGISTRO PREVIO DE QUE TRATA O ART. 15 E 16 (ATO DECLARATORIO) DA IN RFG NR. 948/2009. Ag. retorno do dpto. fiscal. Dpto. fiscal enviou dctos ao despachante.
15/12 - Cumprindo hoje a exigência.
16/12 - Desembaraçada. Inspeção de madeira amanhã a tarde.
18/12 -  Documentação no registro, veículo aguardando chamada para carregamento.</t>
    </r>
  </si>
  <si>
    <t>34i10</t>
  </si>
  <si>
    <t>46954
46985</t>
  </si>
  <si>
    <t>3391I09</t>
  </si>
  <si>
    <r>
      <t>16/10 - Recebida cópia de BL.
17/11 - Processo enviado ao despachante.</t>
    </r>
    <r>
      <rPr>
        <b/>
        <sz val="10"/>
        <rFont val="Arial"/>
        <family val="2"/>
      </rPr>
      <t xml:space="preserve"> ETA SSZ 03/12.
</t>
    </r>
    <r>
      <rPr>
        <sz val="10"/>
        <rFont val="Arial"/>
        <family val="2"/>
      </rPr>
      <t>02/12 - Navio atracado no final da tarde.
04/12 - Ag. Desconsolidação. Desconsolidado.
07/12 - Presença de carga OK. BL original enviado no malote. DI registrada. Canal verde.
08/12 - Recebimento foi avisado sobre o free time que está acabando. Solicitei prioridade no descarregamento.
10/12 - Documentação no registro veículo aguardando chamada para carregamento.</t>
    </r>
  </si>
  <si>
    <t>6233i09</t>
  </si>
  <si>
    <t>AH9Y12M017</t>
  </si>
  <si>
    <t>6214i09</t>
  </si>
  <si>
    <t>PG800098-1</t>
  </si>
  <si>
    <t>09/11 - Enviado processo ao despachante. Di registrada. Canal amarelo.
11/11 - Fiscal Renato. Desembaraçada.</t>
  </si>
  <si>
    <r>
      <t xml:space="preserve">16/11 - Recebida informação do embarque. Comprador autorizou.
17/11 - Enviada ref. Processo com o despachante.
19/11 - Embarque previsto sair de Shangai no voo de segunda-feira com a Lufthansa e sob Master 020-69625636. Ag. Cópia de HAWB.
22/11 - MAWB: 020-69625636 
HAWB: 4394760039 
ETA em VCP: 23/11  aprox. às 23:00hs.
24/11 - Carga chegou hoje as 04h30. Ag. etapas do mantra para registro de DI. </t>
    </r>
    <r>
      <rPr>
        <sz val="9"/>
        <color indexed="10"/>
        <rFont val="Arial"/>
        <family val="2"/>
      </rPr>
      <t xml:space="preserve"> PASTA ENVIADA AO PAULO.</t>
    </r>
  </si>
  <si>
    <r>
      <t xml:space="preserve">16/11- Autorizado.
19/11 - Embarque sendo removido no final de semana para Amsterdam. Ag. Cópia de HAWB.
24/11 - </t>
    </r>
    <r>
      <rPr>
        <sz val="9"/>
        <color indexed="10"/>
        <rFont val="Arial"/>
        <family val="2"/>
      </rPr>
      <t>PASTA ENVIADA AO PAULO.</t>
    </r>
  </si>
  <si>
    <r>
      <t xml:space="preserve">16/11 - Recebida informação do embarque. Comprador autorizou.
17/11 - Enviada ref. Processo com o despachante.
19/11 - Embarque sendo removido no final de semana para Amsterdam. Ag. Cópia de HAWB.
24/11 - </t>
    </r>
    <r>
      <rPr>
        <sz val="9"/>
        <color indexed="10"/>
        <rFont val="Arial"/>
        <family val="2"/>
      </rPr>
      <t>PASTA ENVIADA AO PAULO.</t>
    </r>
  </si>
  <si>
    <r>
      <t>16/11 - Recebida informação do embarque. Comprador autorizou.
17/11 - Enviada ref. Processo com o despachante.
19/11 - Embarque sendo removido no final de semana para Amsterdam. Ag. Cópia de HAWB.
24/11 -</t>
    </r>
    <r>
      <rPr>
        <sz val="9"/>
        <color indexed="10"/>
        <rFont val="Arial"/>
        <family val="2"/>
      </rPr>
      <t xml:space="preserve"> PASTA ENVIADA AO PAULO.</t>
    </r>
  </si>
  <si>
    <r>
      <t xml:space="preserve">16/11 - Recebida informação do embarque. Comprador autorizou trânsito até o hub da Expeditors para aguardar deferimento de LI.
17/11 - Enviada ref. Processo com o despachante. Solicitada </t>
    </r>
    <r>
      <rPr>
        <sz val="9"/>
        <color indexed="10"/>
        <rFont val="Arial"/>
        <family val="2"/>
      </rPr>
      <t xml:space="preserve">emissão de LI </t>
    </r>
    <r>
      <rPr>
        <sz val="9"/>
        <rFont val="Arial"/>
        <family val="2"/>
      </rPr>
      <t xml:space="preserve">(parafuso).
24/11 - </t>
    </r>
    <r>
      <rPr>
        <sz val="9"/>
        <color indexed="10"/>
        <rFont val="Arial"/>
        <family val="2"/>
      </rPr>
      <t>PASTA ENVIADA AO PAULO.</t>
    </r>
  </si>
  <si>
    <r>
      <t xml:space="preserve">Black Gold já com diferimento de ICMS.
</t>
    </r>
    <r>
      <rPr>
        <sz val="9"/>
        <rFont val="Arial"/>
        <family val="2"/>
      </rPr>
      <t>12/11 - Recebido dctos.
16/11 - Processo enviado ao despachante. Draft OK. Di registrada. Em análise fiscal.
17/11 - Canal verde. Solicitada emissão de Nfe.</t>
    </r>
  </si>
  <si>
    <r>
      <t>Vôo Flash.</t>
    </r>
    <r>
      <rPr>
        <sz val="10"/>
        <rFont val="Arial"/>
        <family val="2"/>
      </rPr>
      <t xml:space="preserve">
14/01 - Compradora enviou dctos a Expeditors solicitando coleta e vôo flash.
15/01 - MAWB 020-5785583D. ETA: 16/01 aprox. 16:00hs. Processo enviado ao despachante. 
18/01 - Carga chegou em 16/01 as 11h30. DI registrada. Canal verde.</t>
    </r>
  </si>
  <si>
    <t>ETA SSZ 25/05
25/05 - Ag. atracação do navio.
26/06 - Navio atracado. Ag. Presença.
27/05 - Ag. Presença.
28/05 - DI registrada. 
29/05 - Canal amarelo.
01/06 - Ag. Distribuição. Distribuido (Fiscal: Mª Antonieta). 
02/06 - Conferência prevista p/ hj. Inspeção de madeira amanhã .
03/06 - DI desembaraçada, inspeção de madeira agendada para amanha 04/06.
04/06 - Inspeção de madeira às 15:30hs.
05/06 - Entregue.</t>
  </si>
  <si>
    <t>DMCQHKG2118192</t>
  </si>
  <si>
    <t>07/07 - Recebida invoice.
09/07 - Enviados originais a SSZ.
13/07 - Enviada ref.  ETA SSZ 18/07.
20/07 - Navio atracou em 18/07. Ag. Descarga e desova.
21/07 - Presença de carga OK.  DI registrada. Em análise fiscal.
22/07 - Canal verde.</t>
  </si>
  <si>
    <r>
      <t xml:space="preserve">30/11 - Recebida cópia de invoice da compradora. Solicitado BL.
11/12 - Recebida cópia de BL do agente.
15/12 - Processo enviado ao despachante. Solicitada inclusão de NCMs no BL. DAMCO já confirmou que irá incluir. Ag. Navio de transbordo e ETA SSZ.
16/12 - Recebida cópia de BL com as NCMs corretas. Solicitada </t>
    </r>
    <r>
      <rPr>
        <sz val="10"/>
        <color indexed="10"/>
        <rFont val="Arial"/>
        <family val="2"/>
      </rPr>
      <t>emissão de LI</t>
    </r>
    <r>
      <rPr>
        <sz val="10"/>
        <rFont val="Arial"/>
        <family val="2"/>
      </rPr>
      <t>.
17/12 - BL original enviado via DHL. 3303848004.
ETA SSZ 07/01/2010
18/12 - Enviada cópia de BL correto ao despachante.
22/12 -  BL original enviado no malote.
07/01 - Navio previsto para as 21h00.
08/01 - Navio atracou a 00h40. Em operação (08h40).
11/01 - Desistência da avaria. DI registrada. Canal amarelo.
12/01 - Fiscal Nilva.
13/01 - Desembaraçada. Inspeção de madeira em 15/01. Compradora informou que pode ser entregue em 16/01.</t>
    </r>
  </si>
  <si>
    <t>21/07- Recebida invoice da compradora.
22/07 - Processo com o despachante. Ag. Registro.
23/07 - DI registrada. Ag. Parametrização. Em análise fiscal.</t>
  </si>
  <si>
    <t>A-VMI-2997i09</t>
  </si>
  <si>
    <t>Kye</t>
  </si>
  <si>
    <t>090617-160_1</t>
  </si>
  <si>
    <t>10/09 - Recebido docs. Comprador autorizou. Enviada ref. Processo com o despachante.
15/09 - Cobrei Expeditors.
17/09 - MAWB: 369-5025 3932. ETA: 17/09 14:00h.
18/09 - Carga chegou em 17/09 as 13h45. Mantra visado em 18/09 as 09h44. Madeira sujeita a inspeção 5F. DI registrada. Em análise fiscal.
21/09 - Canal verde.</t>
  </si>
  <si>
    <t>A-3792i09</t>
  </si>
  <si>
    <t>4600019532
4600017417
4600018587
4600016987</t>
  </si>
  <si>
    <t>SMLSTS1001007</t>
  </si>
  <si>
    <t>655i10</t>
  </si>
  <si>
    <r>
      <t>Desembaraço em SSZ por conta da Foxconn.</t>
    </r>
    <r>
      <rPr>
        <sz val="9"/>
        <rFont val="Arial"/>
        <family val="2"/>
      </rPr>
      <t xml:space="preserve">
23/09 - Recebida informação sobre mais um BL de endosso.
24/09 - Aceite foi dado via sistema.
25/09 - Desistência de vistoria. Ag. Dctos e BL original em Santos. Recebidas invoices.Enviado ao despachante. Despachante recebeu os dctos originais as 18h30.
28/09 - Solicitei PO a compradora. Recebida PO. Despachante informou que precisa da 2ª folha do BL. Solicitei a HP. Recebida 2ª via por e-mail. Enviado ao despachante. Será necessária a via original. Solicitado a HP. HP informou que pode ser a cópia. Despachante avisado.
01/10 - Processo OK para registro. DI registrada. Ag. parametrização. Em análise fiscal.
02/10 - Canal verde. Inspeção de madeira será agendada para 05/10 a tarde.
06/10 - Agendamento para carregamento hoje as 17h00, porém como não pode transitar a noite, o carregamento foi agendado para 07/10 as 07h00 e seguirá viagem a Sorocaba após carregamento.</t>
    </r>
  </si>
  <si>
    <t>4650i09</t>
  </si>
  <si>
    <t>4600019561
4600020060
4600019750</t>
  </si>
  <si>
    <t>5001376345
5001376346
5001376347
5001376349</t>
  </si>
  <si>
    <t>SZHF49400</t>
  </si>
  <si>
    <t>07/01 - Recebida informação do embarque. Enviado ao despachante. MAWB 549-2078 1176. Carga chegou a VCP em 01/01 as 14h40. Compradora informou que o valor da invoice está errado. Ag. Dcto corrigido.
11/01 - Recebida invoice correta. Enviado ao despachante. DI registrada. Canal verde.
12/01 - Solicitada emissão de NFe.</t>
  </si>
  <si>
    <r>
      <t xml:space="preserve">04/11 - Recebida informação do embarque.
05/11 - Comprador autorizou.
09/11 - Enviada ref. Processo com o despachante. </t>
    </r>
    <r>
      <rPr>
        <b/>
        <sz val="10"/>
        <rFont val="Arial"/>
        <family val="2"/>
      </rPr>
      <t xml:space="preserve">ETA SSZ 06/12.
</t>
    </r>
    <r>
      <rPr>
        <sz val="10"/>
        <rFont val="Arial"/>
        <family val="2"/>
      </rPr>
      <t xml:space="preserve">13/11 - Favor notar que esse navio atrasou e a saída prevista é dia 15/11. Expeditors informou que o </t>
    </r>
    <r>
      <rPr>
        <b/>
        <sz val="10"/>
        <rFont val="Arial"/>
        <family val="2"/>
      </rPr>
      <t xml:space="preserve">ETA SSZ é 09/12.
</t>
    </r>
    <r>
      <rPr>
        <sz val="10"/>
        <rFont val="Arial"/>
        <family val="2"/>
      </rPr>
      <t>19/11 - Recebida cópia de BL e PL revisado. Despachante em cópia.
07/12 - Dctos originais enviados no malote.
08/12 - Navio previsto para hoje as 20h00. Navio atracou as 21h00.
09/12 - Ag. desconsolidação.
10/12 - Ag. inspeção do M.A. para desova.
11/12 - Carga desovada, sem avarias. Di registrada. Ag. parametrização. Canal verde.
15/12 - Documentação no registro veículo aguardando chamada para carregamento.</t>
    </r>
  </si>
  <si>
    <t>15/09 - Recebido docs. Enviado processo ao despachante. Ag. ETA SSZ.
ETA SSZ 20/09.
21/09 - Navio atrasou para hoje. Ag. Atracação. Navio atracado.
22/09 - Ag. Autorização da RF para desova.
23/09 - Inspeção será feita agora na parte da manhã.
24/11 - Di registrada. Canal vermelho.
25/09 - Entrada na RF para desembaraço.
28/09 - Fiscal Alvaro.
29/09 - Enviada para conferência física, prevista para amanhã.
30/09 - Di distribuída hoje para o fiscal Eduardo, conferencia  física sendo realizada agora na parte da manhã. Desembaraçada.
01/10 - Caminhão no terminal ag. chamada para carregamento.</t>
  </si>
  <si>
    <t>4600020911
4600020912</t>
  </si>
  <si>
    <r>
      <t>07/01 - Recebida informação do embarque.
12/01 - Comprador autorizou.
13/01 - Enviada ref. Processo com o despachante. Ag. ETA SSZ.
15/01 - ETA 24/01 -</t>
    </r>
    <r>
      <rPr>
        <b/>
        <sz val="10"/>
        <rFont val="Arial"/>
        <family val="2"/>
      </rPr>
      <t xml:space="preserve"> ETA SSZ 28/02.</t>
    </r>
    <r>
      <rPr>
        <sz val="10"/>
        <rFont val="Arial"/>
        <family val="2"/>
      </rPr>
      <t xml:space="preserve"> Ag. Nome do navio.
01/02 - Recebida cópia do BL. Despachante em cópia.
10/02 - Expeditors informou </t>
    </r>
    <r>
      <rPr>
        <b/>
        <sz val="10"/>
        <rFont val="Arial"/>
        <family val="2"/>
      </rPr>
      <t xml:space="preserve">ETA para 23/02.
</t>
    </r>
    <r>
      <rPr>
        <sz val="10"/>
        <rFont val="Arial"/>
        <family val="2"/>
      </rPr>
      <t xml:space="preserve">17/02 - Invoice original enviada no malote.
24/02 - Navio atracado.
26/02 - Ag. entrada do container no terminal.
01/03 - Ag. desconsolidação. Solicitado BL original ao comprador.
04/03 - Di registrada. Aguardando parametrização.
05/03 - Canal verde.
</t>
    </r>
    <r>
      <rPr>
        <b/>
        <sz val="10"/>
        <rFont val="Arial"/>
        <family val="2"/>
      </rPr>
      <t>08/03 - Carga deverá ser entregue em 12/03.</t>
    </r>
  </si>
  <si>
    <r>
      <t>URGENTE!! Vôo flash.</t>
    </r>
    <r>
      <rPr>
        <sz val="9"/>
        <rFont val="Arial"/>
        <family val="2"/>
      </rPr>
      <t xml:space="preserve">
13/08 - Compradora autorizou embarque flash.
14/08 - ETA VCP 20/08 as 08h00. Ag. Cópia de docs.
17/08 - Vôo de 18/08 foi cancelado. Carga sairá do warehouse hoje. Ag. Confirmação.
18/08 - MAWB 020-4516 5665
ETD HKG 19/08
ETA VCP 20/08 05:30 h.
20/08 - Carga chegou as 05h45. DI registrada. Ag. parametrização. Canal verde.</t>
    </r>
  </si>
  <si>
    <t>S-VMI-3621i09</t>
  </si>
  <si>
    <t>AAH0086458
AAH0086460</t>
  </si>
  <si>
    <t>S-VMI-3622i09</t>
  </si>
  <si>
    <t>AAH0086459</t>
  </si>
  <si>
    <t>19/08 - Recebido docs. Enviado draft. DI registrada. Canal amarelo.
20/08 - Desembaraçada.</t>
  </si>
  <si>
    <t>14/08 - Recebido docs. Draft enviado.
17/08 - DI registrada. Ag. Parametrização.
18/08 - Canal amarelo. Desembaraçado.</t>
  </si>
  <si>
    <r>
      <t>Carga com seguro.  Fotografar o material assim que chegar na fábrica.</t>
    </r>
    <r>
      <rPr>
        <sz val="10"/>
        <rFont val="Arial"/>
        <family val="2"/>
      </rPr>
      <t xml:space="preserve">
14/12 - Recebida informação do embarque.
15/12 - Compradora autorizou.
17/12 - Enviada ref. Ao despachante. ETA SSZ 21/01/2010. Ag. Cópia de BL.
18/12 - Recebida cópia do BL. Despachante em cópia.
04/01 - Cobrei PO lines de compras.Recebida PO lines.
05/01 - Enviado a Vanessa (Original).
11/01 - Dctos originais disponíveis em Santos. Despachante avisado.
12/01 - Dctos originais com o despachante.
15/01 - Processo enviado a seguradora.
21/01 - Navio esperado para as 09h00. Navio atracou as 09h30.
22/01 - Aguardando entrada do container no terminal.
25/01 - Seguradora liberou para desembaraço. Presença de carga OK.
26/01 - Container deve ser priorizado para entrega na fábrica. DI registrada. Canal verde.</t>
    </r>
  </si>
  <si>
    <t>18/11 - Comprador informou sobre a puxada.
19/11 - Processo com o despachante. Di registrada. Em análise fiscal.
20/11 - Canal verde.</t>
  </si>
  <si>
    <r>
      <t>16/09 - Recebido BL do agente.
28/09 - Recebida invoice da compradora.
29/09 - Processo com o despachante.</t>
    </r>
    <r>
      <rPr>
        <b/>
        <sz val="10"/>
        <rFont val="Arial"/>
        <family val="2"/>
      </rPr>
      <t xml:space="preserve"> ETA SSZ 15/10. </t>
    </r>
    <r>
      <rPr>
        <sz val="10"/>
        <rFont val="Arial"/>
        <family val="2"/>
      </rPr>
      <t>Solicitada</t>
    </r>
    <r>
      <rPr>
        <b/>
        <sz val="10"/>
        <rFont val="Arial"/>
        <family val="2"/>
      </rPr>
      <t xml:space="preserve"> </t>
    </r>
    <r>
      <rPr>
        <sz val="10"/>
        <color indexed="10"/>
        <rFont val="Arial"/>
        <family val="2"/>
      </rPr>
      <t xml:space="preserve">emissão de LI.
</t>
    </r>
    <r>
      <rPr>
        <sz val="10"/>
        <rFont val="Arial"/>
        <family val="2"/>
      </rPr>
      <t xml:space="preserve">09/10 - LI deferida.
14/10 - BL original enviado no malote.
17/10 - Navio atracado.
20/10 - Invoice e PL originais enviados no malote.
23/10 - DI registrada. Canal amarelo.
27/10 - Distribuído para o fiscal Miguel, em análise.
28/10 - Desembaraçada. 
</t>
    </r>
    <r>
      <rPr>
        <b/>
        <sz val="10"/>
        <rFont val="Arial"/>
        <family val="2"/>
      </rPr>
      <t>29/10 - Compradora informou que pode ser entregue em 03/11. Despachante avisado.</t>
    </r>
  </si>
  <si>
    <t>23/11 - Recebida informação do embarque. Compradora autorizou.
25/11 - Enviada ref. Processo com o despachante.
26/11 - Embarque previsto chegar em MIA dia 27/11.
30/11 - MAWB 404-22217963. Carga chegou em VCP dia 29/11 as 23h04.
01/12 - Di registrada. Canal verde.</t>
  </si>
  <si>
    <t>E-03P10</t>
  </si>
  <si>
    <t>4600024647
4600024648
4600023902</t>
  </si>
  <si>
    <t>5001564521
5001564533
5001560214
5001560213</t>
  </si>
  <si>
    <t>5001481952
5001481953</t>
  </si>
  <si>
    <t>SZHF51797</t>
  </si>
  <si>
    <t>6842i09</t>
  </si>
  <si>
    <t>4600022524
4600022525
4600022021</t>
  </si>
  <si>
    <t>5001475996
5001475998
5001476006</t>
  </si>
  <si>
    <t>SZHF51711</t>
  </si>
  <si>
    <t>Island Circuits</t>
  </si>
  <si>
    <t>Pio</t>
  </si>
  <si>
    <t>A-VMI-4147i09</t>
  </si>
  <si>
    <r>
      <t xml:space="preserve">08/07 - Compradora autorizou embarque ao agente. Recebida cópia de BL.
09/07 - Solicitei invoice e PL. Processo com o despachante.
20/07 - Docs originais enviados a Santos.
</t>
    </r>
    <r>
      <rPr>
        <b/>
        <sz val="10"/>
        <rFont val="Arial"/>
        <family val="2"/>
      </rPr>
      <t xml:space="preserve">ETA SSZ 30/07.
</t>
    </r>
    <r>
      <rPr>
        <sz val="10"/>
        <rFont val="Arial"/>
        <family val="2"/>
      </rPr>
      <t>30/07 - Navio atracado.
01/08 - Solicitado linhas e fabricantes a compradora.
05/08 - Compradora informou que os itens da invoice são de uma nova BOM. Ag. cadastro da engenharia.
17/08 - Recebida linhas de compras.
18/08 - Itens ainda não estão com fabricantes. Ag. retorno de compras.
19/08 - Fabricantes resolvidos. Draft enviado.
20/08 - DI registrada. Ag. parametrização.
21/08 - Canal verde.</t>
    </r>
  </si>
  <si>
    <t>06/08 - 11h53 Recebida faturas da compradora.
15h47 - Recebido docs da DHL.
07/08 - 09h22 recebida retificação de DA.
11h45 - enviado processo ao despachante. Ag. registro de DI.
18h00 - DI registrada. Ag. Parametrização.
10/08 - Canal verde. Enviada GARE para pgto. Ag. comprovante. Enviado processo para emissão de NF.
11/08 - 10h00 - Recebido comprovante de pgto da GARE. Enviado ao despachante.</t>
  </si>
  <si>
    <t>5778i09</t>
  </si>
  <si>
    <t>5820i09</t>
  </si>
  <si>
    <t>5821i09</t>
  </si>
  <si>
    <t>5830i09</t>
  </si>
  <si>
    <t>5863i09</t>
  </si>
  <si>
    <t>5867i09</t>
  </si>
  <si>
    <t>CNV-9A0015</t>
  </si>
  <si>
    <t>4600020322
4600020046
4600020051</t>
  </si>
  <si>
    <t>SZHF49622</t>
  </si>
  <si>
    <t>E-58P09</t>
  </si>
  <si>
    <t>Monte Azul</t>
  </si>
  <si>
    <t>SZHF49609</t>
  </si>
  <si>
    <t>E-59P09</t>
  </si>
  <si>
    <t>SZHF49617</t>
  </si>
  <si>
    <r>
      <t>RECOF</t>
    </r>
    <r>
      <rPr>
        <sz val="10"/>
        <rFont val="Arial"/>
        <family val="2"/>
      </rPr>
      <t xml:space="preserve">
24/02 - Recebido dctos da compradora depois do horário.
01/03 - Processo enviado ao despachante.</t>
    </r>
    <r>
      <rPr>
        <b/>
        <sz val="10"/>
        <rFont val="Arial"/>
        <family val="2"/>
      </rPr>
      <t xml:space="preserve"> ETA SSZ 04/03.
</t>
    </r>
    <r>
      <rPr>
        <sz val="10"/>
        <rFont val="Arial"/>
        <family val="2"/>
      </rPr>
      <t>02/03 - Despachante informou que BL será emitido na China. Solicitada ajuda a Tereza Hsu e compradora. Processo é part-lote do E-01P10. Conforme contato com Felipe, carga será removida. Ag. decisão se haverá entreposto ou não.
04/03 - Navio atracou hoje às 07:50h e está operando.
18/03 - DI será nacionalizada em Santos. DI registrada. Em análise fiscal.
19/03 - Canal verde.</t>
    </r>
  </si>
  <si>
    <r>
      <t>30/10 - Recebida cópia de BL.
05/11 - Recebida cópia da invoice.
11/11 - Processo com o despachante.</t>
    </r>
    <r>
      <rPr>
        <b/>
        <sz val="10"/>
        <rFont val="Arial"/>
        <family val="2"/>
      </rPr>
      <t xml:space="preserve"> ETA SSZ 12/11.
</t>
    </r>
    <r>
      <rPr>
        <sz val="10"/>
        <rFont val="Arial"/>
        <family val="2"/>
      </rPr>
      <t>12/11 - Navio atracado as 17h55.
17/11 - Di registrada. Canal verde.Inspeção de madeira amanhã a tarde.</t>
    </r>
  </si>
  <si>
    <t>5846i09</t>
  </si>
  <si>
    <t>4600020047
4600020424</t>
  </si>
  <si>
    <t>SZHF51127</t>
  </si>
  <si>
    <t>5847i09</t>
  </si>
  <si>
    <t>S-VMI-3730i09</t>
  </si>
  <si>
    <r>
      <t xml:space="preserve">05/01 - Recebido invoice e PL da compradora.
11/01 - Processo com o despachante. Solicitada </t>
    </r>
    <r>
      <rPr>
        <sz val="10"/>
        <color indexed="10"/>
        <rFont val="Arial"/>
        <family val="2"/>
      </rPr>
      <t>emissão de LI.</t>
    </r>
    <r>
      <rPr>
        <sz val="10"/>
        <rFont val="Arial"/>
        <family val="2"/>
      </rPr>
      <t xml:space="preserve"> </t>
    </r>
    <r>
      <rPr>
        <b/>
        <sz val="10"/>
        <rFont val="Arial"/>
        <family val="2"/>
      </rPr>
      <t xml:space="preserve">ETA SSZ 14/01.
</t>
    </r>
    <r>
      <rPr>
        <sz val="10"/>
        <rFont val="Arial"/>
        <family val="2"/>
      </rPr>
      <t xml:space="preserve">14/01 - Navio atracado a 01h55. Em operação (08h55). Li deferida.
15/01 - Ag. Entrada do container no terminal.
18/01 - DI registrada. Canal amarelo.
20/01 - Fiscal Solange. Desembaraçada.
21/01 - Inspeção de madeira hoje a tarde. </t>
    </r>
    <r>
      <rPr>
        <b/>
        <sz val="10"/>
        <rFont val="Arial"/>
        <family val="2"/>
      </rPr>
      <t>Compradora informou que pode ser entregue em 25/01.</t>
    </r>
  </si>
  <si>
    <r>
      <t xml:space="preserve">05/01 - Recebido invoice e PL da compradora.
11/01 - Processo com o despachante. Solicitada </t>
    </r>
    <r>
      <rPr>
        <sz val="10"/>
        <color indexed="10"/>
        <rFont val="Arial"/>
        <family val="2"/>
      </rPr>
      <t>emissão de LI.</t>
    </r>
    <r>
      <rPr>
        <sz val="10"/>
        <rFont val="Arial"/>
        <family val="2"/>
      </rPr>
      <t xml:space="preserve"> </t>
    </r>
    <r>
      <rPr>
        <b/>
        <sz val="10"/>
        <rFont val="Arial"/>
        <family val="2"/>
      </rPr>
      <t xml:space="preserve">ETA SSZ 14/01.
</t>
    </r>
    <r>
      <rPr>
        <sz val="10"/>
        <rFont val="Arial"/>
        <family val="2"/>
      </rPr>
      <t xml:space="preserve">14/01 - Navio atracado a 01h55. Em operação (08h55). Li deferida.
15/01 - Ag. Entrada do container no terminal.
18/01 - DI registrada. Canal amarelo.
20/01 - Fiscal Adil. Desembaraçada.
21/01 - Inspeção de madeira hoje a tarde. </t>
    </r>
    <r>
      <rPr>
        <b/>
        <sz val="10"/>
        <rFont val="Arial"/>
        <family val="2"/>
      </rPr>
      <t>Compradora informou que pode ser entregue em 25/01.</t>
    </r>
  </si>
  <si>
    <t>21/08 - Navio atracado. Ag. Entrada do container no terminal.
24/08 - Remoção prevista para hoje. Carga no Libra.
25/08 - Presença de carga OK. DA registrada. Canal amarelo.
26/08 - LI deferida.
28/08 - Desembaraçada. CD 04800-09.</t>
  </si>
  <si>
    <t>03/06 - Mercadoria em perdimento S-335/2007. Autorizado o registro. Ag. Invoice.
04/06 - Recebi invoice. Enviei Draft. DI registrada. Ag. Parametrização.
05/06 - Canal verde.
09/06 - Entregue.</t>
  </si>
  <si>
    <t>045-67274852</t>
  </si>
  <si>
    <t>NE-1801i09</t>
  </si>
  <si>
    <t>25/08 - Recebido docs no final do dia.
26/08 - Processo com o despachante. Ag. Retorno da HP em relação a capatazias para enviar o draft. 16h40 recebida informação. Draft enviado as 17h00. DI registrada. Ag. Parametrização.
27/08 - Canal verde. Ag. comprovante de pgto de ICMS. Enviado email para emissão de NF. NF 045 emitida.
28/08 - Comprovante de pgto de ICMS enviado ao despachante. Ag. liberação da carga. 17h40. Carga liberada. Ag. coleta.</t>
  </si>
  <si>
    <t>25/08 - Recebido docs.
26/08 - Enviado draft.
27/08 - DI registrada. Canal amarelo.
28/08 - Fiscal Madruga. Desembaraçada.</t>
  </si>
  <si>
    <t>03/08 - Recebido docs no final do dia.
04/08 - Enviada ref. E draft. DI registrada. Canal amarelo.
05/08 - Desembaraçada. Entregue.</t>
  </si>
  <si>
    <t>6953i09</t>
  </si>
  <si>
    <t>DMCQHKG2168576</t>
  </si>
  <si>
    <t>6954i09</t>
  </si>
  <si>
    <t>DMCQYAT2944459</t>
  </si>
  <si>
    <t>12/05 - Recebi docs do comprador. Draft enviado. DI registrada. Canal amarelo. Solicitei invoices originais p/ o comprador.
14/05- Entregue.</t>
  </si>
  <si>
    <t>3961i09</t>
  </si>
  <si>
    <t>595-91599</t>
  </si>
  <si>
    <t>3962i09</t>
  </si>
  <si>
    <t>29/01 - Recebida informação do embarque. 
01/02 - Compradora enviou dctos informando sobre o processo. Embarque autorizado. Processo com o despachante.
05/02 - MAWB: 020-21192382. ETA VCP 08/02.
09/02 - Carga chegou em 08/02 as 13h20. DI registrada. Canal vermelho.
11/02 - Fiscal Renato.
19/02 - Previsão de conferência hoje a tarde.
23/02 - Fiscal fez exigência e solicitou retificação de DI. Alega que os itens da adição 1 devem ser acoplados a adição 2. Questionei comprador e Engenharia.
24/02 - Storillo não concorda com a exigência da fiscalização. Enviadas respostas ao despachante. Ag. retorno. Storillo pediu fotos. Ag. retorno.
25/02 - Despachante informou que o puxe da carga será feito e as fotos estarão disponíveis amanhã de manhã.
01/03 - Recebidas fotos. Enviadas ao Storillo e Engenharia. Storillo respondeu. Ag. retorno do despachante.
03/03 - Fiscal aceitou que os itens são separados, mas pediu a NVE das placas, os dctos que isentam a Foxconn do IPI e multa de 1% do CIF. Faremos a retificação dessa forma.
09/03 - Desembaraçada.</t>
  </si>
  <si>
    <r>
      <t xml:space="preserve">14/08 - Recebido cópia de docs.
19/08 - Processo com o despachante. Ag. ETA SSZ.
20/08 - Ag. agente informar navio de transbordo e ETA SSZ.
25/08 - </t>
    </r>
    <r>
      <rPr>
        <b/>
        <sz val="10"/>
        <rFont val="Arial"/>
        <family val="2"/>
      </rPr>
      <t xml:space="preserve">ETA SSZ 10/09.
</t>
    </r>
    <r>
      <rPr>
        <sz val="10"/>
        <rFont val="Arial"/>
        <family val="2"/>
      </rPr>
      <t>14/09 - Navio esperado para hoje as 19h00.
15/09 - Navio atrasado. Sem previsão de horário para atracação.
16/09 - Ag. desconsolidação.
17/09 - Cobrei dctos originais da compradora.
21/09 - Presença de carga OK. Di registrada. Em análise fiscal.
22/09 - Canal verde. BL original enviado no malote.</t>
    </r>
  </si>
  <si>
    <t>PG768256</t>
  </si>
  <si>
    <t>4417i09</t>
  </si>
  <si>
    <t>PG768321</t>
  </si>
  <si>
    <t>4418i09</t>
  </si>
  <si>
    <t>PG768257</t>
  </si>
  <si>
    <t>4419i09</t>
  </si>
  <si>
    <t>4420i09</t>
  </si>
  <si>
    <t>P751744</t>
  </si>
  <si>
    <t>DGG029501</t>
  </si>
  <si>
    <t>ID3-980087</t>
  </si>
  <si>
    <t>01/07 - Docs. Recebidos
03/07 - ETA VCP 05/07
06/07 - Draft enviado. 
07/07 - Ag. Registro. Di registrada. Ag. Parametrização.
08/07 - Canal verde.</t>
  </si>
  <si>
    <t>09/12 - Recebida informação do embarque. Compradora autorizou.
11/12 - Enviada ref. Processo com o despachante. Embarque previsto chegar em MIA dia 14/12.
16/12 - MAWB 404-22218501. ETA: 17/12 aprox. 03:00hs.
17/12 - Carga chegou as 03h00.  DI registrada. Canal verde.
30/12 - Compradora informou que a DI foi registrada com 1 PN errado.
04/01 - Haverá denúncia espontânea. Despachante avisado. DE 0603-0003000 PARA 1A30-00ATC00. Solicitada cópia do livro 6 ao dpto. fiscal.
07/01 - Recebido protocolo de retificação. Enviado ao warehouse. Ag. cópia do livro 6.</t>
  </si>
  <si>
    <t>16/10 - Compradora solicitou nacionalização, porém DA está em canal vermelho e deverá ser retificada. (PNs do físico não batem com os dctos).
27/10 - Processo enviado ao despachante. DA deverá ser retificada hoje. DI registrada. Canal vermelho.
28/10 - Distribuída para o fiscal Leal. Desembaraçada.</t>
  </si>
  <si>
    <t>5001438620
5001437490</t>
  </si>
  <si>
    <t>SZHF51330</t>
  </si>
  <si>
    <t>6204i09</t>
  </si>
  <si>
    <t>SZHF51331</t>
  </si>
  <si>
    <t>6206i09</t>
  </si>
  <si>
    <t>SZHF51332</t>
  </si>
  <si>
    <t>6207i09</t>
  </si>
  <si>
    <t>SZHF51336</t>
  </si>
  <si>
    <t>6208i09</t>
  </si>
  <si>
    <t>SZHF51337</t>
  </si>
  <si>
    <t>6210i09</t>
  </si>
  <si>
    <t>PG800097</t>
  </si>
  <si>
    <t>5UED346</t>
  </si>
  <si>
    <t>6213i09</t>
  </si>
  <si>
    <t>PG800098-2</t>
  </si>
  <si>
    <t>S-VMI-4302i09</t>
  </si>
  <si>
    <t>ID3-970024_2</t>
  </si>
  <si>
    <t>ID3-970047_2</t>
  </si>
  <si>
    <t>S-VMI-4303i09</t>
  </si>
  <si>
    <t>ID3-970062_1</t>
  </si>
  <si>
    <t>EGLV142950236171</t>
  </si>
  <si>
    <t>A-VMI-4304i09</t>
  </si>
  <si>
    <t>SBG-4370i09</t>
  </si>
  <si>
    <t>Y.C.Cable</t>
  </si>
  <si>
    <t>595-91264</t>
  </si>
  <si>
    <t>ETA SSZ 05/05.
07/05 - Ag. Presença de carga.
11/05 - Ag. Fabricantes para registro da DI.
14/05 - Recebido novas linhas da PO. Campo do fabricante veio em branco. Abri chamado p/ excxluir os itens, pois já tinha adiantamento.
20/05 a 24/05 - Ainda ag. Linhas.
25/05 - Arquivo eletronico enviado. Não foi o endereço do fabricante. Abri outro chamado. 
27/05 - Faltando NVE. Ag. resposta da engenharia.
28/05 - DI registrada. Ag. parametrização. Canal amarelo. Enviado NF p/ Santos.
01/06 - Documentação estava divergente. Solicitei p/ compradora refazer. Enviado p/ Santos. Distribuido Fiscal Solange.
02/06 - DI em análise, ag, desembaraço.
05/06 - Despacho interrompido, Favor atentar para exigência da fiscal: 
APRESENTAR CERTIDÃO NEGATIVA DA SRF, PREVIDENCIA SOCIAL , PROCURADORIA DA FAZENDA NACIONAL E O CERTIFICADO DE REGULARIDADE DO FGTS,
APRESENTAR COPIA DO ATO LEGAL QUE DA BENEFICIO IPI.
Solicitei docs ao depto Fiscal. Enviado docs p/ o despachante.
08/05 - Conferência documental efetuada. DI Desembaraçada.
09/05 - Ag. inspeção de madeira.
10/06 - Entregue.</t>
  </si>
  <si>
    <t>3031i09</t>
  </si>
  <si>
    <t>02/06 - Priscila autorizou embarque. Ag. docs e detalhes do navio.
12/06 - Recebi BL. Navio previsto p/ chegar em Santos dia 04/07.
08/07 - Ag. Desova.
13/07 - Di registrada. Canal verde.</t>
  </si>
  <si>
    <r>
      <t xml:space="preserve">11/09 - Recebido docs.
18/09 - Enviada ref. Ao despachante. </t>
    </r>
    <r>
      <rPr>
        <b/>
        <sz val="10"/>
        <rFont val="Arial"/>
        <family val="2"/>
      </rPr>
      <t xml:space="preserve">ETA SSZ 20/09.
</t>
    </r>
    <r>
      <rPr>
        <sz val="10"/>
        <rFont val="Arial"/>
        <family val="2"/>
      </rPr>
      <t>21/09 - Navio atracou em 19/09.
22/09 - DI registrada. Em análise fiscal.
23/09 - Canal verde. Inspeção de madeira agendada para 24/09 a tarde.
25/09 - Compradora informou que a carga deve ser entregue em 01/10.</t>
    </r>
  </si>
  <si>
    <t>AAH0088141
AAH0088142
AAH0088143
AAH0088144</t>
  </si>
  <si>
    <t>4480i09</t>
  </si>
  <si>
    <t>EBP-990627</t>
  </si>
  <si>
    <t>28/07 - Compradora solicitou nacionalização para semana 32.
31/07 - Di será registrada em 03/08.
03/08 - DI registrada. Ag. Parametrização. Canal verde.</t>
  </si>
  <si>
    <t>MAXHK512180</t>
  </si>
  <si>
    <t>A-3959i09</t>
  </si>
  <si>
    <t>KC-9398</t>
  </si>
  <si>
    <r>
      <t>29/01 - Recebida informação do embarque. Compradora autorizou.
01/02 - Expeditors informou que a carga é muito volumosa e foi dividida em 2 houses. Compradora informou que pode seguir com o processo. 
02/02 - Processo enviado ao despachante. Solicitada</t>
    </r>
    <r>
      <rPr>
        <sz val="10"/>
        <color indexed="10"/>
        <rFont val="Arial"/>
        <family val="2"/>
      </rPr>
      <t xml:space="preserve"> emissão de LI.</t>
    </r>
    <r>
      <rPr>
        <sz val="10"/>
        <rFont val="Arial"/>
        <family val="2"/>
      </rPr>
      <t xml:space="preserve">
03/02 - Embarque tem previsão de chegar em MIA dia 07/02.
10/02 - LI deferida.
12/02 - 549-20834984. ETA: 13/02 aprox.19:00hs.
15/02 - Carga chegou em 14/02 as 20h00. DI registrada. Canal amarelo.
17/02 - Despachante informou que não vieram os dctos originais com a carga.
18/02 - Solicitado dctos originais a compradora. Enviados via motoboy.
22/02 - Fiscal Fávero. Desembaraçada.</t>
    </r>
  </si>
  <si>
    <t>AAH0088853</t>
  </si>
  <si>
    <t>ABG-3182i09</t>
  </si>
  <si>
    <t>HP Caraustar</t>
  </si>
  <si>
    <t>5QR2523</t>
  </si>
  <si>
    <t>A-VMI-3184i09</t>
  </si>
  <si>
    <t>AAH0085956</t>
  </si>
  <si>
    <t>ABG-3197i09</t>
  </si>
  <si>
    <t>HP Irlanda</t>
  </si>
  <si>
    <t>AAH0085923</t>
  </si>
  <si>
    <t>ETA SSZ 21/05
29/04 - Processo enviado ao despachante.
13/05 - AG. DESCARGA DO NAVIO
19/05 - Registro autorizado. DI registrada. Ag. Parametrização.
20/05 - Canal verde.
22/05 - Entregue.</t>
  </si>
  <si>
    <r>
      <t>RECOF</t>
    </r>
    <r>
      <rPr>
        <sz val="10"/>
        <rFont val="Arial"/>
        <family val="2"/>
      </rPr>
      <t xml:space="preserve">
24/02 - Recebido dctos da compradora depois do horário.
01/03 - Processo enviado ao despachante.</t>
    </r>
    <r>
      <rPr>
        <b/>
        <sz val="10"/>
        <rFont val="Arial"/>
        <family val="2"/>
      </rPr>
      <t xml:space="preserve"> ETA SSZ 04/03.
</t>
    </r>
    <r>
      <rPr>
        <sz val="10"/>
        <rFont val="Arial"/>
        <family val="2"/>
      </rPr>
      <t xml:space="preserve">04/03 - Navio atracou hoje às 07:50h e está operando.
05/03 - Di registrada. Canal verde.
</t>
    </r>
    <r>
      <rPr>
        <b/>
        <sz val="10"/>
        <rFont val="Arial"/>
        <family val="2"/>
      </rPr>
      <t>08/03 - Comprador informou que não tem necessidade imediata. Aguardado retorno da Priscila para decisão. Armazenagem vence em 19/03.</t>
    </r>
  </si>
  <si>
    <r>
      <t xml:space="preserve">10/09 - Recebido docs do comprador.
11/09 - Enviada ref. MAWB 369-3673 1822. </t>
    </r>
    <r>
      <rPr>
        <b/>
        <sz val="9"/>
        <rFont val="Arial"/>
        <family val="2"/>
      </rPr>
      <t xml:space="preserve">ETA VCP 12/09 14:00 h.
</t>
    </r>
    <r>
      <rPr>
        <sz val="9"/>
        <rFont val="Arial"/>
        <family val="2"/>
      </rPr>
      <t>12/09 - Carga chegou em 12/09 as 14h10. Mantra visado em 13/09 as 10h25.
14/09 - DI registrada. Ag. Parametrização. Canal verde.</t>
    </r>
  </si>
  <si>
    <t>A-VMI-4183i09</t>
  </si>
  <si>
    <t>AAH0087547</t>
  </si>
  <si>
    <t>A-VMI-4184i09</t>
  </si>
  <si>
    <t>AAH0087548</t>
  </si>
  <si>
    <t>A-4191i09</t>
  </si>
  <si>
    <t>Z040206701</t>
  </si>
  <si>
    <t>1168i10</t>
  </si>
  <si>
    <t>MAXHK-513220</t>
  </si>
  <si>
    <t>1170i10</t>
  </si>
  <si>
    <t>DMCQYAT3013912</t>
  </si>
  <si>
    <t>1171i10</t>
  </si>
  <si>
    <t>1172i10</t>
  </si>
  <si>
    <t>HTX-YCY003</t>
  </si>
  <si>
    <t>1173i10</t>
  </si>
  <si>
    <t>EBP-010686</t>
  </si>
  <si>
    <t>SMLSTS1002009</t>
  </si>
  <si>
    <t>1174i10</t>
  </si>
  <si>
    <t>P817963</t>
  </si>
  <si>
    <t>DGG034638</t>
  </si>
  <si>
    <t>1175i10</t>
  </si>
  <si>
    <t>P817957</t>
  </si>
  <si>
    <t>DGG034774</t>
  </si>
  <si>
    <t>25/05 - Recebi docs. Draft enviado. DI registrada. Ag. Parametrização.
26/05 - Canal vermelho. Ag. Desembaraço. 
27/05 - Entrega prevista p/ hoje.Entregue</t>
  </si>
  <si>
    <t>5001188543
5001190081
5001190083
5001190092</t>
  </si>
  <si>
    <t>Rio de Janeiro</t>
  </si>
  <si>
    <t>3229i09</t>
  </si>
  <si>
    <t>S0907-13K</t>
  </si>
  <si>
    <r>
      <t xml:space="preserve">06/10 - Navio atracou em 04/10. Container no terminal.
07/10 - </t>
    </r>
    <r>
      <rPr>
        <sz val="10"/>
        <color indexed="10"/>
        <rFont val="Arial"/>
        <family val="2"/>
      </rPr>
      <t>LI emitida.</t>
    </r>
    <r>
      <rPr>
        <sz val="10"/>
        <rFont val="Arial"/>
        <family val="2"/>
      </rPr>
      <t xml:space="preserve"> Ag. Deferimento.
14/10 - LI deferida. DI registrada. Canal verde.
15/10 - Inspeção de madeira hoje a tarde.</t>
    </r>
  </si>
  <si>
    <t>14/10 - Recebido dctos. Draft enviado. Di registrada. Ag. Parametrização.
15/10 - Canal vermelho. Desembaraçado.</t>
  </si>
  <si>
    <t>11/08 - Solicitada puxada. Processo com o despachante. DI registrada.
12/08 - Canal verde.</t>
  </si>
  <si>
    <t>A-3396i09</t>
  </si>
  <si>
    <t>26/08 - Recebido docs. Draft enviado. DI registrada.
27/08 - Canal verde. NF enviada via motoboy. Desembaraçada.</t>
  </si>
  <si>
    <r>
      <t xml:space="preserve">24/07 - Ag. Cópia de invoice e PL. </t>
    </r>
    <r>
      <rPr>
        <b/>
        <sz val="10"/>
        <rFont val="Arial"/>
        <family val="2"/>
      </rPr>
      <t xml:space="preserve">ETA SSZ 26/07.
</t>
    </r>
    <r>
      <rPr>
        <sz val="10"/>
        <rFont val="Arial"/>
        <family val="2"/>
      </rPr>
      <t>27/07 - Navio atracado.</t>
    </r>
    <r>
      <rPr>
        <b/>
        <sz val="10"/>
        <rFont val="Arial"/>
        <family val="2"/>
      </rPr>
      <t xml:space="preserve">
</t>
    </r>
    <r>
      <rPr>
        <sz val="10"/>
        <rFont val="Arial"/>
        <family val="2"/>
      </rPr>
      <t>28/07 - Cobrei comprador. Recebido cópia de docs. Enviado ao despachante.
29/07 - DI registrada. Ag. Parametrização.
30/07 - Canal verde.
31/07 - Solicitado BL original ao comprador para liberar a carga em Santos. Docs originais DHL tracking 208 5235 423. Ag. chegada.
03/08 - Recebido docs originais. Enviados a Santos.</t>
    </r>
  </si>
  <si>
    <t>25/05 - Recebi docs. Draft enviado. DI registrada. Ag. Parametrização.
26/05 - Canal verde. Entregue.</t>
  </si>
  <si>
    <r>
      <t>24/09 - Recebido docs
25/09 - Enviada ref. Ao despachante.</t>
    </r>
    <r>
      <rPr>
        <b/>
        <sz val="10"/>
        <rFont val="Arial"/>
        <family val="2"/>
      </rPr>
      <t xml:space="preserve"> ETA SSZ 26/09.
</t>
    </r>
    <r>
      <rPr>
        <sz val="10"/>
        <rFont val="Arial"/>
        <family val="2"/>
      </rPr>
      <t>28/09 - Navio atracou hoje.
05/10 - DI registrada. Ag. Parametrização. Em análise fiscal.
06/10 - Canal verde.
07/10 - Inspeção de madeira hoje a tarde.</t>
    </r>
  </si>
  <si>
    <t>S-VMI-4710i09</t>
  </si>
  <si>
    <r>
      <t xml:space="preserve">29/09 - Compradora informou sobre a nacionalização. </t>
    </r>
    <r>
      <rPr>
        <b/>
        <sz val="10"/>
        <rFont val="Arial"/>
        <family val="2"/>
      </rPr>
      <t xml:space="preserve">Registro de DI deve ser em 05/10. 
</t>
    </r>
    <r>
      <rPr>
        <sz val="10"/>
        <rFont val="Arial"/>
        <family val="2"/>
      </rPr>
      <t>02/10 - Processo com o despachante.
05/10 - Di registrada. Ag. Parametrização. Canal verde.</t>
    </r>
  </si>
  <si>
    <t>09/1346288-2</t>
  </si>
  <si>
    <t>4664i09</t>
  </si>
  <si>
    <t>6514i09</t>
  </si>
  <si>
    <t>PCX</t>
  </si>
  <si>
    <r>
      <t xml:space="preserve">29/01 - Recebida informação do embarque. Compradora informou que a invoice está errada. Recebida invoice correta. Autorizado. 
01/02 - Expeditors informou que o processo foi separado em 2 HAWBs devido ao volume da carga. Compradora informou que pode prosseguir.
04/02 - Embarque tem previsão de chegar em MIA dia 07/02.
05/02 - Enviada ref. Processo com o despachante. Solicitada </t>
    </r>
    <r>
      <rPr>
        <sz val="10"/>
        <color indexed="10"/>
        <rFont val="Arial"/>
        <family val="2"/>
      </rPr>
      <t xml:space="preserve">emissão de LI.
</t>
    </r>
    <r>
      <rPr>
        <sz val="10"/>
        <rFont val="Arial"/>
        <family val="2"/>
      </rPr>
      <t>12/02 - MAWB 549-20834995. ETA: 12/02 aprox. 17:00hs.
15/02 - Carga chegou em 12/02 as 16h50.
17/02 - Li deferida. Despachante informou que não vieram os dctos originais com a carga. Di registrada. Canal amarelo.
18/02 - Solicitado dctos originais a compradora. Enviados via motoboy. Di registrada na última adição com a alíquota errada de ICMS. Solicitei retificação ao despachante.
23/02 - Fiscal Sérgio Lucio. Desembaraçada.
24/02 - Enviados DARFs para pgto. Ag. comprovantes.
25/02 - Enviados comprovantes ao despachante.
04/03 - Recebido protocolo de retificação.</t>
    </r>
  </si>
  <si>
    <r>
      <t xml:space="preserve">22/02 - Recebida cópia das invoices via e-mail. Solicitada </t>
    </r>
    <r>
      <rPr>
        <sz val="10"/>
        <color indexed="10"/>
        <rFont val="Arial"/>
        <family val="2"/>
      </rPr>
      <t>emissão de LI.</t>
    </r>
    <r>
      <rPr>
        <sz val="10"/>
        <rFont val="Arial"/>
        <family val="2"/>
      </rPr>
      <t xml:space="preserve">
24/02 - Recebido dctos da compradora. ETA SSZ 25/02.
25/02 - Processo enviado ao despachante.</t>
    </r>
    <r>
      <rPr>
        <b/>
        <sz val="10"/>
        <rFont val="Arial"/>
        <family val="2"/>
      </rPr>
      <t xml:space="preserve"> Navio esperado para 26/02 a 01h00.
</t>
    </r>
    <r>
      <rPr>
        <sz val="10"/>
        <rFont val="Arial"/>
        <family val="2"/>
      </rPr>
      <t xml:space="preserve">26/02 - Navio atracado.
01/03 - Lis deferidas.
02/03 - DI registrada. Canal amarelo.
03/03 - Fiscal Maria Antonieta.
</t>
    </r>
    <r>
      <rPr>
        <b/>
        <sz val="10"/>
        <rFont val="Arial"/>
        <family val="2"/>
      </rPr>
      <t xml:space="preserve">04/03 - Comprador informou que carga deve ser entregue assim que desembaraçar.
</t>
    </r>
    <r>
      <rPr>
        <sz val="10"/>
        <rFont val="Arial"/>
        <family val="2"/>
      </rPr>
      <t xml:space="preserve">05/03 - Desembaraçada.
</t>
    </r>
    <r>
      <rPr>
        <b/>
        <sz val="10"/>
        <rFont val="Arial"/>
        <family val="2"/>
      </rPr>
      <t>08/03 - Comprador informou que carga deve ser entregue em 12/03.</t>
    </r>
  </si>
  <si>
    <t>5001513711
5001513738</t>
  </si>
  <si>
    <t>SZHF52314</t>
  </si>
  <si>
    <t>1068i10</t>
  </si>
  <si>
    <t>SZHF52312</t>
  </si>
  <si>
    <t>1079i10</t>
  </si>
  <si>
    <t>2210004465
2020014397</t>
  </si>
  <si>
    <t>MAXHK-513199</t>
  </si>
  <si>
    <t>1084i10</t>
  </si>
  <si>
    <t>MAKS-1002221</t>
  </si>
  <si>
    <r>
      <t xml:space="preserve">29/01 - Recebida informação do embarque.
02/02 - Compradora autorizou.
05/02 - Embarque previsto chegar em LAX dia 08/02. Enviada ref. Processo com o despachante.
08/02 - MAWB 045-60005621. ETA: 09/02 aprox. 10:00hs.
09/02 - Embarque tem nova previsão de ETA VCP para 12/02 as 10h00 devido a chegada de carga parcial em LAX.
11/02 - Notar que fomos notificados pela cia aérea de que a ultima parte deste MAWB saiu nesta madrugada para LAX impossibilitando o envio desta carga no voo de hoje para VCP, pois o embarque tem previsão de chegar em LAX após saida do voo de hoje para VCP. Este embarque será enviado como prioriodade 1 na proximo vôo disponível de LAX -VCP que será no dia 15/02 com </t>
    </r>
    <r>
      <rPr>
        <b/>
        <sz val="10"/>
        <rFont val="Arial"/>
        <family val="2"/>
      </rPr>
      <t xml:space="preserve">ETA VCP para o dia 16/02 aprox. 10:00hs.
</t>
    </r>
    <r>
      <rPr>
        <sz val="10"/>
        <rFont val="Arial"/>
        <family val="2"/>
      </rPr>
      <t>16/02 - Carga chegou em 16/02 as 08h40.
17/02 - DI registrada. Canal verde.</t>
    </r>
  </si>
  <si>
    <t>SZ1502031</t>
  </si>
  <si>
    <t>SZ1502148</t>
  </si>
  <si>
    <t>6339-0442-909.012</t>
  </si>
  <si>
    <t>ABG-4972i09</t>
  </si>
  <si>
    <t>AAH0088821</t>
  </si>
  <si>
    <t>7QR1870</t>
  </si>
  <si>
    <t>07/09 - Recebido docs. Comprador autorizou.
09/09 - Enviada ref. ETA VCP 11/09 as 08h15.
11/09 - Carga chegou parcial em VCP. A outra parte tem previsão de ETA VCP 14/09 03:20 h.Ag. Chegada para poder entrar com a regularização do mantra.
14/09 - Volumes faltantes chegaram a VCP. Ag. gerar DSIC.
15/09 - Entrada na RF hoje para regularização. Prazo de 48 hrs.
16/09 - Mantra OK as 15h35.
17/09 - DI registrada. Ag. parametrização.Canal verde.</t>
  </si>
  <si>
    <r>
      <t>07/07 - Recebida invoice.
09/07 - Enviados originais a SSZ.
13/07 - Enviada ref.</t>
    </r>
    <r>
      <rPr>
        <b/>
        <sz val="10"/>
        <rFont val="Arial"/>
        <family val="2"/>
      </rPr>
      <t xml:space="preserve"> Remoção, sem registro de DA.</t>
    </r>
    <r>
      <rPr>
        <sz val="10"/>
        <rFont val="Arial"/>
        <family val="2"/>
      </rPr>
      <t xml:space="preserve"> </t>
    </r>
    <r>
      <rPr>
        <b/>
        <sz val="10"/>
        <rFont val="Arial"/>
        <family val="2"/>
      </rPr>
      <t xml:space="preserve"> ETA SSZ 18/07.</t>
    </r>
    <r>
      <rPr>
        <sz val="10"/>
        <rFont val="Arial"/>
        <family val="2"/>
      </rPr>
      <t xml:space="preserve">
20/07 - Navio atracou em 18/07. Ag. Descarga e desova.
</t>
    </r>
    <r>
      <rPr>
        <sz val="10"/>
        <color indexed="10"/>
        <rFont val="Arial"/>
        <family val="2"/>
      </rPr>
      <t>28/07 - Compradora solicitou carga na fábrica em 07/08. DI será registrada em 04/08.</t>
    </r>
    <r>
      <rPr>
        <sz val="10"/>
        <rFont val="Arial"/>
        <family val="2"/>
      </rPr>
      <t xml:space="preserve">
04/08 - DI registrada. Canal verde. Carga será entregue em 06/08 no final da tarde.</t>
    </r>
  </si>
  <si>
    <t>S-VMI-3225i09</t>
  </si>
  <si>
    <t>AAH0085109</t>
  </si>
  <si>
    <t>NE-6646i09</t>
  </si>
  <si>
    <t>Well Shin</t>
  </si>
  <si>
    <t>SZYATSTS090401</t>
  </si>
  <si>
    <t>S-VMI-2992i09</t>
  </si>
  <si>
    <t>ID3-940076_5</t>
  </si>
  <si>
    <t>EGLV142950266762</t>
  </si>
  <si>
    <t>S-VMI-2996i09</t>
  </si>
  <si>
    <t>ID3-940051_6</t>
  </si>
  <si>
    <t>S-VMI-4737i09</t>
  </si>
  <si>
    <t>AUR/SSZ/003/09_1</t>
  </si>
  <si>
    <t>Navio previsto p/ 12/06.
02/06 - Recebi docs. Inf. ref. Previsão de chegada em Santos dia 07/06.
10/06 - Original providenciando DTA p/ remoção.
12/06 - LI deferida.
19/06 - Presença de carga OK. Ag. Autorização p/ registro da DI.
10/08 - Compradora solicitou registro de DI. Despachante avisado. DI registrada.Canal amarelo.
12/08 - DI distribuída para o fiscal Tozzi – em analise. Desembaraçada.</t>
  </si>
  <si>
    <t>21/07 - Autorizado. Inf. Ref.
28/07 - Carga será coletada dia 31/07.
03/08 - Recebi AWB.
06/08 - Previsto p/ chegar amanhã em VCP aprox 17:00hs.
10/08 - Carga chegou em 07/08 as 10h10. DI registrada. Canal vermelho.
12/08 - Fiscal Canella. Em análise.
13/08 - Desembaraçado.</t>
  </si>
  <si>
    <t>10/08 - Recebido docs. 
11/08 - Draft enviado. Di registrada. 
12/08 -Canal amarelo. Desembaraçada.</t>
  </si>
  <si>
    <t>5928i09</t>
  </si>
  <si>
    <t>Ag. Autorização do comprador para registro de DI.
08/05 - Registro autorizado.
11/05 - DI registrada. Canal verde.Desembaraçada. Entregue.</t>
  </si>
  <si>
    <t>FG090702</t>
  </si>
  <si>
    <t>5001337205
5001337214</t>
  </si>
  <si>
    <t>SZHF48766</t>
  </si>
  <si>
    <t>07/07 - Recebida invoice.
09/07 - Enviados originais a SSZ.
13/07 - Enviada ref.  ETA SSZ 18/07.
20/07 - Navio atracou em 18/07. Ag. Descarga e desova.
21/07 - Presença de carga OK.
22/07 - DI registrada. Ag. Parametrização.
23/07 - Canal verde.</t>
  </si>
  <si>
    <t>03/07 - Docs. Recebidos. Draft enviado.
06/07 - ETA VCP 06/07. 
07/07 - Ag. Registro.Di registrada. Ag. Parametrização.
08/07 - Canal verde.</t>
  </si>
  <si>
    <t>06/10 - Compradora informou sobre a nacionalização. 
07/10 - Processo com o despachante.
08/10 - Di registrada. Canal amarelo.
09/10 - Mercadoria distribuída para o fiscal Madruga. Em análise. Desembaraçada.</t>
  </si>
  <si>
    <t>EBP-010472</t>
  </si>
  <si>
    <t>SMLSTS1001041</t>
  </si>
  <si>
    <t>737i10</t>
  </si>
  <si>
    <t>6172i09</t>
  </si>
  <si>
    <t>U.S.Luggage</t>
  </si>
  <si>
    <t>YF09Y084-3</t>
  </si>
  <si>
    <t>6173i09</t>
  </si>
  <si>
    <t>Pingood</t>
  </si>
  <si>
    <t>TES10911000119</t>
  </si>
  <si>
    <t xml:space="preserve">KSZ/SE-0911009 </t>
  </si>
  <si>
    <t>96753RO/2</t>
  </si>
  <si>
    <t>96753RO/3</t>
  </si>
  <si>
    <t>96753RO/4</t>
  </si>
  <si>
    <t>96753RO/1</t>
  </si>
  <si>
    <t>S-VMI-4701i09</t>
  </si>
  <si>
    <t>Vistoria</t>
  </si>
  <si>
    <t>16/09 - Recebido docs. Item da invoice com preço errado. Ag. Retorno. Recebida invoice correta. Enviado draft. DI registrada. Canal amarelo.
17/09 - Desembaraçada.</t>
  </si>
  <si>
    <t>Navio</t>
  </si>
  <si>
    <t>25/05 - BL ORIGINAL TIRADO EM 15/05 - ENTRADO COM DESIS. AVARIAS
29/05 - Carga será removida p/ o LIBRAPORT em 01/06.
02/06 - Ag. Presença de carga.
03/06 - DA registrada. Ag. Parametrização. Canal verde.
CD 03095-09</t>
  </si>
  <si>
    <t>E-26P09</t>
  </si>
  <si>
    <r>
      <t xml:space="preserve">24/11 - Recebido dctos da compradora. </t>
    </r>
    <r>
      <rPr>
        <b/>
        <sz val="10"/>
        <rFont val="Arial"/>
        <family val="2"/>
      </rPr>
      <t>ETA SSZ 26/11.</t>
    </r>
    <r>
      <rPr>
        <sz val="10"/>
        <rFont val="Arial"/>
        <family val="2"/>
      </rPr>
      <t xml:space="preserve">
26/11 - Processo com o despachante. Navio atracado as 08h45.
01/12 - Di registrada. Em análise fiscal.
02/12 - Canal verde. Compradora informou que carga pode ser entregue em 04/12.
04/12 - Carga seguindo para a FBR.</t>
    </r>
  </si>
  <si>
    <t>06/08 - 11h53 Recebida faturas da compradora.
15h47 - Recebido docs da DHL.
07/08 - 09h22 recebida retificação de DA.
12h15 - enviado processo ao despachante. Ag. registro de DI.
18h00 - DI registrada. Ag. Parametrização.
10/08 - Canal verde. Enviada GARE para pgto. Ag. comprovante. Enviado processo para emissão de NF.
11/08 - 10h00 - Recebido comprovante de pgto da GARE. Enviado ao despachante.
09/09 - DI será retificada para acrescentar o valor da capatazias.</t>
  </si>
  <si>
    <t>A-4042i09</t>
  </si>
  <si>
    <t>ID3-990017</t>
  </si>
  <si>
    <r>
      <t xml:space="preserve">26/02 - Comprador informou sobre a nacionalização. </t>
    </r>
    <r>
      <rPr>
        <b/>
        <sz val="10"/>
        <rFont val="Arial"/>
        <family val="2"/>
      </rPr>
      <t>Necessidade 08/03.</t>
    </r>
    <r>
      <rPr>
        <sz val="10"/>
        <rFont val="Arial"/>
        <family val="2"/>
      </rPr>
      <t xml:space="preserve">
04/03 - Processo enviado ao despachante. Di registrada. Ag. Parametrização. Em análise fiscal.
05/03 - Canal verde.</t>
    </r>
  </si>
  <si>
    <t>09/1123879-9</t>
  </si>
  <si>
    <t>09/1123592-7</t>
  </si>
  <si>
    <t>09/1126791-8</t>
  </si>
  <si>
    <t>10/08 - Compradora solicitou registro de DI. Draft enviado.
DI registrada.
11/08 - Canal verde.</t>
  </si>
  <si>
    <t>29/06 - Docs. Recebidos.
07/07 - Ag. ETA VCP. Solicitei retirada de docs a Brasiliense.
08/07 - Recebida cópia de HAWB do agente.Carga chegou em 26/06 as 04h39.
09/07 - Enviada cópia a Brasiliense. Ag. Registro. Di registrada.
10/07 - Canal verde.</t>
  </si>
  <si>
    <t>E-41P09</t>
  </si>
  <si>
    <t>Nan Yang</t>
  </si>
  <si>
    <t>E-42P09</t>
  </si>
  <si>
    <t>E-43P09</t>
  </si>
  <si>
    <t>2707I09</t>
  </si>
  <si>
    <t>6524i09</t>
  </si>
  <si>
    <t>16/09 - Recebido docs do agente.
17/09 - Carga chegou as 17h10.
18/09 - Mantra visado as 05h53. Processo enviado a Itatrans. Di registrada. Canal verde.</t>
  </si>
  <si>
    <r>
      <t xml:space="preserve">02/02 - Recebida cópia de BL do agente. 
08/02 - Compradora informou que invoice e PL estão incorretos. Ag. Novos.
11/02 - Recebido dctos corretos. Informado ao agente que o BL está OK.
12/02 - Enviada ref. Processo enviado ao despachante. </t>
    </r>
    <r>
      <rPr>
        <b/>
        <sz val="10"/>
        <rFont val="Arial"/>
        <family val="2"/>
      </rPr>
      <t xml:space="preserve">ETA SSZ 11/03.
11/03 - Agente de cargas informou que o navio correto é Monte Tamaro com ETA SSZ 18/03. </t>
    </r>
    <r>
      <rPr>
        <sz val="10"/>
        <rFont val="Arial"/>
        <family val="2"/>
      </rPr>
      <t xml:space="preserve">Questionei agente de cargas sobre BL original.
12/03 - BL original disponível em Santos. Despachante avisado.
18/03 - Navio atracado as 10h40.
23/03 - Invoice e PL originais enviados no malote.
25/03 - Presença de carga OK. DI registrada. Canal vermelho.
26/03 - Fiscal Nilva.
29/03 - Ag. distribuição para conferência física.
30/03 - Fiscal Miguel. Desembaraçada. </t>
    </r>
    <r>
      <rPr>
        <b/>
        <sz val="10"/>
        <rFont val="Arial"/>
        <family val="2"/>
      </rPr>
      <t>Compradora informou que carga pode ser entregue em 05/04.</t>
    </r>
  </si>
  <si>
    <t>ID3-990016</t>
  </si>
  <si>
    <t>000106</t>
  </si>
  <si>
    <t>21/12 - Recebido pré alerta da Expeditors. MAWB 023-2551841D. ETA: 21/12 aprox. 09h00.
22/12 - Carga chegou em 21/12 as 09h00. Processo enviado ao despachante. DI registrada. Canal verde.</t>
  </si>
  <si>
    <r>
      <t>24/02 - Recebido dctos da compradora depois do horário.
01/03 - Processo enviado ao despachante.</t>
    </r>
    <r>
      <rPr>
        <b/>
        <sz val="10"/>
        <rFont val="Arial"/>
        <family val="2"/>
      </rPr>
      <t xml:space="preserve"> </t>
    </r>
    <r>
      <rPr>
        <sz val="10"/>
        <rFont val="Arial"/>
        <family val="2"/>
      </rPr>
      <t>Solicitada</t>
    </r>
    <r>
      <rPr>
        <sz val="10"/>
        <color indexed="10"/>
        <rFont val="Arial"/>
        <family val="2"/>
      </rPr>
      <t xml:space="preserve"> emissão de LI.</t>
    </r>
    <r>
      <rPr>
        <b/>
        <sz val="10"/>
        <rFont val="Arial"/>
        <family val="2"/>
      </rPr>
      <t xml:space="preserve"> ETA SSZ 11/03.
</t>
    </r>
    <r>
      <rPr>
        <sz val="10"/>
        <rFont val="Arial"/>
        <family val="2"/>
      </rPr>
      <t xml:space="preserve">10/03 - Lis OK.
11/03 - Navio atracado.
15/03 - DI registrada. Canal amarelo.
16/03 - Fiscal Potiguara. Desembaraçada.
</t>
    </r>
    <r>
      <rPr>
        <b/>
        <sz val="10"/>
        <rFont val="Arial"/>
        <family val="2"/>
      </rPr>
      <t>17/03 - Compradora informou que carga deve ser entregue em 24/03.</t>
    </r>
  </si>
  <si>
    <t>ID3-960054_4</t>
  </si>
  <si>
    <t>19/08 - Recebido docs. Enviado draft. DI registrada.
20/08 - Canal verde.</t>
  </si>
  <si>
    <t>25/06 - Recebi invoice e docs. Puxada da ZCE - Chicony (Libraport). Enviei draft. DI registrada. Ag. Parametrização. Canal verde. Entregue.</t>
  </si>
  <si>
    <t>21/08 - Navio atracado. Ag. Entrada do container no terminal.
24/08 - Remoção prevista para hoje. Carga no Libra.
25/08 - Presença de carga OK. DA registrada. Canal amarelo.
26/08 - LI deferida.
28/08 - Desembaraçada. CD 04801-09.</t>
  </si>
  <si>
    <r>
      <t xml:space="preserve">17/02 - Recebido dctos da compradora. </t>
    </r>
    <r>
      <rPr>
        <b/>
        <sz val="10"/>
        <rFont val="Arial"/>
        <family val="2"/>
      </rPr>
      <t>ETA SSZ 18/02</t>
    </r>
    <r>
      <rPr>
        <sz val="10"/>
        <rFont val="Arial"/>
        <family val="2"/>
      </rPr>
      <t xml:space="preserve">.
18/02 - Processo enviado ao despachante. Navio atracado. </t>
    </r>
    <r>
      <rPr>
        <sz val="10"/>
        <color indexed="10"/>
        <rFont val="Arial"/>
        <family val="2"/>
      </rPr>
      <t xml:space="preserve">LI </t>
    </r>
    <r>
      <rPr>
        <sz val="10"/>
        <rFont val="Arial"/>
        <family val="2"/>
      </rPr>
      <t>do banco de dados já está deferida.
19/02 - Despachante informou que o BL original não está disponível em Santos. Questionei compradora. 
22/02 - Cobrei BL original da compradora.
23/02 - Hon Hai informou que o Brasil já tem autorização para emissão. Despachante avisado. BL original com o despachante. Di registrada. Canal vermelho.
24/02 - Fiscal Potiguara.
26/02 - Fiscal da conferência física Paulo de Tarso. Desembaraçada. Despachante informou que a madeira está condenada. Haverá troca.
01/03 - Carregamento agendado para amanhã, as 07h00. Não haverá troca de madeira. Na verdade, o respiro do container estava fechado, o que ocasionou fungos na madeira.</t>
    </r>
  </si>
  <si>
    <t>NE-1351i10</t>
  </si>
  <si>
    <t>05/08 - Recebido docs. Draft enviado as 17h15. Di será registrada amanhã.
06/08 - DI registrada. Canal verde.</t>
  </si>
  <si>
    <t>01/09 - Recebido docs. Compradora pediu para segurar o embarque para fazer algumas correções na invoice.
04/09 - Compradora pediu para seguir com o embarque.
05/09 - Autorizado. Processo com o despachante.
09/09 - Carga já está no gateway da Expeditors para embarque no próximo vôo para VCP.
14/09 - Carga aguardando validação em MIA.
17/09 - MAWB: 369-5025 3932. ETA: 17/09 aprox.14:00h. Carga chegou as 13h45.
18/09 - Mantra visado as 08h45. DI registrada. Canal verde.</t>
  </si>
  <si>
    <t>11/12 - Recebido dctos do agente.
15/12 - Processo enviado ao despachante. MAWB 045-75161936. Carga chegou as 06h25.
16/12 - DI registrada. Canal verde.</t>
  </si>
  <si>
    <t>Remoção</t>
  </si>
  <si>
    <t>6603i09</t>
  </si>
  <si>
    <t>Moduslink</t>
  </si>
  <si>
    <t>6607i09</t>
  </si>
  <si>
    <t>Z040156858</t>
  </si>
  <si>
    <t>MAX-0912265</t>
  </si>
  <si>
    <t>3548i09</t>
  </si>
  <si>
    <t>SZHF48761</t>
  </si>
  <si>
    <t>3550i09</t>
  </si>
  <si>
    <t>4600018807
4600018688</t>
  </si>
  <si>
    <t>SZHF48778</t>
  </si>
  <si>
    <t>S-VMI-3649i09</t>
  </si>
  <si>
    <t>AAH0086691</t>
  </si>
  <si>
    <t>MOLU543138641</t>
  </si>
  <si>
    <r>
      <t>Carga precisa estar na FBR em 08/12.</t>
    </r>
    <r>
      <rPr>
        <sz val="10"/>
        <rFont val="Arial"/>
        <family val="2"/>
      </rPr>
      <t xml:space="preserve">
01/12 - Recebida informação do embarque. Compradora autorizou. Enviada ref. Processo com o despachante. 
02/12 - Carga será disponibilizada hoje pelo vendor.
04/12 - ETA MIA 05/12 por volta de 14h00.
05/12 - Carga chegou em MIA por volta de 17h31.
08/12 - MAWB: 369 3669 6984. ETA VCP hoje as 23h00.
09/12 - Carga chegou hoje a 01h55. DI registrada. Canal verde. </t>
    </r>
  </si>
  <si>
    <t>4651i09</t>
  </si>
  <si>
    <t>4600019783
4600019978</t>
  </si>
  <si>
    <t>18/05 - Recebi docs. Draft enviado.
19/05- DI registrada. Canal verde. Entregue</t>
  </si>
  <si>
    <t>18/05 - Recebi docs. Draft enviado. DI registrada, canal verde. 
19/05 - Entregue</t>
  </si>
  <si>
    <t>2977i09</t>
  </si>
  <si>
    <t>SSZ4415714</t>
  </si>
  <si>
    <t>29/10 - Navio atracado.
04/11 - Di registrada. Canal verde.
05/11 - Inspeção de madeira hoje a tarde.</t>
  </si>
  <si>
    <t>5298i09</t>
  </si>
  <si>
    <t>SZHF49939</t>
  </si>
  <si>
    <t>5295i09</t>
  </si>
  <si>
    <t>4600020978
4600020961
4600020962</t>
  </si>
  <si>
    <r>
      <t xml:space="preserve">27/08 - Recebida informação do embarque. </t>
    </r>
    <r>
      <rPr>
        <sz val="9"/>
        <rFont val="Arial"/>
        <family val="2"/>
      </rPr>
      <t>Ag. Cópia da invoice.</t>
    </r>
    <r>
      <rPr>
        <sz val="9"/>
        <rFont val="Arial"/>
        <family val="2"/>
      </rPr>
      <t xml:space="preserve">
28/08 - Recebida invoice. Ag. Autorização de compras.
31/08 - Autorizado. Processo com o despachante. Ag. ETA VCP.
04/09 - MAWB: 172 74448404 - </t>
    </r>
    <r>
      <rPr>
        <b/>
        <sz val="9"/>
        <rFont val="Arial"/>
        <family val="2"/>
      </rPr>
      <t xml:space="preserve">ETA: 06/09.
</t>
    </r>
    <r>
      <rPr>
        <sz val="9"/>
        <rFont val="Arial"/>
        <family val="2"/>
      </rPr>
      <t>09/09 - Carga chegou em 06/09 as 04h00. Mantra visado em 06/09 as 10h59. Problemas com fabricantes. Ag. correção por parte de compras.
15/09 - Enviado fabricantes corretos e invoice ao despachante.
16/09 - Dctos ainda estão divergentes. Ag. correção. Compradora enviou novos dctos. Ag. conferência.
22/09 - Di registrada. Canal verde.</t>
    </r>
  </si>
  <si>
    <t>SBG-4083i09</t>
  </si>
  <si>
    <t>SBG-4084i09</t>
  </si>
  <si>
    <t>6339-0442-907.014</t>
  </si>
  <si>
    <r>
      <t xml:space="preserve">24/02 - Recebido dctos da compradora depois do horário.
26/02 - Processo enviado ao despachante. Solicitada emissão de LI e cópia de BL a compradora.
17/03 - Cobrei BL da compradora. Recebida cópia de BL.
23/03 - Enviada cópia de BL ao despachante. Ag. navio de transbordo e ETA SSZ.
29/03 - </t>
    </r>
    <r>
      <rPr>
        <b/>
        <sz val="10"/>
        <rFont val="Arial"/>
        <family val="2"/>
      </rPr>
      <t xml:space="preserve">ETA SSZ 06/04.
</t>
    </r>
    <r>
      <rPr>
        <sz val="10"/>
        <rFont val="Arial"/>
        <family val="2"/>
      </rPr>
      <t>30/03 - Dctos originais enviados no malote.
05/04 - Navio atracado. Ag. entrada do container no terminal.
07/04 - Di registrada. Canal amarelo.
09/04 - Fiscal Solange.
12/04 - Desembaraçada.</t>
    </r>
  </si>
  <si>
    <t>04/12 - Recebida informação do embarque. Compradora autorizou. 
08/12 - Enviada ref. Processo com o despachante. 
10/12 - Embarque previsto chegar em LAX dia 14/12 para posterior conexão LAX-VCP.
14/12 - MAWB 145-40779502. ETA: 15/12 aprox. 09:00hs.
16/12 - Carga chegou ontem as 07h10. DI registrada. Canal verde.</t>
  </si>
  <si>
    <t>03/09 - Recebido docs.
02/09 - Enviado draft.
04/09 - DI registrada. Em análise fiscal.
08/09 - Canal verde.</t>
  </si>
  <si>
    <t>100-010121</t>
  </si>
  <si>
    <t>2762I09</t>
  </si>
  <si>
    <r>
      <t xml:space="preserve">01/09 - Recebido docs. Compradora autorizou.
02/09 - Enviada ref. A Expeditors e despachante.
04/09 - Embarque tem previsão de chegar em MIA dia 05/09.
08/09 - MAWB: 549-20724723. </t>
    </r>
    <r>
      <rPr>
        <b/>
        <sz val="9"/>
        <rFont val="Arial"/>
        <family val="2"/>
      </rPr>
      <t xml:space="preserve">ETA VCP 08/09 as 10h00.
</t>
    </r>
    <r>
      <rPr>
        <sz val="9"/>
        <rFont val="Arial"/>
        <family val="2"/>
      </rPr>
      <t>10/09 - Questionei Expeditors sobre a chegada dessa carga. O número do master estava errado. Carga chegou em 07/09 as 17h40. Visado em 08/09 as 05h10. DI registrada. Em análise fiscal.
11/09 - Canal verde.</t>
    </r>
  </si>
  <si>
    <t>6306i09</t>
  </si>
  <si>
    <t>SZHF51507</t>
  </si>
  <si>
    <t>6307i09</t>
  </si>
  <si>
    <t>SZHF51426</t>
  </si>
  <si>
    <t>6308i09</t>
  </si>
  <si>
    <t>4600021923
4600021925
4600021924
4600021873</t>
  </si>
  <si>
    <t>5001449772
5001449773
5001449774
5001449817</t>
  </si>
  <si>
    <t>14/10 - Compradora informou sobre nacionalização.
20/10 - Processo com o despachante. DI registrada. Em análise fiscal.
21/10 - Canal verde.</t>
  </si>
  <si>
    <t>08/09 - Recebido invoice e PL da compradora.
12/09 - Solicitada cópia de BL. Processo com o despachante.
24/09 - Invoices e PL originais enviados no malote.
25/09 - ETA SSZ 13/10.
13/10 - Navio esperado para as 19h00.
14/10 - Navio atracou em 13/10 as 19h05. Solicitada NVE a Engenharia 19h00.
16/10 - DI registrada. Canal verde. Inspeção de madeira será em 19/10 a tarde.</t>
  </si>
  <si>
    <t>ID3-960080_2</t>
  </si>
  <si>
    <t>SZ1479508</t>
  </si>
  <si>
    <t>09/0221815-2</t>
  </si>
  <si>
    <t>SZ1480987</t>
  </si>
  <si>
    <t>verde</t>
  </si>
  <si>
    <t>Invoice Date</t>
  </si>
  <si>
    <t>PO SAP</t>
  </si>
  <si>
    <t>MAWB 
VESSEL</t>
  </si>
  <si>
    <t>HAWB
BL</t>
  </si>
  <si>
    <t>Invoice number</t>
  </si>
  <si>
    <t>26/11 - Comprador solicitou coleta.
30/11 - Enviado a Expeditors solicitando coleta. Ag. Informações. Processo com o despachante.
02/12 - Recebida cópia de HAWB.
04/12 - Embarque previsto chegar em MIA dia 05/12.ETA VCP dia 07/12 ou 08/12. Ag. Validação e dados do vôo.
07/12 - MAWB 045-59990195. Carga chegou em 06/12 as 23h45. DI registrada. Canal verde.</t>
  </si>
  <si>
    <t>09/12 - Recebida informação do embarque. Compradora autorizou.
11/12 - Enviada ref. Processo com o despachante. Embarque previsto chegar em MIA dia 14/12.
17/12 - Carga chegou as 03h00. MAWB 404-22218501. DI registrada. Canal vermelho.
21/12 - Fiscal Marcelo.
22/12 - Desembaraçada.</t>
  </si>
  <si>
    <t>Warehouse</t>
  </si>
  <si>
    <t>A</t>
  </si>
  <si>
    <t>2618i09</t>
  </si>
  <si>
    <t>Fortune</t>
  </si>
  <si>
    <t>André</t>
  </si>
  <si>
    <t>VCP</t>
  </si>
  <si>
    <t>Camila</t>
  </si>
  <si>
    <t>Priscila</t>
  </si>
  <si>
    <t>2481i09</t>
  </si>
  <si>
    <t>2519i09</t>
  </si>
  <si>
    <t>Camcar</t>
  </si>
  <si>
    <t>Andressa</t>
  </si>
  <si>
    <t>Oderlei</t>
  </si>
  <si>
    <r>
      <t>DI RECOF.</t>
    </r>
    <r>
      <rPr>
        <sz val="10"/>
        <rFont val="Arial"/>
        <family val="2"/>
      </rPr>
      <t xml:space="preserve">
21/12 - Recebido dctos da compradora.
28/12 - Processo enviado ao despachante.</t>
    </r>
    <r>
      <rPr>
        <b/>
        <sz val="10"/>
        <rFont val="Arial"/>
        <family val="2"/>
      </rPr>
      <t xml:space="preserve"> ETA SSZ 07/01/2010.
</t>
    </r>
    <r>
      <rPr>
        <sz val="10"/>
        <rFont val="Arial"/>
        <family val="2"/>
      </rPr>
      <t xml:space="preserve">07/01 - Navio previsto para as 21h00.
08/01 - Navio atracou a 00h40. Em operação (08h40).
11/01 - Despachante informou que esse container não foi descarregado. Ag, confirmação da Maersk. Compradora avisada. Recebida a seguinte informação do armador: "Informamos que, devido ao atraso no schedule, o navio Monte Azul 949W, finalizou a operação no porto de Santos antes que fossem descarregadas todas as unidades de importação. Face o exposto, vossa unidade será descarregada na viagem norte do Monte Azul  (949E), </t>
    </r>
    <r>
      <rPr>
        <b/>
        <sz val="10"/>
        <rFont val="Arial"/>
        <family val="2"/>
      </rPr>
      <t xml:space="preserve">com previsão de atracação em Santos no dia 18/01." </t>
    </r>
    <r>
      <rPr>
        <sz val="10"/>
        <rFont val="Arial"/>
        <family val="2"/>
      </rPr>
      <t xml:space="preserve">Compradora avisada.
18/01 - Navio atracou as 17h55.
19/01 - Ag. entrada do container no terminal.
20/01 - DI registrada. Em análise fiscal.
21/01 - Canal verde. </t>
    </r>
    <r>
      <rPr>
        <b/>
        <sz val="10"/>
        <rFont val="Arial"/>
        <family val="2"/>
      </rPr>
      <t>Compradora informou que pode ser entregue em 27/01.</t>
    </r>
  </si>
  <si>
    <t>443i10</t>
  </si>
  <si>
    <t>TES11001000051</t>
  </si>
  <si>
    <t>448i10</t>
  </si>
  <si>
    <t>Converge</t>
  </si>
  <si>
    <t>18/05 - Recebi docs. Draft enviado. Original emitiu a LI errada. Ag. Deferimento da LI sub.
21/05 - LI deferida. DI registrada. Canal amarelo.
22/05 - Distribuido. Ag. Desembaraço. Enviei NF p/ o Libra Entregue.</t>
  </si>
  <si>
    <t>08/1242238-9</t>
  </si>
  <si>
    <t>SZ1437283</t>
  </si>
  <si>
    <r>
      <t xml:space="preserve">01/10 - Compradora informou sobre a nacionalização. </t>
    </r>
    <r>
      <rPr>
        <b/>
        <sz val="10"/>
        <rFont val="Arial"/>
        <family val="2"/>
      </rPr>
      <t xml:space="preserve">Registro de DI deve ser em 05/10. 
</t>
    </r>
    <r>
      <rPr>
        <sz val="10"/>
        <rFont val="Arial"/>
        <family val="2"/>
      </rPr>
      <t>05/10 - Processo com o despachante. Di registrada. Canal vermelho.
06/10 - Fiscal Madruga. Em análise. Previsão de liberação para amanhã.
07/10 - Conferência física agendada para hoje. Na conferencia física, o PN que esta na peça do Microventilador não e o mesmo dos documentos.Na peça consta, PN 435452-001 e nos documentos 452249-001 (1A029YM00-600-G). Aguardando ele colocar em tela, para que retificar a DI e recolher a multa solicitada.
08/10 - Fiscal colocou exigência em tela. CONSTATOU-SE EM CONF. FISICA P/N DIVERGENTE DO DECLARADO NA ADICAO 003.RETIFICAR E RECOLHER MULTA ART. 711,III DO R.A.
09/10 - Desembaraçada.</t>
    </r>
  </si>
  <si>
    <t>40745654
40745336
40745152</t>
  </si>
  <si>
    <t>100-010200</t>
  </si>
  <si>
    <t>Mol Devotion</t>
  </si>
  <si>
    <t>Monte Cervantes</t>
  </si>
  <si>
    <t>NYK Cosmos</t>
  </si>
  <si>
    <t>26/08 - Recebido docs. Draft enviado. DI registrada. Canal amarelo.
27/08 - NF enviada via motoboy.
28/08 -  Desembaraçado.</t>
  </si>
  <si>
    <t>10/08 - Recebido docs. 
12/08 - Draft enviado. DI registrada. Ag. parametrização.Canal amarelo.
13/08 - Desembaraçada.</t>
  </si>
  <si>
    <t>16/06 - Recebi invoice e docs. Puxada da Chicony (Libraport). Enviei draft. DI registrada. Ag. Parametrização.
18/06 - Distribuido Fiscal Tozzi. 
19/06 - Desembaraçada. Entregue.</t>
  </si>
  <si>
    <t>S-VMI-3764i09</t>
  </si>
  <si>
    <t>GHGI-090107_7</t>
  </si>
  <si>
    <t>S-VMI-3765i09</t>
  </si>
  <si>
    <t>04/06 - Recebi invoice. Inf. Ref.
02/06 - Recebi docs. Inf. Ref. Previsão de chegada em Santos dia 07/06.
16/06 - DI registrada. Ag. Parametrização.
17/06 - Canal verde. Inspeção da madeira será feita hoje.
18/06 - Entregue.</t>
  </si>
  <si>
    <t>Ag. Autorização para registro de DI.
18/05 - Priscila autorizou registro da DI. Di registrada. Ag. Parametrização.
19/05 - Canal amarelo.
20/05 - Desembaraçada. Entregue.</t>
  </si>
  <si>
    <t>14/10 - Recebida invoices.
16/10 - Processo enviado ao despachante.
19/10 - Draft enviado. DI registrada. Em análise fiscal. Enviada GARE para pgto.
20/10 - Canal verde. Solicitada emissão de Nfe. Enviado comprovante de pgto de ICMS as 17h30.</t>
  </si>
  <si>
    <t>A-3264i09</t>
  </si>
  <si>
    <t>100-010150</t>
  </si>
  <si>
    <t>FG090730</t>
  </si>
  <si>
    <t>4600019078
4600018039
4600017724</t>
  </si>
  <si>
    <t>40740107
40740098
40740106</t>
  </si>
  <si>
    <t>E</t>
  </si>
  <si>
    <r>
      <t xml:space="preserve">25/11 - Recebido dctos da compradora.
30/11 - Processo com o despachante. </t>
    </r>
    <r>
      <rPr>
        <b/>
        <sz val="10"/>
        <rFont val="Arial"/>
        <family val="2"/>
      </rPr>
      <t xml:space="preserve">ETA SSZ 24/12.
</t>
    </r>
    <r>
      <rPr>
        <sz val="10"/>
        <rFont val="Arial"/>
        <family val="2"/>
      </rPr>
      <t>21/12 - Dctos originais enviados no malote.
24/12 - Navio atracado.
28/12 - Container no terminal. Ag. Desconsolidação. Presença de carga OK.
29/12 -  DI registrada. Canal verde. Inspeção de madeira amanhã a tarde.</t>
    </r>
  </si>
  <si>
    <t>01/12 - Recebida informação do embarque. Compradora autorizou. Enviada ref. Processo com o despachante. 
03/12 - ETA MIA: 04/12.
07/12 - MAWB: 307 33077995. Carga chegou as 11h27.
08/12 - Di registrada. Canal verde.</t>
  </si>
  <si>
    <r>
      <t xml:space="preserve">04/09 - Recebido docs. </t>
    </r>
    <r>
      <rPr>
        <b/>
        <sz val="10"/>
        <rFont val="Arial"/>
        <family val="2"/>
      </rPr>
      <t xml:space="preserve">ETA SSZ 14/09.
</t>
    </r>
    <r>
      <rPr>
        <sz val="10"/>
        <rFont val="Arial"/>
        <family val="2"/>
      </rPr>
      <t>15/09 - Navio atrasou. Esperado para hoje. Navio atracado.
16/09 - Ag. Entrada do container no terminal.
17/09 - Caminhão a caminho do Eadi.
18/09 - Presença de carga OK. Falta de NCM no BL. Entrada na RF para correção do siscarga.Li deferida.
21/09 - DA registrada. Canal amarelo.
23/09 - Distribuída para fiscal Madruga.
24/09 - Desembaraçada. CD 05388-09.</t>
    </r>
  </si>
  <si>
    <t>09/1269104-7</t>
  </si>
  <si>
    <r>
      <t xml:space="preserve">25/02 - Comprador informou sobre a puxada.
26/02 - Recebido dctos. Processo enviado ao despachante. DI será registrada em 01/03 devido ao fechamento do mês. Preço da invoice está divergente do PO. Questionei comprador.
01/03 - Recebida invoice com preço correto. Despachante em cópia. Di registrada. Canal verde. </t>
    </r>
    <r>
      <rPr>
        <b/>
        <sz val="10"/>
        <rFont val="Arial"/>
        <family val="2"/>
      </rPr>
      <t>Carga deverá ser entregue em 05/03.</t>
    </r>
  </si>
  <si>
    <t>14/12 - Recebido dctos da Expeditors. Compradora autorizou.
16/12 - Enviada ref. Processo com o despachante. Embarque tinha previsão de chegar em Chicago ontem. Ag. Confirmação.
17/12 - MAWB 045-75237934. ETA: 18/12 aprox. 04:00hs.
18/12 - Carga chegou a 01h40. DI registrada. Canal verde.</t>
  </si>
  <si>
    <t>22/09 - Recebido docs. Draft enviado.
23/09 - Di registrada. Canal amarelo.
24/09 - Desembaraçado.</t>
  </si>
  <si>
    <t>18/11 -Compradora enviou dctos autorizando o embarque.
19/11 - Recebida informação da DHL. Autorizado. Enviada ref. Processo com o despachante.
24/11 -  Faltam alguns fabricantes de itens. Despachante questionou compras.
MAWB: 172 75351743 
Voo: 674
ETA: 24/11 - 18h10.
25/11 - Carga chegou a 01h00.
26/11 - DI registrada. Canal verde.</t>
  </si>
  <si>
    <r>
      <t xml:space="preserve">08/09 - Recebido docs.
10/09 - Enviada ref. Ao despachante. </t>
    </r>
    <r>
      <rPr>
        <b/>
        <sz val="10"/>
        <rFont val="Arial"/>
        <family val="2"/>
      </rPr>
      <t xml:space="preserve">ETA SSZ 14/09.
</t>
    </r>
    <r>
      <rPr>
        <sz val="10"/>
        <rFont val="Arial"/>
        <family val="2"/>
      </rPr>
      <t>15/09 - Navio atrasou. Esperado para hoje.  Navio atracado.
16/09 - Ag. Entrada do container no terminal.
17/09 - Caminhão a caminho do Eadi.
18/09 - Presença de carga OK. Li deferida. DA registrada. Canal amarelo.
23/09 - Fiscal Madruga.
24/09 - Desembaraçada. CD 05389-09.</t>
    </r>
  </si>
  <si>
    <r>
      <t xml:space="preserve">29/04 - Recebido dctos da compradora.
06/05 - Processo enviado ao despachante. </t>
    </r>
    <r>
      <rPr>
        <b/>
        <sz val="10"/>
        <rFont val="Arial"/>
        <family val="2"/>
      </rPr>
      <t xml:space="preserve">ETA SSZ 06/05.
</t>
    </r>
    <r>
      <rPr>
        <sz val="10"/>
        <rFont val="Arial"/>
        <family val="2"/>
      </rPr>
      <t>07/05 - Navio na barra. Ag. atracação.
10/05 - Navio: Maersk Dabou atracou hoje as 07:00 hs.
11/05 - Aguardando descarga de 01 conteiner no terminal.
18/05 - DA registrada. Canal amarelo.
20/05 - Fiscal Carlos Yamada. Desembaraçada.
21/05 - CD NR.03188-10.</t>
    </r>
  </si>
  <si>
    <r>
      <t xml:space="preserve">24/02 - Recebido dctos da compradora depois do horário.
01/03 - Processo enviado ao despachante. </t>
    </r>
    <r>
      <rPr>
        <b/>
        <sz val="10"/>
        <rFont val="Arial"/>
        <family val="2"/>
      </rPr>
      <t xml:space="preserve">ETA SSZ 04/03.
</t>
    </r>
    <r>
      <rPr>
        <sz val="10"/>
        <rFont val="Arial"/>
        <family val="2"/>
      </rPr>
      <t>02/03 - Processo é part-lote do S-1386i10. Conforme contato com Felipe, carga será removida. Ag. decisão se haverá entreposto ou não.
08/03 - Peso da fatura está divergente do BL. Provavelmente está faltando fatura no embarque. DTA não será registrada até esclarecer o assunto.
18/03 - Recebida invoice faltante. Compradora informou que a necessidade é imadiata, portanto não será mais feita DA. Será DI normal em Santos.</t>
    </r>
  </si>
  <si>
    <r>
      <t>30/10 - Solicitada</t>
    </r>
    <r>
      <rPr>
        <sz val="10"/>
        <color indexed="10"/>
        <rFont val="Arial"/>
        <family val="2"/>
      </rPr>
      <t xml:space="preserve"> emissão de LI. </t>
    </r>
    <r>
      <rPr>
        <sz val="10"/>
        <rFont val="Arial"/>
        <family val="2"/>
      </rPr>
      <t xml:space="preserve">Ag. Deferimento. </t>
    </r>
    <r>
      <rPr>
        <b/>
        <sz val="10"/>
        <rFont val="Arial"/>
        <family val="2"/>
      </rPr>
      <t xml:space="preserve">ETA SSZ 12/11.
</t>
    </r>
    <r>
      <rPr>
        <sz val="10"/>
        <rFont val="Arial"/>
        <family val="2"/>
      </rPr>
      <t>06/11 - Li deferida.
09/11 - Despachante apontou NCM errada em 3 itens.
11/11 - NCMs corrigidas. Draft reenviado.
12/11 - Navio atracado as 17h55.
16/11 - DI registrada. Canal amarelo.
18/11 - Distribuído para o fiscal Potiguara. Desembaraçada.
19/11 - Inspeção de madeira agendada para 23/11.
24/11 - Documentação no registro, veículo aguardando chamada para carregamento.</t>
    </r>
  </si>
  <si>
    <t>MAX-HK511989</t>
  </si>
  <si>
    <t>2817i09</t>
  </si>
  <si>
    <t>HP</t>
  </si>
  <si>
    <t>Ana</t>
  </si>
  <si>
    <t>AAH0085132
AAH0085133
AAH0085134</t>
  </si>
  <si>
    <t>6339.0438.905-073</t>
  </si>
  <si>
    <t>2818i09</t>
  </si>
  <si>
    <t>AAH0085144
AAH0085145
AAH0085146</t>
  </si>
  <si>
    <t>6339.0438.905-055</t>
  </si>
  <si>
    <t>15 dias</t>
  </si>
  <si>
    <t>06/08 - Recebido docs. 
07/08 - Draft enviado. DI registrada. Canal amarelo.
10/08 - Desembaraçada.</t>
  </si>
  <si>
    <t>06/08 - Recebido docs. 
07/08 - Draft enviado. DI registrada. Em análise.
10/08 - Desembaraçada.</t>
  </si>
  <si>
    <t>08/05 - Recebi invoices.
11/05 - Informei ref. Previsto p/ chegar amanhã em Santos.
12/05 - AG. DESCARGA DO NAVIO.
18/05 - Ag. parametrizacao da DTA para remoção.
19/05 - Ag. parametrizacao da DTA para remoção.
20/05 - Ag. parametrizacao da DTA para remoção.
21/05 - Será removido hoje. Ag. presença de carga. LI deferida.
22/05 - Remoção OK. Ag. presença de carga.
25/05 - Previsto p/ registrar a DA hoje.
26/06 - Não foi possivel registrar a DA hoje. Faltou uma NCm no BL. Providenciando termo p/ dar entrada na receita.
27/05 - Ag. deferimento por parte da DRF e o BL corrigido pelo porto de origem para que possamos efetuar a troca.
29/05 - DA registrada. Canal vermelho.
01/06 - Ag. distribuição.
02/06 - Distribuido Fiscal Tozzi.
03/06 - DA desembaraçada.
CD 03078-09</t>
  </si>
  <si>
    <t>NE-2104i09</t>
  </si>
  <si>
    <t>Aurora</t>
  </si>
  <si>
    <t>5001521377
5001525750</t>
  </si>
  <si>
    <t>1385i10</t>
  </si>
  <si>
    <t>4600023622
4600023646</t>
  </si>
  <si>
    <t>E-01P10</t>
  </si>
  <si>
    <t>1386i10</t>
  </si>
  <si>
    <t>1388i10</t>
  </si>
  <si>
    <t>4600024359
4600024360
4600024361</t>
  </si>
  <si>
    <r>
      <t>Carga com seguro.  Fotografar o material assim que chegar na fábrica.</t>
    </r>
    <r>
      <rPr>
        <sz val="10"/>
        <rFont val="Arial"/>
        <family val="2"/>
      </rPr>
      <t xml:space="preserve">
14/12 - Recebida informação do embarque.
15/12 - Compradora autorizou.
17/12 - Enviada ref. Ao despachante.Ag. Confirmação do embarque e cópia do BL.
18/12 -</t>
    </r>
    <r>
      <rPr>
        <b/>
        <sz val="10"/>
        <rFont val="Arial"/>
        <family val="2"/>
      </rPr>
      <t xml:space="preserve"> ETA SSZ 28/01/2010.
</t>
    </r>
    <r>
      <rPr>
        <sz val="10"/>
        <rFont val="Arial"/>
        <family val="2"/>
      </rPr>
      <t>28/12 - Recebida cópia de BL revisado. Enviado ao despachante.
04/01 - Cobrei PO lines de compras. Recebida PO lines.
05/01 - Enviado a Vanessa (Original).
27/01 - Dctos originais serão retirados amanhã na Itatrans em Santos.
28/01 - Navio atracou as 08h30. 
29/01 - Ag. Entrada dos containers no terminal. Processo vistoriado e liberado para desembaraço.
01/02 - Presença de carga OK.  DI registrada. Canal verde.
08/02 - Entregas Foxconn: 3 containers 40´ -11/02/2010
2 containers 40´- 12/02/2010.</t>
    </r>
  </si>
  <si>
    <t>EBP-9C0659</t>
  </si>
  <si>
    <t>1062i10</t>
  </si>
  <si>
    <t>SZHF52201</t>
  </si>
  <si>
    <t>1063i10</t>
  </si>
  <si>
    <t>4600023331
4600023574
4600023333
4600023509</t>
  </si>
  <si>
    <t>5001507685
5001507714
5001507721</t>
  </si>
  <si>
    <t>SZHF52200</t>
  </si>
  <si>
    <t>1064i10</t>
  </si>
  <si>
    <t>1065i10</t>
  </si>
  <si>
    <t>SZHF52313</t>
  </si>
  <si>
    <t>1066i10</t>
  </si>
  <si>
    <t>4600023333
4600023331</t>
  </si>
  <si>
    <t>5001510891
5001510811</t>
  </si>
  <si>
    <t>SZHF52311</t>
  </si>
  <si>
    <t>1067i10</t>
  </si>
  <si>
    <r>
      <t xml:space="preserve">08/09 - Recebido docs.
10/09 - Enviada ref. Ao despachante. </t>
    </r>
    <r>
      <rPr>
        <b/>
        <sz val="10"/>
        <rFont val="Arial"/>
        <family val="2"/>
      </rPr>
      <t xml:space="preserve">ETA SSZ 14/09.
</t>
    </r>
    <r>
      <rPr>
        <sz val="10"/>
        <rFont val="Arial"/>
        <family val="2"/>
      </rPr>
      <t>15/09 - Navio atrasado. Sem previsão de horário para atracação. Navio atracado.
16/09 - Ag. Entrada do container no terminal.
17/09 - Di registrada. Em análise fiscal.
18/09 - Canal verde. Inspeção de madeira hoje a tarde. Madeira não foi feita hoje devido ao terminal estar lotado. 16h00.</t>
    </r>
  </si>
  <si>
    <t>A-4329i09</t>
  </si>
  <si>
    <t>PA772616</t>
  </si>
  <si>
    <t>NE-4332i09</t>
  </si>
  <si>
    <t>NE-4336i09</t>
  </si>
  <si>
    <t>A-4337i09</t>
  </si>
  <si>
    <t>E-35P09</t>
  </si>
  <si>
    <t>S-VMI-2978i09</t>
  </si>
  <si>
    <t>08/10 - Recebida invoices.
09/10 - Recebida Das.
13/10 - Processo enviado ao despachante. DI registrada. Canal vermelho. Enviada GARE para pgto.
14/10 - Recebido comprovante de ICMS as 11h50. Enviado ao despachante. 16h40. Solicitada emissão de Nfe. Desembaraçado.</t>
  </si>
  <si>
    <r>
      <t xml:space="preserve">05/02 - Recebida informação do embarque. Compradora autorizou.
11/02 - Enviada ref. Processo enviado ao despachante.
12/02 - MAWB 404-2260 6592. ETA VCP 15/02 08:00.
15/02 - Carga chegou em 14/02 as 09h16. DI registrada. Canal vermelho.
22/02 - Fiscal Mauro.
23/02 - Fiscal informou que a descrição da DI está errada. Solicitada ajuda a Engenharia. Engenharia respondeu. Despachante em cópia. Ag. retorno da fiscalização.
24/02 - Fiscalização informou que deve reclassificar o item e recolher as multas devidas. Ag. retorno da Engenharia e Storillo.
01/03 - Solicitada foto do item a Engenharia. Recebida foto. Despachante em cópia. Ag. retorno da fiscalização.
02/03 - Solicitado catálogo técnico da mercadoria.
03/03 - Pedi ajuda a compradora.
04/03 - Recebido spec da Engenharia. Despachante em cópia. Despachante informou que a fiscalização não aceitou e está pedindo reclassificação. Solicitada ida do Storillo a RF. Ag. comentários.
08/03 - Visita agendada para hoje as 14h30.
10/03 - Fiscalização fez nova exigência para retificar a DI e acrescentar a descrição. Recolher multa de 1%. Aguardando retorno do Storillo. Conforme informações do Storillo foi acordado com a fiscalização que a liberação aconteceria. Solicitado valores de auto de infração + laudo para saber se compensa entrar com auto de infração ou pgto de multa. </t>
    </r>
    <r>
      <rPr>
        <b/>
        <sz val="10"/>
        <rFont val="Arial"/>
        <family val="2"/>
      </rPr>
      <t xml:space="preserve">Compradora informou que a necessidade é 22/03.
</t>
    </r>
    <r>
      <rPr>
        <sz val="10"/>
        <rFont val="Arial"/>
        <family val="2"/>
      </rPr>
      <t>12/03 - Milton autorizou a retificação e recolhimento de multa. DI retificada. Ag. desembaraço. Desembaraçada.</t>
    </r>
  </si>
  <si>
    <t>5001403687
5001403688
5001403690</t>
  </si>
  <si>
    <t>SZHF49835</t>
  </si>
  <si>
    <t>4600016786
4600016787</t>
  </si>
  <si>
    <t>5001232739
5001232765
5001232774</t>
  </si>
  <si>
    <t>Monte Tamaro</t>
  </si>
  <si>
    <t>SZHF46786</t>
  </si>
  <si>
    <t>S-1434i09</t>
  </si>
  <si>
    <t>S-1442i09</t>
  </si>
  <si>
    <t>S-1443i09</t>
  </si>
  <si>
    <t>S-1472i09</t>
  </si>
  <si>
    <t>S-1486i09</t>
  </si>
  <si>
    <t>Teac</t>
  </si>
  <si>
    <t>09/0543522-7</t>
  </si>
  <si>
    <t>10/06 - Priscila autorizou embarque.
12/06 - Recebi booking. Previsto p/ chegar em Santos dia 14/07.
25/06 - Solicitei cópia do BL p/ Expeditors.
26/06 - Recebi BL. Previsto p/ chegar em Santos dia 12/07.
13/07 - Navio atrasou. ETA 14/07.
14/07 - Navio atracou em 13/07. Ag. Desconsolidação.
16/07 - Presença de carga OK. Solicitada NVE a Engenharia. Enviado ao despachante. Di registrada. Ag. parametrização.
17/07 - Canal verde.</t>
  </si>
  <si>
    <t>22/01 - Recebida informação do embarque. Comprador autorizou. Enviada ref. Processo com o despachante.
25/01 - Embarque previsto chegar em MIA 27/01. 
28/01 - MAWB 369-36798016. ETA 28/01 aprox. 23:00hs.
29/01 - Carga chegou em 28/01 as 23h45. DI registrada. Ag. Parametrização. Canal verde.</t>
  </si>
  <si>
    <t>S-799i09</t>
  </si>
  <si>
    <t>E-61P09</t>
  </si>
  <si>
    <t>SZHF49942</t>
  </si>
  <si>
    <t>SBG-5408i09</t>
  </si>
  <si>
    <t>AAH0089399</t>
  </si>
  <si>
    <t>16/12 - Recebida informação do embarque. Comprador autorizou.
18/12 - Enviada ref. Processo com o despachante. ETA SSZ 18/01/2010.
28/12 - Recebida cópia do BL. Despachante em cópia.
07/01 - Expeditors informou que os dctos originais serão enviados diretamente a Foxconn.
13/01 - Dctos originais enviados no malote.
18/01 - Navio previsto para hoje as 13h00.
19/01 - Navio atracou ontem as 16h25. Aguardando entrada do container no terminal. 
20/01 - Agdo autorização da RF para inspeção e desova.
21/01 - Ag. inspeção do M.A para desova.
22/01 - Container sendo desovado.
25/01 - Presença de carga OK. DI registrada. Canal verde.
28/01 - Devido à chuva de ontem o terminal concluiu o carregamento nesta madrugada, veículo seguindo ao cliente com previsão de entrega para as
08:20hs.</t>
  </si>
  <si>
    <t>16/07 - Compradora solicitou registro de DI. Processo com o despachante. Canal verde.
17/07 - In house.</t>
  </si>
  <si>
    <t>26/08 - Recebido docs. Draft enviado. DI registrada.
27/08 - Canal verde. NF enviada via motoboy.Desembaraçada.</t>
  </si>
  <si>
    <r>
      <t xml:space="preserve">10/02 - Recebido dctos da compradora. Processo enviado ao despachante. </t>
    </r>
    <r>
      <rPr>
        <b/>
        <sz val="10"/>
        <rFont val="Arial"/>
        <family val="2"/>
      </rPr>
      <t xml:space="preserve">ETA SSZ 11/02.
</t>
    </r>
    <r>
      <rPr>
        <sz val="10"/>
        <rFont val="Arial"/>
        <family val="2"/>
      </rPr>
      <t>11/02 - Navio atracado as 12h35.
17/02 - Container no terminal. DI registrada. Em análise fiscal.
18/02 - Canal verde.</t>
    </r>
    <r>
      <rPr>
        <b/>
        <sz val="10"/>
        <rFont val="Arial"/>
        <family val="2"/>
      </rPr>
      <t xml:space="preserve"> Compradora informou que carga pode ser entregue em 25/02.</t>
    </r>
  </si>
  <si>
    <t>08/10 -  Recebido dctos. Draft enviado. DI registrada.
09/10 - Canal verde.</t>
  </si>
  <si>
    <t>NE-4996i09</t>
  </si>
  <si>
    <t>S-VMI-3297i09</t>
  </si>
  <si>
    <t>ID3-960054_1</t>
  </si>
  <si>
    <t>EGLV142950271731</t>
  </si>
  <si>
    <t>S-VMI-3298i09</t>
  </si>
  <si>
    <t>5281i09</t>
  </si>
  <si>
    <t>SZHF49837</t>
  </si>
  <si>
    <t>5292i09</t>
  </si>
  <si>
    <t>SZHF51029</t>
  </si>
  <si>
    <t>5297i09</t>
  </si>
  <si>
    <t>SZHF49941</t>
  </si>
  <si>
    <t>5296i09</t>
  </si>
  <si>
    <t>Bahia Grande</t>
  </si>
  <si>
    <t>5278i09</t>
  </si>
  <si>
    <t>SZHF49836</t>
  </si>
  <si>
    <t>E-60P09</t>
  </si>
  <si>
    <r>
      <t xml:space="preserve">13/04 - Recebida invoice da compradora.
14/04 - Enviada ref. Ao despachante. Ag. Atracação, prevista para 18/04. Solicitado </t>
    </r>
    <r>
      <rPr>
        <sz val="10"/>
        <color indexed="10"/>
        <rFont val="Arial"/>
        <family val="2"/>
      </rPr>
      <t>LI.</t>
    </r>
    <r>
      <rPr>
        <sz val="10"/>
        <rFont val="Arial"/>
        <family val="2"/>
      </rPr>
      <t xml:space="preserve">
18/04 - Navio atracou.
23/04 - DTA canal verde. Ag. Inspeção de madeira.
24/04 - LI deferida.
28/04 - Carga no Libra. Ag. Presença de carga.
06/05 - DA registrada. Ag. parametrização.
07/05 - Canal amarelo. Distribuido - Fiscal Leal - Desembaraçada – AG. CD.
08/05 - CD 02573-09</t>
    </r>
  </si>
  <si>
    <t>07/08 - Recebida informação do embarque. Comprador autorizou.
10/08 - Enviada ref. Carga será enviada a Expeditors em 11/08 a tarde.
14/08 - Previsão de chegar hoje em MIA.
17/08 - MAWB 404-21816620. Carga chegou hoje as 06h50. Problemas com fabricantes. Ag. retorno compras.
28/08 - Recebido fabricantes. Enviado ao despachante.
01/09 - DI registrada. Canal verde.</t>
  </si>
  <si>
    <t>DKSZ9090118</t>
  </si>
  <si>
    <r>
      <t xml:space="preserve">24/11 - Recebido dctos da compradora. </t>
    </r>
    <r>
      <rPr>
        <b/>
        <sz val="10"/>
        <rFont val="Arial"/>
        <family val="2"/>
      </rPr>
      <t>ETA SSZ 26/11.</t>
    </r>
    <r>
      <rPr>
        <sz val="10"/>
        <rFont val="Arial"/>
        <family val="2"/>
      </rPr>
      <t xml:space="preserve">
26/11 - Processo com o despachante. Navio atracado as 08h45.
03/12 - Caminhão a caminho do Eadi.
04/12 - Presença de carga OK.DA registrada. Canal verde. CD 06841-09</t>
    </r>
  </si>
  <si>
    <t>09/1720870-0</t>
  </si>
  <si>
    <t>5UEF429</t>
  </si>
  <si>
    <t>Carga averbada (seguro).
11/12 - Recebida informação do embarque. Processo com o despachante. ETA VCP 17/12. Ag. Confirmação.
14/12 - Agente de cargas informou que conseguiu antecipar o vôo. MAWB 549-20755103.
15/12 - Ag. Confirmação de ETA VCP. Enviado HAWB ao despachante.
16/12 - Carga chegou a 00h20. DI registrada. Canal verde.</t>
  </si>
  <si>
    <t>2200000729_12</t>
  </si>
  <si>
    <t>05/06 - Camila solicitou puxada. Solicitei emissão de LI.
08/06 - Ag. Deferimento da LI p/ registro.
09/06 - Ag. Deferimento da LI.
10/06 - DI registrada. Canal amarelo.
15/06 - Ag. Distribuição. Distribuido Fiscal Nivaldo.
16/06 - Desembaraçada. Entregue.</t>
  </si>
  <si>
    <t>21/09 - Recebido docs.
22/09 - Processo enviado ao despachante.
23/09 - Di registrada. Enviada GARE para pgto. Solicitada emissão de NF.
24/09 - Enviada NF ao despachante. Enviado comprovante de ICMS as 12h00.</t>
  </si>
  <si>
    <r>
      <t>04/08- Recebida cópia de docs. 
05/08 - Solicitada</t>
    </r>
    <r>
      <rPr>
        <sz val="10"/>
        <color indexed="10"/>
        <rFont val="Arial"/>
        <family val="2"/>
      </rPr>
      <t xml:space="preserve"> emissão de LI.
</t>
    </r>
    <r>
      <rPr>
        <sz val="10"/>
        <rFont val="Arial"/>
        <family val="2"/>
      </rPr>
      <t>11/08 - LI deferida.Compradora avisada.
17/08 - Recebida cópia de BL. Enviado ao despachante.
20/08 - Ag. agente informar navio de transbordo e ETA SSZ.
21/08 - Navio Nyk Cosmos previsto para dia 14/09.
10/09 - Dctos originais enviados no malote.
14/09 - Navio atracado.
15/09 - Ag. autorização da RF para desova.
16/09 - Ag. autorização da RF para desova.
17/09 - LI emitida errada. Haverá emissão de</t>
    </r>
    <r>
      <rPr>
        <sz val="10"/>
        <color indexed="10"/>
        <rFont val="Arial"/>
        <family val="2"/>
      </rPr>
      <t xml:space="preserve"> LI sub</t>
    </r>
    <r>
      <rPr>
        <sz val="10"/>
        <rFont val="Arial"/>
        <family val="2"/>
      </rPr>
      <t xml:space="preserve"> por conta do despachante.
18/09 - Li deferida.
22/09 - Di registrada. Canal amarelo.
24/09 - Ag. distribuição. DI distribuída para o fiscal Potiguara.
25/09 - Desembaraçado.</t>
    </r>
  </si>
  <si>
    <t>25/05 - Recebi docs. 
26/06 - Inf ref. Solicitei inf. p/ Expeditors.
05/06 - Recebi booking
Vessel: Cap Byron V2 
ETD :  17/06 
ETA :  02/07
06/07 - Ag. Presença de carga.
07/07 - Presença de carga ok. DI registrada. Ag. Parametrização.
08/07 - Canal verde. Madeira condenada. Enviado laudo a Santos.</t>
  </si>
  <si>
    <t>Mare Superum</t>
  </si>
  <si>
    <t>Kota Lawa</t>
  </si>
  <si>
    <t>18/01 - Recebida informação do embarque. 
19/01 - Enviada ref. Processo com o despachante. MAWB 045-75162043. Carga ainda não está prevista no mantra. Ag. ETA VCP.
21/01 - Carga prevista para hoje as 20h00.
22/01 - Carga chegou em 21/01 as 19h50. DI registrada. Canal verde.</t>
  </si>
  <si>
    <t>21/09 - ETA VCP 21/09 as 19h00. Processo com o despachante.
22/09 - Carga chegou em 21/09 as 19h40. Visado em 22/09 as 06h19. Di registrada. Canal verde.</t>
  </si>
  <si>
    <t>3547i09</t>
  </si>
  <si>
    <t>SZHF48667</t>
  </si>
  <si>
    <t>4600023989
4600023991</t>
  </si>
  <si>
    <t>D20110020037</t>
  </si>
  <si>
    <t>ULSSHZ21481</t>
  </si>
  <si>
    <t>EBP-9A0468</t>
  </si>
  <si>
    <r>
      <t xml:space="preserve">29/09 - Compradora informou sobre a nacionalização. </t>
    </r>
    <r>
      <rPr>
        <b/>
        <sz val="10"/>
        <rFont val="Arial"/>
        <family val="2"/>
      </rPr>
      <t xml:space="preserve">Carga deve ser entregue na fábrica em 01/10. </t>
    </r>
    <r>
      <rPr>
        <sz val="10"/>
        <rFont val="Arial"/>
        <family val="2"/>
      </rPr>
      <t>Processo com o despachante. Di registrada. Ag. Parametrização. Canal amarelo.</t>
    </r>
  </si>
  <si>
    <t>4577i09</t>
  </si>
  <si>
    <t>EBP-990280</t>
  </si>
  <si>
    <t>WSZSTS09090298</t>
  </si>
  <si>
    <t>4580i09</t>
  </si>
  <si>
    <t>S0909-11K</t>
  </si>
  <si>
    <t>4600017120
4600018319</t>
  </si>
  <si>
    <t>14/04 - emitindo LI sub.
20/04 - Pedi a compradora que o exportador envie autorização para inclusão de NCM no BL.
30/04 - Enviado termo de responsabilidade no malote.
06/05 - DI registrada. Canal amarelo.
07/05 - Ag. Desembaraço.
08/05 - Entregue p/ transporte. Instrução p/ entregar na segunda-feira, pois sábado não terá recebimento.
11/05 - Entregue.</t>
  </si>
  <si>
    <r>
      <t xml:space="preserve">30/10 - Recebido dctos da compradora.
06/11 - Enviado processo ao despachante. Solicitada </t>
    </r>
    <r>
      <rPr>
        <sz val="10"/>
        <color indexed="10"/>
        <rFont val="Arial"/>
        <family val="2"/>
      </rPr>
      <t xml:space="preserve">emissão de LI.
</t>
    </r>
    <r>
      <rPr>
        <sz val="10"/>
        <rFont val="Arial"/>
        <family val="2"/>
      </rPr>
      <t>16/11 - Li deferida.
17/11 - Compradora avisada. Solicitada cópia de BL. Recebido shipping advice. ETA SSZ 09/12. Ag. Cópia de BL.
26/11 - Recebido do despachante a cópia do BL.
08/12 - Navio previsto para hoje as 20h00. Navio atracou as 21h00.
09/12 - Cobrei dctos originais da compradora.
10/12 - Ag. inspeção do M.A. para desova. Dctos originais enviados no malote.
14/12 - DI registrada. Canal amarelo.
15/12 - Fiscal Miguel.
16/12 - Desembaraçada.
18/12 -  Documentação no registro, veículo aguardando chamada para carregamento.</t>
    </r>
  </si>
  <si>
    <t>21/06 - Recebido dctos da compradora. ETA SSZ 24/06.
24/06 - Processo enviado ao despachante. Navio atracou as 04h15. Ag. entrada do container no terminal. Invoice e PL originais enviados no malote.
25/06 - Aguardando descarga do container no terminal.
13/07 - DA registrada. Canal verde.
16/07 - CD 04672-10</t>
  </si>
  <si>
    <t>11/09 - Recebido docs do agente.
14/09 - Embarque da compradora Daniella. Carga chegou em VCP dia 12/09 as 16h00. Mantra visado em 14/09 a 00h25. Processo enviado a Itatrans. Ag. Registro.DI registrada. Ag. Parametrização.
15/09 - Canal verde.</t>
  </si>
  <si>
    <r>
      <t xml:space="preserve">16/10 - Recebido doctos da compradora.
23/10 - Processo enviado ao despachante. </t>
    </r>
    <r>
      <rPr>
        <b/>
        <sz val="10"/>
        <rFont val="Arial"/>
        <family val="2"/>
      </rPr>
      <t xml:space="preserve">ETA SSZ 26/10. </t>
    </r>
    <r>
      <rPr>
        <sz val="10"/>
        <rFont val="Arial"/>
        <family val="2"/>
      </rPr>
      <t>Agente informou que haverá troca de BL.
26/10 - Dctos originais enviados no malote.
27/10 - Navio atracou ontem. Carga no terminal ag. desconsolidação.
28/10 - Ag. inspeção do M.A para desova.
30/10 - Presença de carga OK. DI registrada. Canal verde.
03/11 - Caminhão no terminal ag. carregamento. Caminhão seguindo para a FBR. 13h40.</t>
    </r>
  </si>
  <si>
    <t>22/05 - Recebi docs. Draft enviado. Há necessidade de LI. Ag. Deferimento.
25/05 - Ag. Deferimento da LI.
26/05 - Ag. Deferimento da LI. Autorizado registro de DI com alteração no destaque. Terá que retificar.
27/05 - Ag. Parametrização. Canal verde. Entregue.
02/06 - Recebido Protocolo de retificação de DI.</t>
  </si>
  <si>
    <t>NE-5019i09</t>
  </si>
  <si>
    <t>GSZ09100011</t>
  </si>
  <si>
    <t>09/0997305-3</t>
  </si>
  <si>
    <t>Cap Serrat</t>
  </si>
  <si>
    <r>
      <t>RECOF</t>
    </r>
    <r>
      <rPr>
        <sz val="10"/>
        <rFont val="Arial"/>
        <family val="2"/>
      </rPr>
      <t xml:space="preserve">
04/02 - Container no terminal.
10/02 - Recebido dctos da compradora. Processo enviado ao despachante. Navio atracou em 04/02.
11/02 - DI registrada. Em análise fiscal.
12/02 - Canal verde. Inspeção de madeira hoje a tarde.
18/02 -</t>
    </r>
    <r>
      <rPr>
        <b/>
        <sz val="10"/>
        <rFont val="Arial"/>
        <family val="2"/>
      </rPr>
      <t xml:space="preserve"> Compradora informou que carga pode ser entregue em 24/02, porém armazenagem vence em 20/02. Será necessário trazer para a fábrica.</t>
    </r>
  </si>
  <si>
    <t>07/08 - Recebi docs da compradora. Carga estará pronta para coleta em 11/08.
10/08 - Compradora informou que carga já está pronta. Enviado a Expeditors. Ag. Retorno.
12/08 - Recebido HAWB da Expeditors. Processo com o despachante.
17/08 - MAWB 145-40771555. ETA VCP hoje as 17h00.
18/08 - Carga chegou ontem as 14h30. DI registrada. Canal verde.</t>
  </si>
  <si>
    <t>20/08 - Recebido docs. 
21/08 - Enviado draft. 
24/08 - DI registrada. Ag. parametrização. Em análise.
25/08 - Canal verde. NF enviada via motoboy.</t>
  </si>
  <si>
    <t>5001524725
5001524726</t>
  </si>
  <si>
    <t>SZHF52423</t>
  </si>
  <si>
    <r>
      <t xml:space="preserve">27/10 - Recebida informação do embarque. Compradora autorizou. Processo com o despachante. Ag. Invoice com o número completo. Ag. ETA SSZ.
05/11 - ETD: 12/11/09
</t>
    </r>
    <r>
      <rPr>
        <b/>
        <sz val="10"/>
        <rFont val="Arial"/>
        <family val="2"/>
      </rPr>
      <t xml:space="preserve">ETA: 06/12/09 
</t>
    </r>
    <r>
      <rPr>
        <sz val="10"/>
        <rFont val="Arial"/>
        <family val="2"/>
      </rPr>
      <t xml:space="preserve">11/11 - Recebida invoice com número correto.
12/11 - Enviada invoice ao despachante.
13/11 - Favor notar que esse navio atrasou e a saída prevista é dia 15/11. Expeditors informou que o </t>
    </r>
    <r>
      <rPr>
        <b/>
        <sz val="10"/>
        <rFont val="Arial"/>
        <family val="2"/>
      </rPr>
      <t xml:space="preserve">ETA SSZ é 09/12.
</t>
    </r>
    <r>
      <rPr>
        <sz val="10"/>
        <rFont val="Arial"/>
        <family val="2"/>
      </rPr>
      <t>19/11 - Recebida cópia de BL e PL revisado. Despachante em cópia.
08/12 - Navio previsto para hoje as 20h00. Dctos originais enviados no malote. Navio atracou as 21h00.
09/12 - Ag. desconsolidação.
10/12 - Ag. inspeção do M.A. para desova.
11/12 - Carga desovada, sem avarias. Di registrada. Ag. parametrização. Canal verde.
15/12 - Documentação no registro veículo aguardando chamada para carregamento.</t>
    </r>
  </si>
  <si>
    <t>A-4305i09</t>
  </si>
  <si>
    <t>03/08 - Recebido docs no final do dia.
04/08 - Enviada ref. E draft. DI registrada. Canal verde.</t>
  </si>
  <si>
    <t>Kinyo</t>
  </si>
  <si>
    <t>40i10</t>
  </si>
  <si>
    <t>F000170</t>
  </si>
  <si>
    <t>MAKS-1001201</t>
  </si>
  <si>
    <t>NE-41i10</t>
  </si>
  <si>
    <t>16/11 - Recebida informação do embarque. Autorizado TC6.
19/11 - Embarque previsto chegar em MIA dia 21/11.
24/11 - MAWB 369-36742996 - ETA: 25/11 aprox. 22:00hs.
25/11 - Carga chegou as 21h35.
26/11 - DI registrada. Ag. Parametrização. Canal verde. 5F. Haverá troca de pallet.</t>
  </si>
  <si>
    <r>
      <t xml:space="preserve">20/07 - Recebida cópia de BL do comprador.
22/07 - Aberta ref. Processo com o despachante. </t>
    </r>
    <r>
      <rPr>
        <b/>
        <sz val="10"/>
        <rFont val="Arial"/>
        <family val="2"/>
      </rPr>
      <t>ETA SSZ 26/07.</t>
    </r>
    <r>
      <rPr>
        <sz val="10"/>
        <rFont val="Arial"/>
        <family val="2"/>
      </rPr>
      <t xml:space="preserve"> Ag. invoice e PL. Tracking dos docs originais Fedex 9491 0659 8856.
23/07 - Docs entregues a D. Augusto. Pedi para recepção procurar esses docs.
24/07 - Recebida cópia de invoice e PL. Enviado ao despachante. Recebido docs originais. Enviados a Santos.
27/07 - Navio atracado. Ag. descarga e desova.
28/07 - DI registrada. Em análise fiscal. Verde.</t>
    </r>
  </si>
  <si>
    <r>
      <t xml:space="preserve">21/07 - Enviados docs originais no malote e ref. Ao despachante. </t>
    </r>
    <r>
      <rPr>
        <b/>
        <sz val="10"/>
        <rFont val="Arial"/>
        <family val="2"/>
      </rPr>
      <t xml:space="preserve">ETA SSZ 24/07.
</t>
    </r>
    <r>
      <rPr>
        <sz val="10"/>
        <rFont val="Arial"/>
        <family val="2"/>
      </rPr>
      <t>25/07 - Navio atracado.
27/07 - DI registrada. Ag. Parametrização.
28/07 - Canal verde.
29/07 - Compradora solicitou entrega para 05/08. Transportadora avisada.</t>
    </r>
  </si>
  <si>
    <t>6515i09</t>
  </si>
  <si>
    <t>SZHF51612</t>
  </si>
  <si>
    <t>10/0759068-0</t>
  </si>
  <si>
    <r>
      <t>31/07 - Recebido docs originais. Processo com o despachante.</t>
    </r>
    <r>
      <rPr>
        <b/>
        <sz val="10"/>
        <rFont val="Arial"/>
        <family val="2"/>
      </rPr>
      <t xml:space="preserve"> ETA SSZ 07/08.
</t>
    </r>
    <r>
      <rPr>
        <sz val="10"/>
        <rFont val="Arial"/>
        <family val="2"/>
      </rPr>
      <t>07/08 - Navio atrasou</t>
    </r>
    <r>
      <rPr>
        <b/>
        <sz val="10"/>
        <rFont val="Arial"/>
        <family val="2"/>
      </rPr>
      <t xml:space="preserve"> ETA para 08/08.
</t>
    </r>
    <r>
      <rPr>
        <sz val="10"/>
        <rFont val="Arial"/>
        <family val="2"/>
      </rPr>
      <t>10/08 - Existe 1 item da fatura com a soma errada. Pedi correção a compradora. Navio atracou em 09/08 a 00h01.
11/08 - DI registrada. Ag. parametrização.
12/08 - Canal verde.</t>
    </r>
  </si>
  <si>
    <t>A-3397i09</t>
  </si>
  <si>
    <t>B758560
B758362</t>
  </si>
  <si>
    <t>5UCY280</t>
  </si>
  <si>
    <t>A-3398i09</t>
  </si>
  <si>
    <t>B758479</t>
  </si>
  <si>
    <t>5UCY283</t>
  </si>
  <si>
    <t>A-3412i09</t>
  </si>
  <si>
    <t>100-010157</t>
  </si>
  <si>
    <t>A-3414i09</t>
  </si>
  <si>
    <t>XHB0980033</t>
  </si>
  <si>
    <t>MAX-HK512006</t>
  </si>
  <si>
    <r>
      <t xml:space="preserve">16/02 - Recebido dctos originais. Processo enviado ao despachante. </t>
    </r>
    <r>
      <rPr>
        <b/>
        <sz val="10"/>
        <rFont val="Arial"/>
        <family val="2"/>
      </rPr>
      <t>ETA SSZ 28/02.</t>
    </r>
    <r>
      <rPr>
        <sz val="10"/>
        <rFont val="Arial"/>
        <family val="2"/>
      </rPr>
      <t xml:space="preserve">
17/02 - Dctos originais enviados no malote.
23/02 -</t>
    </r>
    <r>
      <rPr>
        <b/>
        <sz val="10"/>
        <rFont val="Arial"/>
        <family val="2"/>
      </rPr>
      <t xml:space="preserve"> ETA SSZ 01/03.
</t>
    </r>
    <r>
      <rPr>
        <sz val="10"/>
        <rFont val="Arial"/>
        <family val="2"/>
      </rPr>
      <t xml:space="preserve">02/03 - Navio atracado.
03/03 - Container no terminal. Ag. desconsolidação. 
04/03 - Ag. desconsolidação. 
05/03 - Di registrada. Canal verde.
</t>
    </r>
    <r>
      <rPr>
        <b/>
        <sz val="10"/>
        <rFont val="Arial"/>
        <family val="2"/>
      </rPr>
      <t>08/03 - Comprador informou que a carga pode ser entregue em 12/03.</t>
    </r>
  </si>
  <si>
    <t>10/0816372-6</t>
  </si>
  <si>
    <r>
      <t>01/11 - Docs recebidos. Referência enviada. Autorizado TC6.
04/11 - Solicitado emissão de LI a despachante.
09/11 - Ag deferimento LI.
12/11 - Ag deferimento LI.
17/11 - Ag deferimento LI. Cobrei Itatrans. LI em análise.
18/11 - Li deferida. Embarque autorizado.
19/11 - Embarque previsto sair no vôo de segunda feira com a Lufthansa e sob Master 020-69625636. Ag. cópia de HAWB.
22/11 - MAWB: 020-69625636 
HAWB: 4394753317 
ETA em VCP: 23/11  aprox. às 23:00hs.
24/11 - Carga chegou hoje as 04h30. Ag. etapas do mantra para registro de DI.</t>
    </r>
    <r>
      <rPr>
        <sz val="9"/>
        <color indexed="10"/>
        <rFont val="Arial"/>
        <family val="2"/>
      </rPr>
      <t xml:space="preserve"> PASTA ENVIADA AO PAULO.</t>
    </r>
  </si>
  <si>
    <t>PAULO</t>
  </si>
  <si>
    <r>
      <t xml:space="preserve">11/12 - Recebido dctos da compradora.
14/12 - Processo enviado ao despachante.Solicitada </t>
    </r>
    <r>
      <rPr>
        <sz val="10"/>
        <color indexed="10"/>
        <rFont val="Arial"/>
        <family val="2"/>
      </rPr>
      <t>emissão de LI.</t>
    </r>
    <r>
      <rPr>
        <sz val="10"/>
        <rFont val="Arial"/>
        <family val="2"/>
      </rPr>
      <t xml:space="preserve"> </t>
    </r>
    <r>
      <rPr>
        <b/>
        <sz val="10"/>
        <rFont val="Arial"/>
        <family val="2"/>
      </rPr>
      <t xml:space="preserve">ETA SSZ 24/12.
</t>
    </r>
    <r>
      <rPr>
        <sz val="10"/>
        <rFont val="Arial"/>
        <family val="2"/>
      </rPr>
      <t>18/12 - LI deferida.
24/12 - Navio atracado.
28/12 - Presença de carga OK. DI registrada. Canal amarelo.
29/12 - Fiscal Renato.
30/12 - Desembaraçada. Inspeção de madeira em 04/01/2010. Compradora informou que já pode trazer em seguida para a fábrica.</t>
    </r>
  </si>
  <si>
    <t>6956i09</t>
  </si>
  <si>
    <t>Insland Circuits</t>
  </si>
  <si>
    <r>
      <t xml:space="preserve">26/10 - Solicitada emissão de LI
05/11 - Somente hoje descobrimos que a LI não tinha sido emitida. LI emitida hoje.
12/11 - Emitiram LI SUB, pois a 1ª caiu em exigência.
23/11 - Brasiliense informou que não há mais necessidade de LI para parafuso.
24/11 - Compradora avisada. Ag. detalhes do embarque.
</t>
    </r>
    <r>
      <rPr>
        <b/>
        <sz val="9"/>
        <color indexed="10"/>
        <rFont val="Arial"/>
        <family val="2"/>
      </rPr>
      <t>01/12 - Processo cancelado pois essa invoice será embarcada junto com o A-4978i09.</t>
    </r>
  </si>
  <si>
    <t>CANCELADO</t>
  </si>
  <si>
    <t>4600020979
4600021600</t>
  </si>
  <si>
    <t>94173901
94171685</t>
  </si>
  <si>
    <t>G9I104971</t>
  </si>
  <si>
    <t>23/11 - Recebida informação do embarque.
24/11 - Compradora autorizou.
25/11 - Enviada ref. Processo com o despachante.
26/11 - ETA VCP 01/12. Ag. Pré alerta.
30/11 - MAWB 020-21761596. ETA: 01/12 aprox. 07h00.
01/12 - Carga chegou as 04h30. Di registrada. Canal verde.</t>
  </si>
  <si>
    <t>6203i09</t>
  </si>
  <si>
    <t>4600021604
4600021605</t>
  </si>
  <si>
    <r>
      <t>11/02 - Recebido dctos da compradora.
16/02 - Processo enviado ao despachante. Solicitada</t>
    </r>
    <r>
      <rPr>
        <sz val="10"/>
        <color indexed="10"/>
        <rFont val="Arial"/>
        <family val="2"/>
      </rPr>
      <t xml:space="preserve"> emissão de LI. </t>
    </r>
    <r>
      <rPr>
        <sz val="10"/>
        <rFont val="Arial"/>
        <family val="2"/>
      </rPr>
      <t>Aguardando navio de transbordo e ETA SSZ.
17/02 -</t>
    </r>
    <r>
      <rPr>
        <b/>
        <sz val="10"/>
        <rFont val="Arial"/>
        <family val="2"/>
      </rPr>
      <t xml:space="preserve"> ETA SSZ 28/02.
</t>
    </r>
    <r>
      <rPr>
        <sz val="10"/>
        <rFont val="Arial"/>
        <family val="2"/>
      </rPr>
      <t xml:space="preserve">23/02 </t>
    </r>
    <r>
      <rPr>
        <b/>
        <sz val="10"/>
        <rFont val="Arial"/>
        <family val="2"/>
      </rPr>
      <t xml:space="preserve">- ETA SSZ 01/03.
</t>
    </r>
    <r>
      <rPr>
        <sz val="10"/>
        <rFont val="Arial"/>
        <family val="2"/>
      </rPr>
      <t>02/03 - Navio atracado.
03/03 - Ag. Entrada do container no terminal.Dctos originais enviados no malote.
08/03 - Di registrada. Canal amarelo.
09/03 - Fiscal Nilva.
11/03 - Desembaraçada.</t>
    </r>
  </si>
  <si>
    <t>07/12 - Recebida invoice e PL da compradora.
09/12 - Processo enviado ao despachante.Solicitada cópia de BL a compradora.
10/12 - Recebida cópia de BL.
14/12 - Enviada cópia de BL ao despachante. ETA SSZ 07/01/2010. Solicitada PO lines para checar se todas as NCMs estão no BL.
15/12 - Recebida PO lines. Divergência de valores. Ag. correção da compradora. Inv+PL originais enviados no malote.
23/12 - Solicitada NVE a Engenharia. Enviada NVE ao despachante.
05/01 - Questionei despachante sobre o BL original. BL original com o despachante.
07/01 - Navio previsto para as 21h00.
08/01 - Navio atracou a 00h40. Em operação (08h40).
11/01 - Desistência da avaria. DI registrada. Em análise fiscal.
12/01 - Canal verde.</t>
  </si>
  <si>
    <t>16/09 - Recebido docs do comprador.
18/09 - Enviada ref. Ao despachante. ETA VCP 19/09. Ag. Pré alerta. MAWB 369-3673 1855. ETA VCP 19/09 14H00.
21/09 - Carga não chegou a VCP. Previsão para 22/09. Ag. Confirmação. ETA VCP 22/09 14H00.
22/09 - Carga chegou as 13h52. Mantra visado as 23h27.
23/09 - DI registrada. Canal verde.</t>
  </si>
  <si>
    <t>07/06 - Recebido dctos da compradora. ETA SSZ 11/06.
11/06 - Navio atracado. Dctos originais enviados no malote.
14/06 - Enviada ref. Ao despachante.
18/06 - Despachante informou que estão faltando no bl as ncms 8504/8544.Solicitada inclusão junto a Maersk.
01/07 - DA registrada. Em análise fiscal.
02/07 - Canal verde.
06/07 - CD 04357-10</t>
  </si>
  <si>
    <t>07/06 - Recebido dctos da compradora. ETA SSZ 11/06.
11/06 - Navio atracado. Dctos originais enviados no malote.
14/06 - Enviada ref. Ao despachante.
18/06 - Despachante informou que estão faltando no bl as ncms 8504/8414/8544. Solicitada inclusão junto a Maersk.
01/07 - DA registrada. Em análise fiscal.
02/07 - Canal verde.
06/07 - CD 04356-10</t>
  </si>
  <si>
    <t>Armazenagem</t>
  </si>
  <si>
    <t>1213i10</t>
  </si>
  <si>
    <t>4600023339
4600023340
4600023343</t>
  </si>
  <si>
    <t>5001507786
5001506763
5001506762</t>
  </si>
  <si>
    <t>1214i10</t>
  </si>
  <si>
    <t>4600023975
4600023784
4600023974</t>
  </si>
  <si>
    <t>5001524671
5001524672
5001524673</t>
  </si>
  <si>
    <t>SZHF52520</t>
  </si>
  <si>
    <t>1215I10</t>
  </si>
  <si>
    <t>4600023784
4600023620</t>
  </si>
  <si>
    <t>06/08 - Recebido docs. Draft enviado. DI registrada. Canal amarelo.</t>
  </si>
  <si>
    <t>ABG-3291i09</t>
  </si>
  <si>
    <t>HP Malasia</t>
  </si>
  <si>
    <t>AAH0086079</t>
  </si>
  <si>
    <t>5QR2664</t>
  </si>
  <si>
    <t>SBG-3294i09</t>
  </si>
  <si>
    <t xml:space="preserve">HP </t>
  </si>
  <si>
    <t>AAH0086076
AAH0086077
AAH0086078</t>
  </si>
  <si>
    <t>6339-0438-906.042</t>
  </si>
  <si>
    <t>03/08 - Recebida invoices da compradora. Ag. Demais docs para providenciar o draft.
04/08 - Draft enviado. Ag. Registro. DI registrada. Ag. Parametrização.
05/08 - Canal verde.Ag. comprovante de pgto de ICMS e emissão de NF.
06/08 - Recebido comprovante de pgto de ICMS. Enviado ao despachante. Ag. liberação da carga.
07/08 - Processo OK para coleta. Foxconn Sorocaba avisada.</t>
  </si>
  <si>
    <t>S-1741i09</t>
  </si>
  <si>
    <t>S-1742i09</t>
  </si>
  <si>
    <t>S-1745i09</t>
  </si>
  <si>
    <t>S-1746i09</t>
  </si>
  <si>
    <t>15/01 - Recebida informação do embarque. 
19/01 - Enviada ref. Processo com o despachante. MAWB 045-75162032. Carga chegou em 17/01 as 23h45. DI registrada. Em análise fiscal.
20/01 - Canal verde.</t>
  </si>
  <si>
    <t>EBP-9C0264</t>
  </si>
  <si>
    <r>
      <t xml:space="preserve">28/07 - Recebida cópia de BL do agente. Processo com o despachante. Ag. linhas PO e docs originais. </t>
    </r>
    <r>
      <rPr>
        <b/>
        <sz val="10"/>
        <rFont val="Arial"/>
        <family val="2"/>
      </rPr>
      <t xml:space="preserve">ETA SSZ 05/08.
</t>
    </r>
    <r>
      <rPr>
        <sz val="10"/>
        <rFont val="Arial"/>
        <family val="2"/>
      </rPr>
      <t>29/07 - Recebido docs originais. Enviados a Santos. Solicitada</t>
    </r>
    <r>
      <rPr>
        <sz val="10"/>
        <color indexed="10"/>
        <rFont val="Arial"/>
        <family val="2"/>
      </rPr>
      <t xml:space="preserve"> emissão de LI.
</t>
    </r>
    <r>
      <rPr>
        <sz val="10"/>
        <rFont val="Arial"/>
        <family val="2"/>
      </rPr>
      <t>03/08 - Navio adiantou e atracou hoje.
04/08 - DI registrada. Canal amarelo.
06/08 - Di distribuída para o fiscal Rodriguez. Fiscal exigiu catálogo do material das adições 07 e 09, bem como alteração de NCM da adição 07 para 8504.40.30. Ag. retorno da Engenharia e Storillo.
10/08 - Cobrei Storillo. Storillo enviou explicações. Despachante providenciando dctos.
12/08 - Cobrei despachante.  
14/08 - Retificação de DI autorizada. Multa por descrição incompleta na DI. Reportei a gerência e Storillo.
18/08 - Desembaraçada.
19/08 - Inspeção de madeira hoje a tarde.</t>
    </r>
  </si>
  <si>
    <t>S-VMI-3567i09</t>
  </si>
  <si>
    <t>Felipe</t>
  </si>
  <si>
    <t>AUR/SSZ/001/09_2</t>
  </si>
  <si>
    <t>S-VMI-3568i09</t>
  </si>
  <si>
    <t>AAH0086457</t>
  </si>
  <si>
    <t>A-3263i09</t>
  </si>
  <si>
    <t>Fortune Grand</t>
  </si>
  <si>
    <t>FG090805</t>
  </si>
  <si>
    <t>AAH0086096</t>
  </si>
  <si>
    <t>AAH0086098</t>
  </si>
  <si>
    <r>
      <t>RECOF</t>
    </r>
    <r>
      <rPr>
        <sz val="10"/>
        <rFont val="Arial"/>
        <family val="2"/>
      </rPr>
      <t xml:space="preserve">
03/02 - Recebida informação do embarque. Compradora não autorizou pois a invoice está errada. Ag. Correção.
05/02 - Recebido dctos corretos. Compradora autorizou.
08/02 - Enviada ref. Processo com o despachante. </t>
    </r>
    <r>
      <rPr>
        <b/>
        <sz val="10"/>
        <rFont val="Arial"/>
        <family val="2"/>
      </rPr>
      <t xml:space="preserve">ETA SSZ 07/03.
</t>
    </r>
    <r>
      <rPr>
        <sz val="10"/>
        <rFont val="Arial"/>
        <family val="2"/>
      </rPr>
      <t xml:space="preserve">24/02 - Recebida cópia de BL e PL revisado. Despachante em cópia.
08/03 - Navio atracado.
09/03 - Ag. entrada do container no terminal.
15/03 - Valor do BL está divergente do mercante. Solicitei posição a Expeditors. Agente de cargas informou que haverá troca de BL para o frete correto. Despachante ciente.
16/03 - Di registrada. Canal verde.
</t>
    </r>
    <r>
      <rPr>
        <b/>
        <sz val="10"/>
        <rFont val="Arial"/>
        <family val="2"/>
      </rPr>
      <t>17/03 - Compradora informou que carga deve ser entregue em 22/03.</t>
    </r>
  </si>
  <si>
    <t>GHGI-090728002_3</t>
  </si>
  <si>
    <t>S-VMI-4862i09</t>
  </si>
  <si>
    <t>4600021366
4600021370</t>
  </si>
  <si>
    <t>2200001552_3</t>
  </si>
  <si>
    <t>E-30P09</t>
  </si>
  <si>
    <t>SZ1494845</t>
  </si>
  <si>
    <t>E-31P09</t>
  </si>
  <si>
    <t>SZ1494842</t>
  </si>
  <si>
    <t>S-1316i09</t>
  </si>
  <si>
    <t>S-1318i09</t>
  </si>
  <si>
    <t>AAH0089449
AAH0089450
AAH0089451
AAH0089452
AAH0089453
AAH0089454
AAH0089455
AAH0089456
AAH0089458
AAH0089459</t>
  </si>
  <si>
    <t>11/08 - Recebido docs. 
13/08 - Draft enviado.DI registrada.Ag. Parametrização.
14/08 - Canal amarelo. Ag. Fatura original da HP.
17/08 - Desembaraçada.</t>
  </si>
  <si>
    <r>
      <t>29/09 - Compradora enviou invoice ao agente solicitando coleta.
05/10 - Processo enviado ao despachante.</t>
    </r>
    <r>
      <rPr>
        <b/>
        <sz val="10"/>
        <rFont val="Arial"/>
        <family val="2"/>
      </rPr>
      <t xml:space="preserve"> ETA SSZ 20/10.</t>
    </r>
    <r>
      <rPr>
        <sz val="10"/>
        <rFont val="Arial"/>
        <family val="2"/>
      </rPr>
      <t xml:space="preserve"> Ag. Cópia do BL. Questionei compradora sobre o fabricante correto.
20/10 - Questionei agente de cargas. Nobel informou que houve atraso no navio e tem novo</t>
    </r>
    <r>
      <rPr>
        <b/>
        <sz val="10"/>
        <rFont val="Arial"/>
        <family val="2"/>
      </rPr>
      <t xml:space="preserve"> ETA para 27/10. </t>
    </r>
    <r>
      <rPr>
        <sz val="10"/>
        <rFont val="Arial"/>
        <family val="2"/>
      </rPr>
      <t xml:space="preserve">Ag. cópia do BL.
27/10 - Recebido BL. </t>
    </r>
    <r>
      <rPr>
        <b/>
        <sz val="10"/>
        <rFont val="Arial"/>
        <family val="2"/>
      </rPr>
      <t xml:space="preserve">Novo ETA SSZ 28/10.
</t>
    </r>
    <r>
      <rPr>
        <sz val="10"/>
        <rFont val="Arial"/>
        <family val="2"/>
      </rPr>
      <t>30/10 - Navio atracado.
04/11 - Di registrada. Canal verde.</t>
    </r>
  </si>
  <si>
    <r>
      <t>RECOF</t>
    </r>
    <r>
      <rPr>
        <sz val="10"/>
        <rFont val="Arial"/>
        <family val="2"/>
      </rPr>
      <t xml:space="preserve">
05/01 - Compradora enviou dctos.
14/01 - Solicitada cópia de HAWB.
18/01 - Recebido HAWB. Carga chegou em 10/01 as 23h50. Alerta 22. Divergência de peso. Ag. Vendor confirmar se as 2 invoices foram embarcadas juntas.
20/01 - Recebida confirmação do vendor em relação as invoices. Enviada ref. ao despachante.
21/01 - Solicitado dctos originais a compradora para entrada na RF e desistência de vistoria.
03/02 - Recebido dctos originais. Enviados a VCP via motoboy.
08/02 - DI registrada. Canal amarelo.
10/02 - Fiscal Henrique.
12/02 - Desembaraçada.</t>
    </r>
  </si>
  <si>
    <t>1121i10</t>
  </si>
  <si>
    <t>FSH0358</t>
  </si>
  <si>
    <t>1122i10</t>
  </si>
  <si>
    <t>E-8P10</t>
  </si>
  <si>
    <t>4600026515
4600026076
4600026516</t>
  </si>
  <si>
    <t>5001635735
5001632623
5001632287</t>
  </si>
  <si>
    <t>17/07 - Recebidas invoices.
21/07 - Enviados docs originais a SSZ. Enviadas refs. ETA SSZ 24/07.
25/07 - Navio atracado.
29/07 - DA registrada. Ag. Parametrização.Canal amarelo.
30/07 - LI deferida.
03/08 - Desembaraçada. Ag. CD.
05/08 - CD 04234-09</t>
  </si>
  <si>
    <t>E-13P10</t>
  </si>
  <si>
    <t>4600028055
4600028056
4600028057
4600027963</t>
  </si>
  <si>
    <t>5001727038
5001727056
5001727081
5001730404</t>
  </si>
  <si>
    <t>20/10 - Recebida invoices.
22/10 - Processo enviado ao despachante. Draft enviado. DI registrada. 
23/10 - Canal verde. Enviado ICMS para pagamento.
26/10 - Solicitada emissão de NF. Enviado comprovante de pgto de ICMS ao despachante.</t>
  </si>
  <si>
    <t>07/07 - Recebida invoice.
09/07 - Enviados originais a SSZ.
13/07 - Enviada ref.  ETA SSZ 18/07.
20/07 - Navio atracou em 18/07. Ag. Descarga e desova.
21/07 - Di registrada. Ag. Parametrização.
22/07 - Canal verde.</t>
  </si>
  <si>
    <t>07/05 - Recebido docs. Draft enviado. DI registrada.
08/05 - Canal verde.Entregue</t>
  </si>
  <si>
    <r>
      <t>RECOF.</t>
    </r>
    <r>
      <rPr>
        <sz val="10"/>
        <rFont val="Arial"/>
        <family val="2"/>
      </rPr>
      <t xml:space="preserve">
02/02 - Recebida informação do embarque. Compradora autorizou.
05/02 - Enviada ref.  Processo com o despachante.
08/02 - Embarque previsto chegar em MIA dia 10/02.
12/02 - Recebida invoice original. Em caso de canal diferente de verde, deverá ser enviada a VCP.
15/02 - MAWB 404-22498405. ETA: 15/02 aprox. 17:00hs.
16/02 - Carga chegou em 15/02 as 13h40.  Di registrada. Em análise fiscal.
17/02 - Canal verde.</t>
    </r>
  </si>
  <si>
    <t>BSHEA0907003</t>
  </si>
  <si>
    <r>
      <t xml:space="preserve">29/07 - Recebido docs originais. Enviados a Santos. </t>
    </r>
    <r>
      <rPr>
        <b/>
        <sz val="10"/>
        <rFont val="Arial"/>
        <family val="2"/>
      </rPr>
      <t xml:space="preserve">ETA SSZ 16/08.
</t>
    </r>
    <r>
      <rPr>
        <sz val="10"/>
        <rFont val="Arial"/>
        <family val="2"/>
      </rPr>
      <t>17/08 - Navio atracado.
18/08 - Ag. Autorização para desova. Itens ainda não estão com fabricantes. Ag. retorno de compras.
19/08 - Ag. Autorização para desova. Fabricantes OK. Draft enviado.
20/08 - Fabricantes errados. Ag. correção.
25/08 - Fabricantes continuam errados. Solicitei ajuda a compradora. Recebida invoice com fabricantes corretos. Enviado ao despachante. DI registrada. Ag. parametrização.
26/08 - Canal verde.</t>
    </r>
  </si>
  <si>
    <t>S-VMI-3729i09</t>
  </si>
  <si>
    <t>AAH0086859</t>
  </si>
  <si>
    <t>MOLU543141469</t>
  </si>
  <si>
    <t>14/07 - Docs Recebidos
15/07 - Divergência de incoterm. Ag. Definição para seguir com o processo.
17/07 - Definido processo. Docs com o despachante.  DI registrada. Ag. Parametrização.
20/07 - Canal verde. Ag. Comprovante de pgto de ICMS.
21/07 - Enviado comprovante de ICMS. Carga OK para carregamento. 17h40.</t>
  </si>
  <si>
    <t>2943i09</t>
  </si>
  <si>
    <t>SZHF48442</t>
  </si>
  <si>
    <t>2944i09</t>
  </si>
  <si>
    <t>4600018043
4600017120</t>
  </si>
  <si>
    <t>5001310439
5001310434
5001310435</t>
  </si>
  <si>
    <t>SZHF48334</t>
  </si>
  <si>
    <t>2945I09</t>
  </si>
  <si>
    <t>SZHF48332</t>
  </si>
  <si>
    <t>100-010339</t>
  </si>
  <si>
    <t>6385i09</t>
  </si>
  <si>
    <t>CNV-9A0025</t>
  </si>
  <si>
    <t>09/1720544-2</t>
  </si>
  <si>
    <t>20/10 - Recebida invoices.
22/10 - Processo enviado ao despachante.
23/10 - Draft enviado. DI registrada. Canal verde. Enviado ICMS para pagamento.
26/10 - Solicitada emissão de NF.  Enviado comprovante de pgto de ICMS ao despachante.</t>
  </si>
  <si>
    <t>SBG-5412i09</t>
  </si>
  <si>
    <t>AAH0089401
AAH0089404
AAH0089405
AAH0089407
AAH0089408</t>
  </si>
  <si>
    <t>6339-0442-909.020</t>
  </si>
  <si>
    <t>SBG-5414i09</t>
  </si>
  <si>
    <t>27/07 - Recebido docs. Ag, confirmação do PN para enviar o draft. Draft enviado. DI registrada. 
28/07 - Canal vermelho.
30/07 - Desembaraçada.</t>
  </si>
  <si>
    <t>NE-3118i09</t>
  </si>
  <si>
    <t>NE-3119i09</t>
  </si>
  <si>
    <t>NE-2894i09</t>
  </si>
  <si>
    <t>S-VMI-2869i09</t>
  </si>
  <si>
    <t>Chicony</t>
  </si>
  <si>
    <t>15/10 - Recebida informação do embarque. Compradora autorizou.
21/10 - Enviada ref. Processo com o despachante.  ETA SSZ 21/11.
27/10 - Expeditors informou que o ETA SSZ mudou para 15/11.
09/11 - Solicitei linhas de PO a compradora.
12/11 - Questionei compradora sobre os dctos originais.
13/11 - Valor do PO não bate com a invoice. Questionei compradora.
16/11 - Navio previsto para hoje as 13h00. Navio atracou as 13h25.
17/11 - Container no terminal. Despachante informou que os países do draft estão divergentes da invoice. Questionei compras. Compradora informou que a invoice está errada. Ag. correta. Despachante avisado. Dctos originais enviados no malote. recebida invoice correta. Presença de carga OK.
18/11 - Enviada invoice ao despachante. Despachante informou que ainda há divergência. Questionei compradora. Recebida invoice correta (16h30). Enviado ao despachante. DI registrada. Em análise fiscal.
19/11 - Canal verde.</t>
  </si>
  <si>
    <t>NE-5907i09</t>
  </si>
  <si>
    <t>5913i09</t>
  </si>
  <si>
    <t>PG795666</t>
  </si>
  <si>
    <t>5UDY084</t>
  </si>
  <si>
    <t>10/11 - Comprador informou sobre a puxada. Ag. Remoção e registro da DA para posterior registro de DI. Comprador ciente.
16/11 - Compradora incluiu mais uma invoice nessa nacionalização.
17/11 - Despachante avisado. DA desembaraçada.
18/11 - Di registrada. Canal amarelo.
19/11 - Fiscal Renato. Desembaraçada.</t>
  </si>
  <si>
    <t>Cap Prior</t>
  </si>
  <si>
    <r>
      <t xml:space="preserve">27/08 - Recebida informação do embarque. </t>
    </r>
    <r>
      <rPr>
        <b/>
        <sz val="9"/>
        <rFont val="Arial"/>
        <family val="2"/>
      </rPr>
      <t>ETA VCP 28/08.</t>
    </r>
    <r>
      <rPr>
        <sz val="9"/>
        <rFont val="Arial"/>
        <family val="2"/>
      </rPr>
      <t xml:space="preserve">
28/08 - Enviada processo ao despachante. Ag. Confirmação de chegada.
31/08 - Carga chegou em 28/08 as 19h15.
01/09 - Di registrada. Canal verde. Nfe não foi emitida devido a problemas no dpto. fiscal.</t>
    </r>
  </si>
  <si>
    <t>29/10 - Navio atracado.
30/10 - Divergência de peso. Solicitada repesagem.
05/11 - A divergência de peso persiste, porém com menos de 10%. Seguiremos com a DTA.
12/11 - Veículo no terminal ag. Carregamento para subir para o Libra.
13/11 - Presença de carga OK.
16/12 - Compradora solicitou nacionalização.
17/12 - Despachante avisado. DI registrada. Canal verde.</t>
  </si>
  <si>
    <t>08/1506561-7</t>
  </si>
  <si>
    <t>16/04 - Recebida invoice da compradora.
20/04 - Enviada ref. Ao despachante. Ag. Atracação, prevista para 21/04.
24/04 - Navio atrasou. Ag. Atracação prevista para hoje.
25/04 - AG. DESCARGA PRA PROV. DTA.
27/04 - LI deferida.
04/05 - Remoção prevista para hoje.
06/05 - DA registrada. Ag. parametrização.
07/05 - Canal amarelo. Em analise – Fiscal Tozzi. Desembaraçada – AG. CD
08/05 - CD 02578-09</t>
  </si>
  <si>
    <t>IVC29968</t>
  </si>
  <si>
    <t>S-VMI-3825i09</t>
  </si>
  <si>
    <t>AAH0086984</t>
  </si>
  <si>
    <t>17/09 - Recebido docs. 
18/09 - Divergência de preço entre PO e Invoice. Ag. Retorno compras. Draft enviado. Di registrada. Canal amarelo.
22/09 - Desembaraçada.</t>
  </si>
  <si>
    <t>08/02 - Recebida informação do embarque. Comprador informou que não deve ser embarcado pois não há autorização.
11/02 - Comprador autorizou embarque. 
12/02 - Agente de cargas informou que a carga será entregue no armazém em 19/02.
16/02 - Enviada ref. Processo com o despachante.
19/02 - Maxfreight informou que a carga vai chegar ao armazém em 20/02.
24/02 - MAWB 307-3299 2352. ETA VCP 26/02 03:00.
26/02 - Carga chegou em 25/02 as 22h56. DI registrada. Canal verde.</t>
  </si>
  <si>
    <t>1354i10</t>
  </si>
  <si>
    <t>595-100409</t>
  </si>
  <si>
    <t>NE-3845i09</t>
  </si>
  <si>
    <t>NE-3846i09</t>
  </si>
  <si>
    <t>AH9Y9M003</t>
  </si>
  <si>
    <t>A-3894i09</t>
  </si>
  <si>
    <t>PG766377</t>
  </si>
  <si>
    <t>5UDG656</t>
  </si>
  <si>
    <t>A-3895i09</t>
  </si>
  <si>
    <t>PG766374</t>
  </si>
  <si>
    <t>5UDF528</t>
  </si>
  <si>
    <t>5978i09</t>
  </si>
  <si>
    <t>22/05 - Recebi docs. Draft enviado. DI registrada. Ag. Parametrização.
25/05 - Canal verde. 
26/06 - Entregue.</t>
  </si>
  <si>
    <t>4600017925
4600017928</t>
  </si>
  <si>
    <t>RELEASE REF</t>
  </si>
  <si>
    <t>Responsible Buyer</t>
  </si>
  <si>
    <t>Value</t>
  </si>
  <si>
    <t>05/05 - Recebi PO. 
06/05 - Recebi docs. Inf ref.
25/05 - Solicitei docs originais p/ Reynaldo, pois o BL está errado e tem que fazer a troca.
26/05 - Cobrei documentação. Recebi docs. Enviado p/ Santos. Navio previsto p/ chegar em Santos dia 06/06.
08/06 - Navio atracado. Ag. desconsolidação.
12/06 a 15/06 - Ag. descolsolidação. 
16/06 - Original está em contato com a Expeditors. Desova prevista para ser concluída hoje.
17/06 - Carga avariada. Enviado ao Leonardo. Liberado p/ prosseguir c/ o desembaraço. DI registrada. Ag. parametrização.
18/06 - Canal verde.
19/06 - Entregue.</t>
  </si>
  <si>
    <t>24/07 - Recebido docs. Enviado draft ao Aurora.Di registrada. 
Ag. Parametrização.
27/07 - Desembaraçado.</t>
  </si>
  <si>
    <t>13/08 - Recebida invoice.
14/08 - Enviado draft. DI registrada. Ag. Parametrização.
17/08 - Canal verde.</t>
  </si>
  <si>
    <t>09/12 - Recebida informação do embarque. 
10/12 - Compradora autorizou.
11/12 - Enviada ref. Processo com o despachante.
17/12 - MAWB: 172 75855975. Carga chegou a 00h30.DI registrada. Canal vermelho. Solicitado invoice e PL originais a compradora.
18/12 - Invoice+PL enviados via motoboy.
23/12 - Fiscal Cabral.
28/12 - Redistribuído para fiscal Cintia.
29/12 - Desembaraçada.</t>
  </si>
  <si>
    <t>Diferença nas quantidades do embarque NE-922i09 (puxada do E-6696/2008).
21/05- DI registrada, canal verde. Entregue</t>
  </si>
  <si>
    <t>06/05 - Recebido docs. DA aguardando parametrização. Canal amarelo.
07/05 - Ag. Desmbaraço da DA p/ prosseguir com o registro.
08/05 - Ag. Distribuição.
11/05 - Desembaraçada. Entregue.</t>
  </si>
  <si>
    <t>3035i09</t>
  </si>
  <si>
    <t>4120185740
4120185753</t>
  </si>
  <si>
    <t>20/01 - Recebida informação do embarque. Compradora autorizou e informou que a invoice está errada.
21/01 - Enviada ref. Processo com o despachante. Solicitada inclusão do CNPJ no HAWB. Ag. Novos dctos da compradora. Recebido HAWB com o CNPJ. MAWB 404-21743164
22/01 - Recebido dctos corretos da compradora.
26/01 - Enviados dctos corretos ao despachante. Carga chegou em 22/01 as 22h32. DI registrada. Canal verde.</t>
  </si>
  <si>
    <t>586i10</t>
  </si>
  <si>
    <t>SZHF52099</t>
  </si>
  <si>
    <r>
      <t>06/05 - Presença de carga OK. Despachante informou que tem</t>
    </r>
    <r>
      <rPr>
        <sz val="10"/>
        <color indexed="10"/>
        <rFont val="Arial"/>
        <family val="2"/>
      </rPr>
      <t xml:space="preserve"> LI. Ag. Emissão
</t>
    </r>
    <r>
      <rPr>
        <sz val="10"/>
        <rFont val="Arial"/>
        <family val="2"/>
      </rPr>
      <t>12/05 - LI deferida. 
13/05 - Não registrou devido ao erro no BL.
14/05 -  Compradora  irá solicitar que o exportador envie autorização para inclusão de NCM no BL. Será enviado o termo de responsabilidade hoje. Enviado termo p/ reconhecer firma no cartório.
15/05 - Termo  enviado p/ Original hoje.
18/05 - Retificação foi efetuada via sistema na sexta feira. Ag. deferimento por parte da DRF e o BL corrigido pelo porto de origem para que possamos efetuar a troca.
19/05 - Ag. deferimento por parte da DRF e o BL corrigido pelo porto de origem para que possamos efetuar a troca.
20/05 - Di registrada.
21/05 - Canal amarelo. Ag. desembaraço. Após o desembaraço terá inspeção da madeira.
22/05 - Distribuido p/ fiscal José Renato. Ag. desembaraço.
25/05 - Ag. desembaraço. Após o desembaraço terá inspeção da madeira. 
26/05 - Entregue.</t>
    </r>
  </si>
  <si>
    <t>Cap Harriet</t>
  </si>
  <si>
    <t>CMA CGM Kingston</t>
  </si>
  <si>
    <t>SZHF47249</t>
  </si>
  <si>
    <t>SZ1499673</t>
  </si>
  <si>
    <r>
      <t xml:space="preserve">05/05 - Recebi docs. Previsto p/ chegar em Santos 23/05.
</t>
    </r>
    <r>
      <rPr>
        <b/>
        <sz val="10"/>
        <rFont val="Arial"/>
        <family val="2"/>
      </rPr>
      <t xml:space="preserve">Necessidade FOX 29/05.
</t>
    </r>
    <r>
      <rPr>
        <sz val="10"/>
        <rFont val="Arial"/>
        <family val="2"/>
      </rPr>
      <t>12/05 - Enviado docs p/ Santos.
25/05 - AG. DESCONSOLIDAÇÃO. Registro autorizado.
26/06 - Presença de carga OK. DI registrada. Canal verde.
27/05 - Inspeção da madeira.
28/05 - Entregue.</t>
    </r>
  </si>
  <si>
    <t>25/08 - Recebido docs. Enviado draft. DI registrada. Ag. Parametrização.
26/08 - Canal amarelo. Enviada NF via motoboy. Desembaraçado.</t>
  </si>
  <si>
    <r>
      <t xml:space="preserve">16/11 - Recebido dctos.
17/11 - Processo enviado ao despachante. </t>
    </r>
    <r>
      <rPr>
        <b/>
        <sz val="10"/>
        <rFont val="Arial"/>
        <family val="2"/>
      </rPr>
      <t xml:space="preserve">ETA SSZ 19/11.
</t>
    </r>
    <r>
      <rPr>
        <sz val="10"/>
        <rFont val="Arial"/>
        <family val="2"/>
      </rPr>
      <t>19/11 - Navio atracou as 07h00.
23/11 - Presença de carga OK no final do dia.
24/11 - DI registrada. Canal verde. Inspeção de madeira amanhã a tarde. Carga será entregue em 26/11.
26/11 - Caminhão a caminho da Foxconn.</t>
    </r>
  </si>
  <si>
    <t>29/09 -  Recebido dctos.
02/10 - Draft enviado. DI registrada. Canal amarelo.
06/10 - Desembaraçado.</t>
  </si>
  <si>
    <t>A-VMI-3037i09</t>
  </si>
  <si>
    <t>HP Seagate</t>
  </si>
  <si>
    <t>AAH0085610</t>
  </si>
  <si>
    <t>AH9Y8M107</t>
  </si>
  <si>
    <t>A-3385i09</t>
  </si>
  <si>
    <t>I/O Interconnect</t>
  </si>
  <si>
    <t>S-VMI-3386i09</t>
  </si>
  <si>
    <r>
      <t xml:space="preserve">26/08 - Recebido docs da compradora.
28/08 - Recebido HAWB. </t>
    </r>
    <r>
      <rPr>
        <b/>
        <sz val="9"/>
        <rFont val="Arial"/>
        <family val="2"/>
      </rPr>
      <t>ETA VCP 02/09.</t>
    </r>
    <r>
      <rPr>
        <sz val="9"/>
        <rFont val="Arial"/>
        <family val="2"/>
      </rPr>
      <t xml:space="preserve">
31/08 - Processo enviado ao despachante. Questionei compras sobre o fabricante. Se realmente for China, será necessário LI.
08/09 - Carga chegou em 01/09 as 20h20. Visado em 02/09 a 00h38. 
10/09 - Compradora informou que será necessário emissão de LI.
11/09 - Enviado ao despachante. Solicitada </t>
    </r>
    <r>
      <rPr>
        <sz val="9"/>
        <color indexed="10"/>
        <rFont val="Arial"/>
        <family val="2"/>
      </rPr>
      <t xml:space="preserve">emissão de LI.
</t>
    </r>
    <r>
      <rPr>
        <sz val="9"/>
        <rFont val="Arial"/>
        <family val="2"/>
      </rPr>
      <t>18/09 - LI deferida. Di registrada. Canal amarelo.
22/09 - Fiscal Maria Rita. Em análise.
23/09 - Desembaraçada.
24/09 - Despachante informou que fiscal desembaraçou erroneamente. Ag. pgto de multa por LI posterior para desembaraço da carga.</t>
    </r>
  </si>
  <si>
    <r>
      <t xml:space="preserve">21/09 - Recebido docs.Enviada ref. Ao despachante. </t>
    </r>
    <r>
      <rPr>
        <b/>
        <sz val="10"/>
        <rFont val="Arial"/>
        <family val="2"/>
      </rPr>
      <t xml:space="preserve">ETA SSZ 24/09.
</t>
    </r>
    <r>
      <rPr>
        <sz val="10"/>
        <rFont val="Arial"/>
        <family val="2"/>
      </rPr>
      <t>28/09 - Navio atracou hoje.
02/10 - DA registrada. Canal amarelo.
05/10 - Fiscal Tozzi. Em análise.
06/10 - Desembaraçada. CD 05588-09</t>
    </r>
  </si>
  <si>
    <t>02/10 -  Recebido dctos. Draft enviado.
06/10 - Di registrada. Ag. Parametrização. Canal verde.</t>
  </si>
  <si>
    <t>21/09 - Carga chegou 21/09 as 03h50. Mantra visado as 11h37. Processo com o despachante Itatrans. Di registrada. Canal verde.</t>
  </si>
  <si>
    <t>23753A</t>
  </si>
  <si>
    <t>Alvsborg Bridge</t>
  </si>
  <si>
    <t>6284i09</t>
  </si>
  <si>
    <t>FSH0196</t>
  </si>
  <si>
    <t>MAXSZ512767</t>
  </si>
  <si>
    <r>
      <t>Ag. Autorização do comprador para registro de DI.
22/07 - Compradora solicitou registro de DI. LI vencida. Ag.</t>
    </r>
    <r>
      <rPr>
        <sz val="10"/>
        <color indexed="10"/>
        <rFont val="Arial"/>
        <family val="2"/>
      </rPr>
      <t xml:space="preserve"> Emissão e deferimento</t>
    </r>
    <r>
      <rPr>
        <sz val="10"/>
        <rFont val="Arial"/>
        <family val="2"/>
      </rPr>
      <t xml:space="preserve"> de uma nova.
24/07 - Di registrada. Canal amarelo.
27/07 - Ag. Distribuição.
28/07 - Desembaraçada.</t>
    </r>
  </si>
  <si>
    <t>P741043</t>
  </si>
  <si>
    <t>CNV-950029</t>
  </si>
  <si>
    <t>Longwell</t>
  </si>
  <si>
    <t>6150i09</t>
  </si>
  <si>
    <t>5284i09</t>
  </si>
  <si>
    <t>SZHF49838</t>
  </si>
  <si>
    <t>06/11 - Recebida informação do embarque. Compradora autorizou.
10/11 - Enviada ref. Processo com o despachante. Recebida tarifa para aprovação. Ag. Confirmação da compradora qual o incoterm.
11/11 - Incoterm FCA. Tarifa aprovada junto a Expeditors. ETA SSZ 13/12.
23/11 - Expeditors passou a seguinte informação: Due to bad weather.Carrier advise vessel on board delay on  25-NOV-2009.
30/11 - Expeditors informou que devido ao mal tempo em HK o ETA foi alterado para 17/12.
01/12 - Recebida cópia de BL.
14/12 - Despachante informou que navio atrasou e está esperado para 16/12.
16/12 - Despachante informou que navio está esperado para amanhã as 07h00.
17/12 - Navio esperado para hoje as 10h00. Navio atracado.
18/12 - Container no terminal. Ag. desconsolidação.
21/12 -  Ag. desconsolidação.
22/12 - Aguardando inspeção do MA para posterior desova.
23/12 - Container desovado. DI registrada. Canal verde.
28/12 - Dctos por parte do armador estão errados. Ag. ação da Expeditors.
29/12 - Cobrei Expeditors. Processo OK. Terminal sem sistema - 15h30.</t>
  </si>
  <si>
    <t>5001417111
5001417119
5001417240</t>
  </si>
  <si>
    <t>SZHF51030</t>
  </si>
  <si>
    <t>5304i08</t>
  </si>
  <si>
    <t>03/09 - Recebido docs. Comprador autorizou.
04/09 - Enviada ref. Processo com o despachante. 
15/09 - MAWB: 145-4077 3515. ETA VCP:17/09 aprox.22:00h.
18/09 - Carga chegou em 16/09 a 00h50. Mantra visado em 16/09 as 06h43. DI registrada. Em análise fiscal.
21/09 - Canal verde.</t>
  </si>
  <si>
    <t>29/09 -  Recebido dctos.
30/09 - Draft enviado. Di será registrada amanhã devido ao fechamento do mês.
01/10 - DI registrada. Ag. Parametrização. Canal amarelo.
02/10 - Desembaraçada.</t>
  </si>
  <si>
    <t>29/09 -  Recebido dctos.
01/10 - Draft enviado. Di registrada. Canal amarelo.
02/10 - Desembaraçada.</t>
  </si>
  <si>
    <t>NE-4660i09</t>
  </si>
  <si>
    <t>NE-4661i09</t>
  </si>
  <si>
    <r>
      <t xml:space="preserve">22/01 - Recebido dctos da compradora.
26/01 - Processo enviado ao despachante. </t>
    </r>
    <r>
      <rPr>
        <b/>
        <sz val="10"/>
        <rFont val="Arial"/>
        <family val="2"/>
      </rPr>
      <t xml:space="preserve">ETA SSZ 28/01.
</t>
    </r>
    <r>
      <rPr>
        <sz val="10"/>
        <rFont val="Arial"/>
        <family val="2"/>
      </rPr>
      <t>28/01 - Navio atracou as 08h30.
29/01 - Ag. Entrada do container no terminal.
03/02 - Remoção prevista para amanhã.
04/02 - Carga está sendo removida.
05/02 - Presença de carga OK.
08/02 - Compradora solicitou nacionalização para 12/02.
11/02 - Despachante avisado. DI registrada. Canal verde.</t>
    </r>
  </si>
  <si>
    <t>1091i10</t>
  </si>
  <si>
    <t>29/03 - Navio atracou.
30/03 - Desistência de vistoria. Ag. Remoção.
03/04 - Carga no Libra. Ag. Presença.
08/04 - Presença de carga OK. DA registrada. Ag. Parametrização.
09/04 - Canal verde. Ag. CD.
15/04 - CD 02129-09.</t>
  </si>
  <si>
    <t>6770i09</t>
  </si>
  <si>
    <t>PG804842</t>
  </si>
  <si>
    <t>96877RO/2</t>
  </si>
  <si>
    <t>2528i09</t>
  </si>
  <si>
    <t>P731678</t>
  </si>
  <si>
    <t>DGG027661</t>
  </si>
  <si>
    <t>SZ1493810</t>
  </si>
  <si>
    <t>SZ1494835</t>
  </si>
  <si>
    <t>SZHF47365</t>
  </si>
  <si>
    <t>SZ1499647</t>
  </si>
  <si>
    <t>FUL0005421</t>
  </si>
  <si>
    <t>Guilherme</t>
  </si>
  <si>
    <t>KC-9221</t>
  </si>
  <si>
    <t>PG735975</t>
  </si>
  <si>
    <t>FUL0007570
FUL0007571</t>
  </si>
  <si>
    <t>16/10 - Compradora informou sobre nacionalização.
19/10 - Processo com o despachante. DI registrada. Canal vermelho. Solicitada invoice original a compradora.
20/10 - Enviada invoice original ao Libra via motoboy. Fiscal Leal.
21/10 - Desembaraçada.</t>
  </si>
  <si>
    <t>5047i09</t>
  </si>
  <si>
    <t>EBP-9A0133</t>
  </si>
  <si>
    <r>
      <t>Black Gold já com diferimento de ICMS.</t>
    </r>
    <r>
      <rPr>
        <sz val="9"/>
        <rFont val="Arial"/>
        <family val="2"/>
      </rPr>
      <t xml:space="preserve">
05/11 - Recebido dctos.
09/11 - Processo enviado ao despachante.
10/11 - Draft enviado. DI registrada. Em análise fiscal.
11/11 - Canal verde. Solicitada emissão de Nfe.</t>
    </r>
  </si>
  <si>
    <t>NE-5672i09</t>
  </si>
  <si>
    <t>07/10 - Compradora informou sobre a nacionalização. Processo com o despachante.
08/10 - Di registrada. Canal verde.</t>
  </si>
  <si>
    <t>A-VMI-4756i09</t>
  </si>
  <si>
    <t>AAH0088606</t>
  </si>
  <si>
    <t>A-VMI-4757i09</t>
  </si>
  <si>
    <t>AAH0088610</t>
  </si>
  <si>
    <t>DGG030057</t>
  </si>
  <si>
    <t>Ag. Autorização do comprador para registro de DI.
30/07 - Compradora solicitou registro de DI. DI registrada. Canal verde.
31/07 - Entrega programada para 03/08 devido ao fechamento do mês.</t>
  </si>
  <si>
    <t>6651i09</t>
  </si>
  <si>
    <t>4600022217
4600022509</t>
  </si>
  <si>
    <t>D2009120020</t>
  </si>
  <si>
    <t>ULSSHZ20566</t>
  </si>
  <si>
    <t>Mol Wisdom</t>
  </si>
  <si>
    <t>08/02 - Recebida informação do embarque. Compradora autorizou.
11/02 - Enviada ref. Processo enviado ao despachante.
12/02 - Previsão de ETA MIA 13/02.
17/02 - 549-20829465. ETA VCP 17/02 ás 17:45h.
18/02 - Carga chegou em 17/02 as 17h00. Di registrada. Canal verde.</t>
  </si>
  <si>
    <r>
      <t xml:space="preserve">21/08 - Recebido docs da compradora.
25/08 - Enviada ref. Ao despachante. Ag. Dados do vôo.
26/08 - Solicitei fabricante a compradora.
MAWB: 36936696553
HAWB: 239932
Vôo: 045 27/08-
</t>
    </r>
    <r>
      <rPr>
        <b/>
        <sz val="9"/>
        <rFont val="Arial"/>
        <family val="2"/>
      </rPr>
      <t xml:space="preserve">Previsão de chegada: 27/08/2009 14:00:00
</t>
    </r>
    <r>
      <rPr>
        <sz val="9"/>
        <rFont val="Arial"/>
        <family val="2"/>
      </rPr>
      <t>27/08 - Recebido fabricante de compras. Enviado ao despachante.
28/08 - Carga chegou em 27/08 as 13h50. DI registrada. Canal verde.</t>
    </r>
  </si>
  <si>
    <t>4665I09</t>
  </si>
  <si>
    <t>24/04 - Recebida invoice da compradora.  Ag. Atracação, prevista para 24/04.
27/04 - Enviada ref. Ao despachante. 
04/05 - Navio atracou em 30/04. AG. PRESENÇA DE CARGA PARA REMOÇÃO. 
07/05 - PRESENCA OK EM 06/05 - PROVIDENCIANDO DTA PARA REMOÇÃO
11/05 - Remoção prevista p/ hoje.
13/05 -PROBLEMAS COM NCM NO SISCARGA - AG. CORREÇAO
14/05- Compradora  irá solicitar que o exportador envie autorização para inclusão de NCM no BL. Será enviado o termo de responsabilidade hoje. Enviamos p/ o cartório p/ reconhecer firma.
15/05 - Enviado docs p/ o Libra.
18/05 - Pedido será protocolado hoje.
19/05 - Ag. deferimento por parte da DRF e o BL corrigido pelo porto de origem para que possamos efetuar a troca.
20/05 - Porcesso ok. DA registrada. Canal verde.
CD 02838-09</t>
  </si>
  <si>
    <t>E-11P09</t>
  </si>
  <si>
    <t>NE-658I09</t>
  </si>
  <si>
    <t>09/0437655-3</t>
  </si>
  <si>
    <t>S-1199i09</t>
  </si>
  <si>
    <t>S-1204i09</t>
  </si>
  <si>
    <t>E-27P09</t>
  </si>
  <si>
    <t>5001219226
5001220274
5001220275</t>
  </si>
  <si>
    <t>CSCL Napolis</t>
  </si>
  <si>
    <t>SZ1492269</t>
  </si>
  <si>
    <t>09/0459926-9</t>
  </si>
  <si>
    <t>09/0465219-4</t>
  </si>
  <si>
    <t>DA Date</t>
  </si>
  <si>
    <t>DA Nr.</t>
  </si>
  <si>
    <t>09/0269127-3</t>
  </si>
  <si>
    <t>vermelho</t>
  </si>
  <si>
    <t>31/08 - Processo com o despachante. Invoice e PL originais enviados no malote. ETA SSZ 09/09.
09/09 - Navio atracado. Ag. Entrada do container no terminal.
10/09 - Li deferida. DI registrada. Canal amarelo.
15/09 - DI distribuída para o fiscal Potiguara. Declaração em análise. Desembaraçada.</t>
  </si>
  <si>
    <r>
      <t>17/08- Recebida cópia de docs. 
18/08 - Solicitada</t>
    </r>
    <r>
      <rPr>
        <sz val="10"/>
        <color indexed="10"/>
        <rFont val="Arial"/>
        <family val="2"/>
      </rPr>
      <t xml:space="preserve"> emissão de LI.
</t>
    </r>
    <r>
      <rPr>
        <sz val="10"/>
        <rFont val="Arial"/>
        <family val="2"/>
      </rPr>
      <t xml:space="preserve">24/08 - LI deferida.
25/08 - Compradora informou que houve alteração de valores na invoice. </t>
    </r>
    <r>
      <rPr>
        <sz val="10"/>
        <color indexed="10"/>
        <rFont val="Arial"/>
        <family val="2"/>
      </rPr>
      <t xml:space="preserve">Solicitei LI sub.
</t>
    </r>
    <r>
      <rPr>
        <sz val="10"/>
        <rFont val="Arial"/>
        <family val="2"/>
      </rPr>
      <t>03/09 - LI deferida.
05/09 - Compradora avisada.
09/09 - Recebida cópia de BL.
12/09 - Enviado BL ao despachante. Ag. ETA SSZ.
14/09 - Navio atracado.
15/09 - Ag. entrada do container no terminal.
16/09 - Ag. entrada do container no terminal.
17/09 - Cobrei dctos originais da compradora. Di registrada. Canal amarelo.
18/09 - Dctos originais serão entregues na Foxconn na segunda-feira.
21/09 - Recebido docs originais. Invoice com valor errado. Avisei compradora. BL enviado no malote.
24/09 - Compradora informou que o valor correto é da invoice original. Questionei sobre a retificação da DI e a possibilidade de uma carta de crédito para próximo processo, já que se houver retificação será necessária nova LI, e o banco está em greve. Não haverá retificação. O vendor irá disponibilizar carta de crédito em outro processo.
28/09 - Ag. distribuição. Fiscal Rodrigues. Desembaraçada.
29/09 - Inspeção de madeira hoje. Entrega em 01/10.</t>
    </r>
  </si>
  <si>
    <t>4575i09</t>
  </si>
  <si>
    <t>4600020493
4600020670</t>
  </si>
  <si>
    <t>595-91756</t>
  </si>
  <si>
    <r>
      <t>Black Gold já com diferimento de ICMS.</t>
    </r>
    <r>
      <rPr>
        <sz val="9"/>
        <rFont val="Arial"/>
        <family val="2"/>
      </rPr>
      <t xml:space="preserve">
12/11 - Recebido dctos.
16/11 - Processo enviado ao despachante.
17/11 - Draft enviado. Di registrada. Em análise fiscal. Canal verde. Solicitada emissão de Nfe.</t>
    </r>
  </si>
  <si>
    <t>40774467
40774468
40774469</t>
  </si>
  <si>
    <t>100-010474</t>
  </si>
  <si>
    <t>07/07 - Recebidas invoices.
09/07 - Enviados docs originais a SSZ.
13/07 - Enviadas refs. ETA SSZ 18/07.
20/07 - Navio atracou em 18/07. Ag. Descarga e desova.
27/07 - DA registrada. Canal amarelo.
29/07 - Fiscal Leal. Em análise. Desembaraçada.CD 04100-09.</t>
  </si>
  <si>
    <t>Avermedia</t>
  </si>
  <si>
    <t>2538i09</t>
  </si>
  <si>
    <t>2572i09</t>
  </si>
  <si>
    <t>2573i09</t>
  </si>
  <si>
    <t>2574i09</t>
  </si>
  <si>
    <t>2614i09</t>
  </si>
  <si>
    <t>SZ1439406</t>
  </si>
  <si>
    <t>08/1414697-4</t>
  </si>
  <si>
    <t>SZ1438575</t>
  </si>
  <si>
    <t>08/1480324-0</t>
  </si>
  <si>
    <t>125i10</t>
  </si>
  <si>
    <t>4600022702
4600022890
4600022088</t>
  </si>
  <si>
    <t>40765634
40765633
40765946
40766300</t>
  </si>
  <si>
    <t>100-010382</t>
  </si>
  <si>
    <t>126i10</t>
  </si>
  <si>
    <t>4600022702
4600022088</t>
  </si>
  <si>
    <t>40765592
40765593</t>
  </si>
  <si>
    <t xml:space="preserve">DMCQYAT2873617 </t>
  </si>
  <si>
    <t>Aliança Mauá</t>
  </si>
  <si>
    <t>3960i09</t>
  </si>
  <si>
    <t>CNV-970021</t>
  </si>
  <si>
    <t>SBG-3720i09</t>
  </si>
  <si>
    <t>Ana Marques</t>
  </si>
  <si>
    <t>AAH0086795
AAH0086794
AAH0086793</t>
  </si>
  <si>
    <t>6339-0438-907.041</t>
  </si>
  <si>
    <t>NE-3727i09</t>
  </si>
  <si>
    <t>NE-3728i09</t>
  </si>
  <si>
    <t>SZXSSZ90812EV001</t>
  </si>
  <si>
    <t>AAH0087424
AAH0087432
AAH0087433
AAH0087434
AAH0087435</t>
  </si>
  <si>
    <t>4600023506
4600023504</t>
  </si>
  <si>
    <t>05/11 - Navio atracou as 07h00.
06/11 - Ag. Descarga do container.
09/11 - Desistência de avarias. Di registrada. Em análise fiscal.
10/11 - Canal verde. Inspeção de madeira agendada para amanhã.
12/11 - Veículo já se encontra dentro do Terminal aguardando para carregamento (08h00).</t>
  </si>
  <si>
    <t>06/10 - Navio atracou em 04/10. Container no terminal.
07/10 - DI registrada. Em análise fiscal.
08/10 - Canal verde. Inspeção de madeira agendada para amanhã a tarde.
09/10 - Carga deverá ser entregue em 13/10.</t>
  </si>
  <si>
    <t>16/12 - Comprador informou sobre a coleta.
18/12 - Enviado processo a Expeditors solicitando a coleta. Processo com o despachante.
21/12 - Recebida cópia do HAWB. Despachante em cópia.
23/12 - MAWB 045-59915612. ETA: 24/12 aprox. 23:00hs.
28/12 - Carga chegou em 24/12 as 23h20. DI registrada. Canal verde.</t>
  </si>
  <si>
    <t>Rudolf Schepers</t>
  </si>
  <si>
    <t>Maersk Dominica</t>
  </si>
  <si>
    <t>CSAV Rupanco</t>
  </si>
  <si>
    <t>Rio Bravo</t>
  </si>
  <si>
    <t>15/01 - Recebida cópia do BL. 
19/01 - Solicitada invoice a compradora. 
20/01 - Recebida invoice.
26/01 - Processo enviado ao despachante. ETA SSZ 11/02. Enviada PO lines a Carla.
01/02 - Dctos originais enviados no malote.
08/02 - Solicitados NVEs a Engenharia. Processo com pendência de fabricantes. Questionei compradora. Enviados NVEs ao despachante. Fabricantes OK.
11/02 - Solicitada prioridade na captação. Navio atracado as 12h35.
17/02 - Container no terminal. DI registrada. Em análise fiscal.
18/02 - Canal verde.</t>
  </si>
  <si>
    <r>
      <t>31/08 - Processo com o despachante. Invoice e PL originais enviados no malote.</t>
    </r>
    <r>
      <rPr>
        <b/>
        <sz val="10"/>
        <rFont val="Arial"/>
        <family val="2"/>
      </rPr>
      <t xml:space="preserve"> ETA SSZ 09/09.
</t>
    </r>
    <r>
      <rPr>
        <sz val="10"/>
        <rFont val="Arial"/>
        <family val="2"/>
      </rPr>
      <t>09/09 - Navio atracado. Ag. Entrada do container no terminal.
10/09 - Presença de carga OK. DI registrada. Em análise fiscal.
11/09 - Canal verde.</t>
    </r>
  </si>
  <si>
    <r>
      <t xml:space="preserve">11/01 - Recebido invoice e PL da compradora.
12/01 - Processo com o despachante. </t>
    </r>
    <r>
      <rPr>
        <b/>
        <sz val="10"/>
        <rFont val="Arial"/>
        <family val="2"/>
      </rPr>
      <t xml:space="preserve">ETA SSZ 14/01.
</t>
    </r>
    <r>
      <rPr>
        <sz val="10"/>
        <rFont val="Arial"/>
        <family val="2"/>
      </rPr>
      <t xml:space="preserve">14/01 - Navio atracado a 01h55. Em operação (08h55).
15/01 - Ag. Entrada do container no terminal. </t>
    </r>
    <r>
      <rPr>
        <b/>
        <sz val="10"/>
        <rFont val="Arial"/>
        <family val="2"/>
      </rPr>
      <t xml:space="preserve">Compradora informou que pode ser entregue na fábrica em 22/01.
</t>
    </r>
    <r>
      <rPr>
        <sz val="10"/>
        <rFont val="Arial"/>
        <family val="2"/>
      </rPr>
      <t>18/01 - DI registrada. Em análise fiscal.</t>
    </r>
    <r>
      <rPr>
        <b/>
        <sz val="10"/>
        <rFont val="Arial"/>
        <family val="2"/>
      </rPr>
      <t xml:space="preserve">
</t>
    </r>
    <r>
      <rPr>
        <sz val="10"/>
        <rFont val="Arial"/>
        <family val="2"/>
      </rPr>
      <t>19/01 - Canal verde. Inspeção de madeira hoje a tarde.</t>
    </r>
  </si>
  <si>
    <t>S-2091i09</t>
  </si>
  <si>
    <t>S-2093i09</t>
  </si>
  <si>
    <t>22/05 - Recebi docs.
04/06 - AGDO DESCONSOLIDAÇAO E ENTRADA DO CONTEINER, MARINHA PAGA.
08/06 - Presença de carga OK.
09/06 a 17/06 - Ag. Dados do fabricante por parte de compras (Oderlei).
18/06 - Abri chamado p/ verificar os fabricantes.
19/06 - IT disse q o teste deve ser feito após às 14:00hs. Enviei draft. 
22/06 - Original não registrou pois tinha um PN que estava com a NCM diferente. Solicitei ajuda p/ o Storillo. 
23/06 - NCM não consta no BL. Milton autorizou o registro com possibilidade de pagar multa. Assim que registrado, a DI será retificada. 
24/06 - DI registrada. Canal vermelho. Enviei fatura original p/ Santos, pois a que estava com a Original estava com os países dos fabricantes diferentes da PO e DI.
25/06 - Distribuido. Fiscal Paulo Guimarães.
26/06 - Desembaraçada.
27/06 - Entregue.</t>
  </si>
  <si>
    <r>
      <t>URGENTE!!</t>
    </r>
    <r>
      <rPr>
        <sz val="10"/>
        <rFont val="Arial"/>
        <family val="2"/>
      </rPr>
      <t xml:space="preserve">
24/08 - Recebida informação do embarque. 
25/08 - Comprador autorizou. Enviada ref. Processo com o despachante.
ETD: 08/09/09 
ETA: 15/10/09 
08/09 - Recebido cópia de BL.
12/09 - Enviado BL ao despachante.
14/09 - Embarque confirmado a bordo dia 12/09.
17/09 - ETA SSZ 13/10.
13/10 - Navio esperado para hoje as 19h00. Cobrei dctos originais do comprador.
14/10 - Navio atracou em 13/10 as 19h05.
15/10 - Ag. inspeção de madeira para desova.
16/10 - Enviar todas as vias originais do BL a Santos pois haverá troca.
19/10 - Di registrada. Canal verde.
20/10 - Expeditors Campinas conseguiu autorização para liberação do BL em Santos. Despachante avisado.
30/11 - Processo foi gerado no PWCE erroneamente como livre de débito. Foi criada uma PR com assinatura de custos e financeiro para pgto do vendor.</t>
    </r>
  </si>
  <si>
    <t>6167i09</t>
  </si>
  <si>
    <t>DMCQYAT2904883</t>
  </si>
  <si>
    <t>6168i09</t>
  </si>
  <si>
    <t>DMCQYAT2921636</t>
  </si>
  <si>
    <t>Rio Madeira</t>
  </si>
  <si>
    <t>4478i09</t>
  </si>
  <si>
    <t>SZHF49297</t>
  </si>
  <si>
    <t>4479i09</t>
  </si>
  <si>
    <t>SZHF49301</t>
  </si>
  <si>
    <t>S-VMI-4588i09</t>
  </si>
  <si>
    <t>697i10</t>
  </si>
  <si>
    <t>P814842</t>
  </si>
  <si>
    <t>676i10</t>
  </si>
  <si>
    <t>17/10 - Navio atracado.
26/10 - LI deferida.
28/10 - Remoção sendo feita hoje.
29/10 - Presença de carga OK. Despachante irá checar as peças antes de registrar a DA para saber se está de acordo com os dctos, para não gerar multa.
30/10 - PNs do físico não conferem com a invoice.
05/11 - Enviados PNs a Engenharia e compras. Ag. retorno. Já existe demanda para puxada total, portanto não haverá registro de DA, e sim DI direto. Despachante avisado.
06/11 - Recebido itens da Engenharia. Enviado ao despachante.
09/11 - Emitida LI sub, pois faltava 1 PN (levantamento feito pela Original).
16/11 - Ainda faltam linkar alguns itens do físico com a invoice. Enviado a compradora.
23/11 - Recebidos PNs da compradora. Enviado ao despachante.</t>
  </si>
  <si>
    <t>17/11 - Compradora solicitou coleta. Enviado a Expeditors.
19/11 - Enviada ref. Processo com o despachante.
HAWB 4811742456 
MAWB 045-59989440 
23/11 - Chegou em VCP dia 21/11 as 17:20hs. Di registrada. Canal verde.</t>
  </si>
  <si>
    <t>AUR/SSZ/002/09_1</t>
  </si>
  <si>
    <t>ATEHK9080052</t>
  </si>
  <si>
    <r>
      <t xml:space="preserve">11/01 - Recebido invoice e PL da compradora.
12/01 - Processo com o despachante. </t>
    </r>
    <r>
      <rPr>
        <b/>
        <sz val="10"/>
        <rFont val="Arial"/>
        <family val="2"/>
      </rPr>
      <t xml:space="preserve">ETA SSZ 14/01.
</t>
    </r>
    <r>
      <rPr>
        <sz val="10"/>
        <rFont val="Arial"/>
        <family val="2"/>
      </rPr>
      <t xml:space="preserve">14/01 - Navio atracado a 01h55. Em operação (08h55).
15/01 - Ag. Entrada do container no terminal. </t>
    </r>
    <r>
      <rPr>
        <b/>
        <sz val="10"/>
        <rFont val="Arial"/>
        <family val="2"/>
      </rPr>
      <t xml:space="preserve">Compradora informou que pode ser entregue na fábrica em 22/01.
</t>
    </r>
    <r>
      <rPr>
        <sz val="10"/>
        <rFont val="Arial"/>
        <family val="2"/>
      </rPr>
      <t>18/01 - DI registrada. Em análise fiscal.
19/01 - Canal verde.</t>
    </r>
    <r>
      <rPr>
        <b/>
        <sz val="10"/>
        <rFont val="Arial"/>
        <family val="2"/>
      </rPr>
      <t xml:space="preserve"> </t>
    </r>
    <r>
      <rPr>
        <sz val="10"/>
        <rFont val="Arial"/>
        <family val="2"/>
      </rPr>
      <t>Inspeção de madeira hoje a tarde.</t>
    </r>
  </si>
  <si>
    <t>10/1667265-0</t>
  </si>
  <si>
    <r>
      <t>27/07 - Recebida cópia de docs. Solicitada</t>
    </r>
    <r>
      <rPr>
        <sz val="10"/>
        <color indexed="10"/>
        <rFont val="Arial"/>
        <family val="2"/>
      </rPr>
      <t xml:space="preserve"> emissão de LI.
</t>
    </r>
    <r>
      <rPr>
        <sz val="10"/>
        <rFont val="Arial"/>
        <family val="2"/>
      </rPr>
      <t>28/07 - Solicitado a compradora valor do frete para emitir a LI.
30/07 - Recebida invoice com valor do frete. Enviado ao despachante.
05/08 - Li deferida. Compradora avisada.
12/08 - Recebida cópia de BL. 
14/08 - Enviado ao despachante. Ag. ETA SSZ.
20/08 - Ag. agente informar navio de transbordo e ETA SSZ.
26/08 - A carga foi transbordada para o NYK COSMOS em Singapore previsto em Santos dia 13/09.
14/09 - Navio previsto para hoje as 13h00.
15/09 - Ag. desconsolidação.
16/09 - Ag. inspeção e autorização da RF para desova.
17/09 - Solicitada NVE a Engenharia.
22/09 - Di registrada. Canal amarelo.
24/09 - Ag. distribuição. DI distribuída para o fiscal Potiguara.
25/09 - Desembaraçado.</t>
    </r>
  </si>
  <si>
    <t>ATEHK9080356</t>
  </si>
  <si>
    <t>PG768255</t>
  </si>
  <si>
    <t>5001381664
5001381666
5001381669</t>
  </si>
  <si>
    <t>SZHF49503</t>
  </si>
  <si>
    <t>4738i09</t>
  </si>
  <si>
    <t>4600020042
4600019978</t>
  </si>
  <si>
    <t>5001382956
5001382940</t>
  </si>
  <si>
    <t>SZHF49504</t>
  </si>
  <si>
    <t>26/06 - Recebi invoices.
29/06 - Inf. Ref. Solicitei LI.
30/06 - Previsto p/ chegar dia 10/07 em Santos.
06/07 - LI deferida.
16/07 - DA registrada. Ag. Parametrização.
17/07 - Canal amarelo. Fiscal Tozzi.
20/07 - Desembaraçada.CD 03899-09. Ag. Puxadas.</t>
  </si>
  <si>
    <t>HP-Seagate</t>
  </si>
  <si>
    <r>
      <t>Vôo flash!!</t>
    </r>
    <r>
      <rPr>
        <sz val="9"/>
        <rFont val="Arial"/>
        <family val="2"/>
      </rPr>
      <t xml:space="preserve">
09/09 - Recebido docs. 
10/09 - Autorizado. Processo com o despachante. Solicitada </t>
    </r>
    <r>
      <rPr>
        <sz val="9"/>
        <color indexed="10"/>
        <rFont val="Arial"/>
        <family val="2"/>
      </rPr>
      <t xml:space="preserve">emissão de LI.
</t>
    </r>
    <r>
      <rPr>
        <sz val="9"/>
        <rFont val="Arial"/>
        <family val="2"/>
      </rPr>
      <t>15/09 - Notar que o exportador disponibilizará a carga somente no dia 16/09.
21/09 - MAWB: 020-4931 7866. carga chegou as 03h50. Alerta 22 - divergência de peso. LI deferida.
22/09 - DI registrada. Canal amarelo.
23/09 - Fiscal Henrique. Em análise.
24/09 - Desembaraçada.</t>
    </r>
  </si>
  <si>
    <t>4553i09</t>
  </si>
  <si>
    <t>4162i09</t>
  </si>
  <si>
    <t>CNV-970040</t>
  </si>
  <si>
    <t>04/09 - Processo com o despachante. Invoice e PL originais enviados no malote. ETA SSZ 09/09.
09/09 - Navio atracado. Ag. Entrada do container no terminal.
11/09 - DI registrada. Ag. Parametrização.
14/09 - Canal verde.</t>
  </si>
  <si>
    <t>AAH0085882</t>
  </si>
  <si>
    <t>S-VMI-3841i09</t>
  </si>
  <si>
    <r>
      <t xml:space="preserve">24/11 - Recebido dctos da compradora.
30/11 - Processo com o despachante. Solicitada </t>
    </r>
    <r>
      <rPr>
        <sz val="10"/>
        <color indexed="10"/>
        <rFont val="Arial"/>
        <family val="2"/>
      </rPr>
      <t xml:space="preserve">emissão de LI. </t>
    </r>
    <r>
      <rPr>
        <sz val="10"/>
        <rFont val="Arial"/>
        <family val="2"/>
      </rPr>
      <t xml:space="preserve">Compradora informou que não será mais marítimo esse processo. Despachante avisado. Ag. Dctos corrigidos para emissão de LI.
03/12 - Recebida invoice da compradora e informação do embarque do agente de cargas. Compradora autorizou. Enviado ao despachante solicitando </t>
    </r>
    <r>
      <rPr>
        <sz val="10"/>
        <color indexed="10"/>
        <rFont val="Arial"/>
        <family val="2"/>
      </rPr>
      <t xml:space="preserve">emissão de LI.
</t>
    </r>
    <r>
      <rPr>
        <sz val="10"/>
        <rFont val="Arial"/>
        <family val="2"/>
      </rPr>
      <t>04/12 - ETA MIA 09/12. Correndo tudo bem será embarcada para VCP no voo do dia 10/12, ETA VCP 10/12 a noite.
07/12 - A alfândega chinesa não liberou a carga, portanto novo ETA VCP 14/12 de manhã. Ag. pré alerta.
11/12 - MAWB 404-2237 0972. ETA VCP 14/12 08H00.
14/12 - Carga chegou as 10h20. Valor do frete foi lançado errado no mantra. Ag. regularização.
15/12 - Mantra OK. 5F, madeira sujeita a inspeção. DI registrada. Canal amarelo. Inv+PL originais enviados via motoboy a VCP.
16/12 - Fiscal Maria Rita.
21/12 - Desembaraçada.</t>
    </r>
  </si>
  <si>
    <t xml:space="preserve">Nothern Preludi </t>
  </si>
  <si>
    <t>Santos
Rodrimar</t>
  </si>
  <si>
    <t>6723i09</t>
  </si>
  <si>
    <t>100-010365</t>
  </si>
  <si>
    <t>SZHF51026</t>
  </si>
  <si>
    <t>SBG-3860i09</t>
  </si>
  <si>
    <r>
      <t xml:space="preserve">19/10 - Recebido dctos.
22/10 - Processo enviado ao despachante. Navio atracado.
</t>
    </r>
    <r>
      <rPr>
        <b/>
        <sz val="10"/>
        <rFont val="Arial"/>
        <family val="2"/>
      </rPr>
      <t>27/10 - Entregar na fábrica em 05/11.</t>
    </r>
    <r>
      <rPr>
        <sz val="10"/>
        <rFont val="Arial"/>
        <family val="2"/>
      </rPr>
      <t xml:space="preserve"> Di registrada. Canal verde. Inspeção de madeira agendada para amanhã a tarde.</t>
    </r>
  </si>
  <si>
    <t>SZ1502024</t>
  </si>
  <si>
    <t>amarelo</t>
  </si>
  <si>
    <t>E-25P09</t>
  </si>
  <si>
    <r>
      <t xml:space="preserve">16/10 - Recebido doctos da compradora.
23/10 - Processo enviado ao despachante. Solicitada cópia de BL a compradora.
04/11 - Recebida cópia de BL da compradora.
09/11 - Enviado BL ao despachante. </t>
    </r>
    <r>
      <rPr>
        <b/>
        <sz val="10"/>
        <rFont val="Arial"/>
        <family val="2"/>
      </rPr>
      <t xml:space="preserve">ETA SSZ 15/11.
</t>
    </r>
    <r>
      <rPr>
        <sz val="10"/>
        <rFont val="Arial"/>
        <family val="2"/>
      </rPr>
      <t>11/11 - Questionei despachante se o BL original será retirado em SSZ. Questionei compradora sobre os dctos originais.
12/11 - Compradora informou que os dctos chegam em 16/11.
16/11 - Navio previsto para hoje as 13h00. Navio atracou as 13h25.
17/11 - Dctos originais enviados no malote.
18/11 - Aguardando autorização da Receita para inspeção e posterior desova.
23/11 - Ag. dados da desova. DI registrada. Canal verde.
25/11 - Veículo dentro do Terminal aguardando para realizar o carregamento.</t>
    </r>
  </si>
  <si>
    <t>ID3-940076_4</t>
  </si>
  <si>
    <t>EGLV142250266762</t>
  </si>
  <si>
    <r>
      <t>Remoção, sem entreposto.</t>
    </r>
    <r>
      <rPr>
        <sz val="10"/>
        <rFont val="Arial"/>
        <family val="2"/>
      </rPr>
      <t xml:space="preserve">
21/07 - Enviados docs originais no malote e ref. Ao despachante.</t>
    </r>
    <r>
      <rPr>
        <b/>
        <sz val="10"/>
        <rFont val="Arial"/>
        <family val="2"/>
      </rPr>
      <t xml:space="preserve"> ETA SSZ 24/07.
</t>
    </r>
    <r>
      <rPr>
        <sz val="10"/>
        <rFont val="Arial"/>
        <family val="2"/>
      </rPr>
      <t>25/07 - Navio atracado.
28/07 - Carga seguindo para o Libra.
05/08 - Presença de carga OK. Ag. Autorização para registro de DI.
01/10 - DI registrada. Em análise fiscal.
02/10 - Cana verde.</t>
    </r>
  </si>
  <si>
    <t>30/09 -  Recebido dctos.
01/10 - Draft enviado. Di registrada. Em análise fiscal.
02/10 - Canal verde.</t>
  </si>
  <si>
    <t>Navio previsto p/ 12/06.
02/06 - Recebi docs. Inf. ref. Previsão de chegada em Santos dia 07/06.
10/06 - Original providenciando DTA p/ remoção.
12/06 - LI deferida.
19/06 - Presença de carga OK. Ag. Autorização p/ registro da DI.
01/07 - Priscila solicitou o registro p/ amanhã.
02/07 - DI registrada. Canal amarelo.
03/07 - Desembaraçada. Amanhã não tem recebimento. Será entregue na segunda-feira.
06/07 - Entregue.</t>
  </si>
  <si>
    <t>NE-1726i09</t>
  </si>
  <si>
    <t>NE-1826i09</t>
  </si>
  <si>
    <t>NE-1827i09</t>
  </si>
  <si>
    <t>NE-1828i09</t>
  </si>
  <si>
    <t>NE-1829i09</t>
  </si>
  <si>
    <t>S-1923i09</t>
  </si>
  <si>
    <t>E-20P09</t>
  </si>
  <si>
    <t>06/01 - Recebida informação do embarque. ETA VCP 07/01 18h40.
08/01 - Carga chegou em 07/01 as 21h50. MAWB 045-75161962. Processo enviado ao despachante. DI registrada. Canal verde.
11/01 - 5F. Ag. Laudo do M.A. Liberado.</t>
  </si>
  <si>
    <r>
      <t xml:space="preserve">10/08 - Recebido docs da compradora. Ag. ETA VCP.
12/08 - Recebido docs do agente. Processo com o despachante. </t>
    </r>
    <r>
      <rPr>
        <b/>
        <sz val="9"/>
        <rFont val="Arial"/>
        <family val="2"/>
      </rPr>
      <t xml:space="preserve">ETA VCP 13/08.
</t>
    </r>
    <r>
      <rPr>
        <sz val="9"/>
        <rFont val="Arial"/>
        <family val="2"/>
      </rPr>
      <t>14/08 - Invoice com valor de frete destacado. Solicitei correção. Ag. Confirmação de chegada.
17/08 - Carga chegou em 13/08 as 20h10. Recebida invoice correta. Enviado ao despachante. Valor do frete maior que a mercadoria. Questionei compradora.
19/08 - Di será registrada como FCA. Compradora avisada.DI registrada.Ag. parametrização.
20/08 - Canal verde.</t>
    </r>
  </si>
  <si>
    <t>3583i09</t>
  </si>
  <si>
    <t>DMCQHKG2135125</t>
  </si>
  <si>
    <t>A-3519i09</t>
  </si>
  <si>
    <t>100-010163</t>
  </si>
  <si>
    <t>A-3520i09</t>
  </si>
  <si>
    <t>4600019078
4600018587</t>
  </si>
  <si>
    <t>40740108
40741418</t>
  </si>
  <si>
    <t>100-010164</t>
  </si>
  <si>
    <t>A-3521i09</t>
  </si>
  <si>
    <t>100-010160</t>
  </si>
  <si>
    <t>5001576580
5001576576
5001576577
5001576578</t>
  </si>
  <si>
    <t>30/10 - Recebida cópia de BL.
05/11 - Recebida cópia da invoice.
11/11 - Processo com o despachante. ETA SSZ 19/11.
16/11 - LI emitida. Ag. deferimento.
19/11 - Navio atracou as 07h00.
23/11 - LI em exigência.
24/11 - Ag. Entrega da documentação por parte da DAMCO para desconsolidação.
26/11 - Ag. Entrega da documentação por parte da DAMCO para desconsolidação. LI em exigência (completar a descrição).
27/11 - Processo desconsolidado. Haverá necessidade de emissão de LI sub. Despachante providenciando. PResença de carga OK.
30/11 - Invoice e PL originais enviados no malote.
02/12 - LI sub deferida. DI registrada. Canal amarelo.
03/12 - Fiscal Renato. Desembaraçada. Inspeção de madeira amanhã a tarde.
04/12 - Carregamento agendado para amanhã as 07h00.</t>
  </si>
  <si>
    <t>A-VMI-3419i09</t>
  </si>
  <si>
    <t>220000102_4</t>
  </si>
  <si>
    <t>AAH0086297
AAH0086298</t>
  </si>
  <si>
    <t>S-VMI-3421i09</t>
  </si>
  <si>
    <t>AAH0086306</t>
  </si>
  <si>
    <t>SZ1502135</t>
  </si>
  <si>
    <t>SZ1502014</t>
  </si>
  <si>
    <t>12/01 - Compradora solicitou nacionalização. 
13/01 - Processo enviado ao despachante. DI registrada. Ag. Parametrização. Canal verde.</t>
  </si>
  <si>
    <t>14/08 - Recebido docs.Draft enviado.
17/08 - DI registrada. Ag. Parametrização.
18/08 - Canal amarelo. Desembaraçado.</t>
  </si>
  <si>
    <t>21/09 - Recebido docs.
22/09 - Processo enviado ao despachante.
23/09 - Di registrada. Ag. Parametrização. Enviada GARE para pgto. Solicitada emissão de NF. Em análise fiscal.
24/09 - Enviado comprovcante ao despachante e cópia da NF.</t>
  </si>
  <si>
    <t>5651I09</t>
  </si>
  <si>
    <t>Kuang Ying</t>
  </si>
  <si>
    <t>Hyundai Federal</t>
  </si>
  <si>
    <t>01/12 - Recebida informação do embarque. Compradora autorizou. 
02/12 - Enviada ref. Processo com o despachante. 
07/12 - Expeditors informou que ainda não recebeu a carga.
09/12 - Cobrei Expeditors. Embarque previsto chegar em MIA dia 11/12.
14/12 - Cobrei Expeditors. Carga em MIA. Previsão de validação para hoje.
16/12 - MAWB 549-20805562. ETA: 17/12 aprox. 17:00hs.
17/12 - Carga chegou as 16h10.
18/12 - DI registrada. Canal verde.</t>
  </si>
  <si>
    <t>6692i09</t>
  </si>
  <si>
    <t>Quanta</t>
  </si>
  <si>
    <t>2109217747
2109217749</t>
  </si>
  <si>
    <t>MAX-0912274</t>
  </si>
  <si>
    <t>6693i09</t>
  </si>
  <si>
    <t>2109218807
2109218810
2109218811
2109218812
2109218809</t>
  </si>
  <si>
    <t>Fongkai</t>
  </si>
  <si>
    <t>4600019408
4600020322
4600019404
4600020319
4600020042</t>
  </si>
  <si>
    <r>
      <t xml:space="preserve">03/09 - Recebida informação do embarque. Comprador autorizou.
05/09 - Enviada ref. Processo com o despachante. </t>
    </r>
    <r>
      <rPr>
        <b/>
        <sz val="10"/>
        <rFont val="Arial"/>
        <family val="2"/>
      </rPr>
      <t xml:space="preserve">ETA SSZ 04/10.
</t>
    </r>
    <r>
      <rPr>
        <sz val="10"/>
        <rFont val="Arial"/>
        <family val="2"/>
      </rPr>
      <t>05/10 - Navio atracou em 04/10. Ag. Entrada do container no terminal. Solicitei dctos originais ao comprador.
08/10 - Ag. Desova. Dctos originais enviados no malote.
09/10 - Di registrada. ag. parametrização. Canal vermelho.
13/10 - Entrada na RF para desembaraço. Ag. distribuição. DI Distribuída para exame documental // fiscal Álvaro.
14/10 - Di com exame documental concluída. Aguardando distribuição para conferencia física.
15/10 - DI distribuída para o fiscal Valença. Desembaraçada.</t>
    </r>
  </si>
  <si>
    <t>5001389810
5001389811
5001389813
5001389814</t>
  </si>
  <si>
    <t>SZHF49615</t>
  </si>
  <si>
    <t>4900i09</t>
  </si>
  <si>
    <r>
      <t xml:space="preserve">14/10 - Recebido dctos do agente. Compradora autorizou. Ag. ETA SSZ.
16/10 - Maxfreight informou que houve troca de agente de cargas. O responsável agora será MAC Logistics.
21/10 - Embarque autorizado com o novo agente. Processo com o despachante. Ag. cópia de BL. </t>
    </r>
    <r>
      <rPr>
        <b/>
        <sz val="10"/>
        <rFont val="Arial"/>
        <family val="2"/>
      </rPr>
      <t xml:space="preserve">ETA SSZ 25/11.
</t>
    </r>
    <r>
      <rPr>
        <sz val="10"/>
        <rFont val="Arial"/>
        <family val="2"/>
      </rPr>
      <t xml:space="preserve">26/10 - Recebida cópia de BL. Enviado ao despachante. Questionei agente sobre os dctos originais.
29/10 - </t>
    </r>
    <r>
      <rPr>
        <b/>
        <sz val="10"/>
        <rFont val="Arial"/>
        <family val="2"/>
      </rPr>
      <t xml:space="preserve">ETA SSZ 26/11.
</t>
    </r>
    <r>
      <rPr>
        <sz val="10"/>
        <rFont val="Arial"/>
        <family val="2"/>
      </rPr>
      <t xml:space="preserve">06/11 - Agente de cargas informou que haverá revisão nos dctos (nome do exportador). Ag. confirmação de compras.
10/11 - Haverá alteração no nome e endereço do exportador. Recebido dctos revisados. Enviado ao despachante.
11/11 - Agente informou que o </t>
    </r>
    <r>
      <rPr>
        <b/>
        <sz val="10"/>
        <rFont val="Arial"/>
        <family val="2"/>
      </rPr>
      <t xml:space="preserve">ETA SSZ é 21/11.
</t>
    </r>
    <r>
      <rPr>
        <sz val="10"/>
        <rFont val="Arial"/>
        <family val="2"/>
      </rPr>
      <t>17/11 - Dctos originais serão retirados no escritório em Santos. Favor notar que a previsão de chegada do navio MOL DEVOTION atrasou 1 dia</t>
    </r>
    <r>
      <rPr>
        <b/>
        <sz val="10"/>
        <rFont val="Arial"/>
        <family val="2"/>
      </rPr>
      <t xml:space="preserve"> (22/11).
</t>
    </r>
    <r>
      <rPr>
        <sz val="10"/>
        <rFont val="Arial"/>
        <family val="2"/>
      </rPr>
      <t>23/11 - Navio atracou dia 21/11 06h20. Aguardando autorização da Receita para inspeção e posterior desova.
24/11 - Aguardando inspeção do M.A para posterior desova.
26/11 - Carga desovada sem avarias. Solicitada NVE a Engenharia.
27/11 - Enviada NVE ao despachante. Di registrada. Canal verde.
01/12 - Documentação no registro, veículo aguardando chamada para carregamento.</t>
    </r>
  </si>
  <si>
    <t>AAH0085110</t>
  </si>
  <si>
    <t>46-18714</t>
  </si>
  <si>
    <t>AAH0085218</t>
  </si>
  <si>
    <t>26/08 - Recebido docs. Draft enviado.
27/08 - DI registrada. Ag. Parametrização. Em análise fiscal.
28/08 - Canal verde. NF enviada via motoboy.  Desembaraçado.</t>
  </si>
  <si>
    <t>REMOÇAO EM 04/05
19/05 - Priscila autorizou o registro. DI registrada. Ag. Parametrização.
20/50 - Canal amarelo. Desembaraçada.
21/05 - Entregue.</t>
  </si>
  <si>
    <t>23/09 - Recebido dctos da compradora.
29/09 - Processo enviado ao despachante. ETA SSZ 14/10.
02/10 - BL original enviado no malote.
14/10 - Navio atrasou. Previsto para 15/10.
20/10 - Navio atracado.
21/10 - Ag. Entrada no terminal.
22/10 - Container no terminal. Ag. desconsolidação.
23/10 - Ag. desova pelo terminal.
26/10 - Desovado - sem avarias.
27/10 - Di registrada. Canal verde.</t>
  </si>
  <si>
    <r>
      <t>Carga com seguro. Material deve ser fotografado ao chegar na fábrica.</t>
    </r>
    <r>
      <rPr>
        <sz val="10"/>
        <rFont val="Arial"/>
        <family val="2"/>
      </rPr>
      <t xml:space="preserve">
15/12 - Recebida informação do embarque.
17/12 - Compradora autorizou.
18/12 - Enviada ref. Processo com o despachante.</t>
    </r>
    <r>
      <rPr>
        <b/>
        <sz val="10"/>
        <rFont val="Arial"/>
        <family val="2"/>
      </rPr>
      <t xml:space="preserve"> 
</t>
    </r>
    <r>
      <rPr>
        <sz val="10"/>
        <rFont val="Arial"/>
        <family val="2"/>
      </rPr>
      <t xml:space="preserve">28/12 - Recebida cópia do BL. Despachante em cópia. </t>
    </r>
    <r>
      <rPr>
        <b/>
        <sz val="10"/>
        <rFont val="Arial"/>
        <family val="2"/>
      </rPr>
      <t xml:space="preserve">ETA SSZ 28/01/2010.
</t>
    </r>
    <r>
      <rPr>
        <sz val="10"/>
        <rFont val="Arial"/>
        <family val="2"/>
      </rPr>
      <t>04/01 - Cobrei PO lines de compras. Recebida cópia de BL revisada. Despachante em cópia.  Recebida PO lines.
05/01 - Enviado a Vanessa (Original).
11/01 - Solicitadas NVEs a Engenharia.
13/01 - Enviadas NVEs ao despachante.
27/01 - Dctos originais serão retirados amanhã na Itatrans em Santos.
28/01 - Navio atracou as 08h30.
29/01 - Ag. Entrada do container no terminal. Processo vistoriado e liberado para desembaraço.
01/02 - Presença de carga OK.  DI registrada. Canal verde.</t>
    </r>
  </si>
  <si>
    <t>16/04 - Recebida invoice da compradora.
20/04 - Enviada ref. Ao despachante. Ag. Atracação, prevista para 21/04.
24/04 - Navio atrasou. Ag. Atracação prevista para hoje.
25/04 - AG. DESCARGA PRA PROV. DTA.
27/04 - LI deferida.
04/05 - Remoção prevista para hoje.
06/05 - DA registrada. Ag. parametrização.
07/05 - Canal amarelo. Em analise – Fiscal Tozzi. Desembaraçada – AG. CD
08/05 - CD 02579-09
21/05 - LI deferida.
24/07 - Solicitada prorrogação de LI.</t>
  </si>
  <si>
    <t>S-VMI-3004i09</t>
  </si>
  <si>
    <t>AAH0089230
AAH0089235
AAH0089236
AAH0089238
AAH0089239</t>
  </si>
  <si>
    <t>6339-0442-907.015</t>
  </si>
  <si>
    <t>CSAV Itaim</t>
  </si>
  <si>
    <t>SBG-5198i09</t>
  </si>
  <si>
    <t>AAH0089231
AAH0089232
AAH0089233
AAH0089234
AAH0089237</t>
  </si>
  <si>
    <r>
      <t>21/09 - Recebido docs. Compradora autorizou.
25/09 - Enviada ref. Ao despachante.</t>
    </r>
    <r>
      <rPr>
        <b/>
        <sz val="10"/>
        <rFont val="Arial"/>
        <family val="2"/>
      </rPr>
      <t xml:space="preserve"> ETA SSZ 25/10.
</t>
    </r>
    <r>
      <rPr>
        <sz val="10"/>
        <rFont val="Arial"/>
        <family val="2"/>
      </rPr>
      <t>06/10 - Recebida cópia de BL. Enviado ao despachante.
26/10 - Navio esperado para hoje. Dctos originais enviados no malote.
27/10 - Navio atracou ontem. Carga no terminal ag. desconsolidação.
28/10 - Ag. inspeção do M.A para desova.
30/10 - Presença de carga OK. DI registrada. Canal verde.
03/11 - Caminhão no terminal ag. carregamento. Caminhão seguindo para a FBR. 13h40.</t>
    </r>
  </si>
  <si>
    <t>ETA SSZ 25/05
25/05 - Ag. atracação do navio.
26/06 - Navio atracado. Ag. Presença.
27/05 - Ag. Presença.
28/05 - Solicitei registro p/ o despachante. Será registrada a DI hoje. Faltou NCM no BL. 
29/05 - Ag. deferimento por parte da DRF e o BL corrigido pelo porto de origem para que possamos efetuar a troca. Ag. deferimento da LI.
01/06 - No aguardo do deferimento da DRF.
02/06 - Ag. troca do BL. Assim que ok poderá registrar.
03/06 - DI registrada. Ag. parametrização. Canal vermelho. Ag. distribuição.
04/06 - Ag. distribuição.
05/06 - DI distribuída para a fiscal Solange M. A. de Lara.
08/06 - Conferência documental efetuada. Conferência física, prevista p/ amanhã.
09/06 - Desembaraçada. Inspeção da madeira será feita hoje a tarde. Entrega prevista para amanhã às 10hs.
10/06 - Entregue.</t>
  </si>
  <si>
    <t>24/11 - Recebido dctos da compradora. ETA SSZ 26/11.
26/11 - Processo com o despachante. Navio atracado as 08h45.
01/12 - Di registrada. Em análise fiscal.
02/12 - Canal verde. Inspeção de madeira hoje a tarde.
03/12 - Caminhão seguindo para a FBR.
07/12 - WH informou sobre a divergência. Haverá denúncia espontânea. Questionei despachante como devemos proceder. Ag. nova invoice da compradora.
08/12 - Recebida invoice correta da compradora. DI ainda não será retificada pois aguarda procedimento.
14/12 - Enviado dctos ao despachante para retificar a DI.
18/12 - Enviados DARFs para pgto.
21/12 - Enviada cópia do livro 6 no malote.
22/12 - Enviado protocolo dos DARFs ao despachante. Solicitada emissão de NFe complementar. Enviada NFe ao warehouse. Ag. protocolo de retificação.</t>
  </si>
  <si>
    <t>YM Ningbo</t>
  </si>
  <si>
    <t>KC-9272</t>
  </si>
  <si>
    <t>PA742772</t>
  </si>
  <si>
    <t>5UCI795</t>
  </si>
  <si>
    <t>PA742771</t>
  </si>
  <si>
    <t>5UCI793</t>
  </si>
  <si>
    <t>29/12 - Recebido dctos da compradora. Carga chegou em 28/12 as 06h45. MAWB 404-22218560. Processo enviado ao despachante. DI registrada. Em análise fiscal.
30/12 - Canal verde.</t>
  </si>
  <si>
    <t>6916i09</t>
  </si>
  <si>
    <t>ETA SSZ 26/06
22/05 - Enviei docs.
29/05 - Navio previsto p/ chegar dia 26/06 em Santos. Ag. confirmação de chegada.
02/06 - Nova previsão de chegada p/ dia 11/06 em Santos.
12/06 - Navio atracou. Presença de carga OK. Ag. Dados do fabricante por parte de compras (Oderlei).
15/06 - Cobrei compras.
16/06 - Cobrei Compras.
17/06 - Recebi nova PO às 15:50hs. Enviei draft. DI registrada. Ag. parametrização.
18/06 - Canal verde.
19/06 - Inspeção de madeira.
20/06 - Entregue.</t>
  </si>
  <si>
    <t>Navio previsto p/ 12/06.
02/06 - Recebi docs. Inf. Ref. Previsão de chegada em Santos dia 07/06.
09/06 - DI registrada.
10/06 - Canal verde.
15/06 - Inspeção da madeira.
16/06 - Entregue.</t>
  </si>
  <si>
    <r>
      <t>RECOF</t>
    </r>
    <r>
      <rPr>
        <sz val="10"/>
        <rFont val="Arial"/>
        <family val="2"/>
      </rPr>
      <t xml:space="preserve">
14/01 - Recebida informação do embarque. Compradora autorizou. Enviada ref. Processo com o despachante.
19/01 - Cobrei agente de cargas.
20/01 - Recebida cópia de HAWB. Ag. Dados do vôo.
25/01 - MAWB 404-21743164. Carga chegou em 22/01 as 22h32. Di registrada. Canal verde.</t>
    </r>
  </si>
  <si>
    <r>
      <t xml:space="preserve">09/09 - Recebido docs.
11/09 - Comprador autorizou. Enviada ref. Processo com o despachante. Ag. Confirmação de booking.
14/09 - ETD: 19/09/2009 
</t>
    </r>
    <r>
      <rPr>
        <b/>
        <sz val="10"/>
        <rFont val="Arial"/>
        <family val="2"/>
      </rPr>
      <t xml:space="preserve">ETA: 12/10/2009.
</t>
    </r>
    <r>
      <rPr>
        <sz val="10"/>
        <rFont val="Arial"/>
        <family val="2"/>
      </rPr>
      <t>22/09 - Recebida cópia de BL e PL revisado.
29/09 - Enviado BL e PL revisado ao despachante.
02/10 - Dctos originais enviados no malote.
13/10 - Navio esperado para</t>
    </r>
    <r>
      <rPr>
        <b/>
        <sz val="10"/>
        <rFont val="Arial"/>
        <family val="2"/>
      </rPr>
      <t xml:space="preserve"> 14/10, </t>
    </r>
    <r>
      <rPr>
        <sz val="10"/>
        <rFont val="Arial"/>
        <family val="2"/>
      </rPr>
      <t xml:space="preserve">sem previsão de horário.
14/10 - </t>
    </r>
    <r>
      <rPr>
        <b/>
        <sz val="10"/>
        <rFont val="Arial"/>
        <family val="2"/>
      </rPr>
      <t xml:space="preserve">Navio atrasou para 15/10.
</t>
    </r>
    <r>
      <rPr>
        <sz val="10"/>
        <rFont val="Arial"/>
        <family val="2"/>
      </rPr>
      <t>20/10 - Navio atracado.</t>
    </r>
    <r>
      <rPr>
        <b/>
        <sz val="10"/>
        <rFont val="Arial"/>
        <family val="2"/>
      </rPr>
      <t xml:space="preserve">
</t>
    </r>
    <r>
      <rPr>
        <sz val="10"/>
        <rFont val="Arial"/>
        <family val="2"/>
      </rPr>
      <t>21/10 - Agdo autorização da RF para inspeção e desova.
22/10 - Agdo autorização da RF para inspeção e desova.
27/10 - Di registrada. Canal verde.</t>
    </r>
  </si>
  <si>
    <r>
      <t xml:space="preserve">04/12 - Recebido dctos.Processo enviado ao despachante.Solicitada </t>
    </r>
    <r>
      <rPr>
        <sz val="10"/>
        <color indexed="10"/>
        <rFont val="Arial"/>
        <family val="2"/>
      </rPr>
      <t xml:space="preserve">emissão de LI. </t>
    </r>
    <r>
      <rPr>
        <sz val="10"/>
        <rFont val="Arial"/>
        <family val="2"/>
      </rPr>
      <t>ETA SSZ 10/12.
07/12 - LI emitida.
10/12 - Navio atracou as 08h00.
11/12 - Presença de carga OK.
14/12 - Di registrada. Ag. Parametrização.  Canal amarelo.
15/12 - Fiscal Miguel.
16/12 - Desembaraçada.
18/12 -  Documentação no registro, veículo aguardando chamada para carregamento.</t>
    </r>
  </si>
  <si>
    <t>362i10</t>
  </si>
  <si>
    <t>100-010411</t>
  </si>
  <si>
    <r>
      <t xml:space="preserve">15/12 - Recebida cópia de BL do agente de cargas. 
18/12 - Enviado a compradora solicitando cópia da invoice. 
28/12 - Invoice recebida.
30/12 - Processo enviado ao despachante. Solicitada </t>
    </r>
    <r>
      <rPr>
        <sz val="10"/>
        <color indexed="10"/>
        <rFont val="Arial"/>
        <family val="2"/>
      </rPr>
      <t>emissão de LI.</t>
    </r>
    <r>
      <rPr>
        <sz val="10"/>
        <rFont val="Arial"/>
        <family val="2"/>
      </rPr>
      <t xml:space="preserve"> </t>
    </r>
    <r>
      <rPr>
        <b/>
        <sz val="10"/>
        <rFont val="Arial"/>
        <family val="2"/>
      </rPr>
      <t xml:space="preserve">ETA SSZ 14/01/2010.
</t>
    </r>
    <r>
      <rPr>
        <sz val="10"/>
        <rFont val="Arial"/>
        <family val="2"/>
      </rPr>
      <t xml:space="preserve">31/12 - LI deferida.
04/01 - BL original enviado no malote.
06/01 - Invoice e PL originais enviados no malote.
14/01 - Navio atracado a 01h55. Em operação (08h55).
18/01 - DI registrada. Canal amarelo.
20/01 - Fiscal Maria Antonieta.
25/01 - Desembaraçada. Inspeção de madeira em 27/01 devido ao feriado de Santos.
28/01 -  Documentação já se encontra no registro veículo aguardando chamada para carregamento. Container carregado com sucesso (09h30), previsão de entrega para as 12:30hs. Pedi ao warehouse priorizar a descarga pois já está pagando demurrage.
01/02 - Este processo o veículo ficou do dia 28 ao dia 30/01 para descarregar e estamos coordenando a entrega do container para amanhã (02/02) no primeiro horário. </t>
    </r>
  </si>
  <si>
    <t>806i10</t>
  </si>
  <si>
    <t>4300307180-B</t>
  </si>
  <si>
    <t>807i10</t>
  </si>
  <si>
    <t>4300307180-A</t>
  </si>
  <si>
    <t>27/05 - Presença OK. Providenciando DTA P/ remoção.
Emitida LI para Auto-falante (09/0972903-1), Ag. Deferimento.
29/05 - Carga será removida p/ o LIBRAPORT em 01/06.
02/06 - Ag. Presença de carga.
03/06 - DA registrada. Ag. Parametrização. Canal amarelo.
04/06 - Ag. distribuição.
05/06 - Distribuido. Fiscal Tozzi.
08/06 - DA desembaraçada.
CD 03162-09</t>
  </si>
  <si>
    <t>4160i09</t>
  </si>
  <si>
    <t>4600019659
4600019661</t>
  </si>
  <si>
    <t>4120223368
4120223369
4120223370
4120224412
4120225155</t>
  </si>
  <si>
    <t>BSHEA0908260</t>
  </si>
  <si>
    <t>KKLUSZN8296000</t>
  </si>
  <si>
    <t>A-4161i09</t>
  </si>
  <si>
    <t>4600019248
4600019249
4600019078</t>
  </si>
  <si>
    <r>
      <t xml:space="preserve">05/11 - Recebido dctos da compradora.
09/11 - Enviado processo ao despachante. Solicitada </t>
    </r>
    <r>
      <rPr>
        <sz val="10"/>
        <color indexed="10"/>
        <rFont val="Arial"/>
        <family val="2"/>
      </rPr>
      <t xml:space="preserve">emissão de LI.
</t>
    </r>
    <r>
      <rPr>
        <sz val="10"/>
        <rFont val="Arial"/>
        <family val="2"/>
      </rPr>
      <t>16/11 - LI deferida.
17/11 - Compradora avisada. Solicitada cópia de BL.
18/12 - Cobrei BL da compradora. Recebido dctos originais.
21/12 - Cópia de BL enviada ao despachante. Inv+PL+BL originais enviados a Santos. Ag. ETA e navio de transbordo. Navio atracou em 18/12. Ag. desconsolidação.
23/12 - Ag. inspeção do M.A. para desova.
29/12 - Carga desovada. Presença de carga OK. DI registrada. Canal amarelo.
30/12 - Fiscal Solange.
31/12 - Desembaraçada.</t>
    </r>
  </si>
  <si>
    <r>
      <t>RECOF</t>
    </r>
    <r>
      <rPr>
        <sz val="10"/>
        <rFont val="Arial"/>
        <family val="2"/>
      </rPr>
      <t xml:space="preserve">
29/12 - Recebido dctos da compradora. Enviada ref. Processo com o despachante. Ag. Dados do vôo.
30/12 - MAWB: 369-36753356.</t>
    </r>
    <r>
      <rPr>
        <b/>
        <sz val="10"/>
        <rFont val="Arial"/>
        <family val="2"/>
      </rPr>
      <t xml:space="preserve"> ETA VCP 31/12 as 19h00.
</t>
    </r>
    <r>
      <rPr>
        <sz val="10"/>
        <rFont val="Arial"/>
        <family val="2"/>
      </rPr>
      <t>04/01 - Carga chegou em 02/01 as 14h27. DI registrada. Canal verde.</t>
    </r>
  </si>
  <si>
    <t>045-57556590</t>
  </si>
  <si>
    <t>28/10 - Recebida invoices. 
03/11 - Processo enviado ao despachante.
05/11 - Di registrada. Canal verde. Enviada GARE para pgto.
06/11 - Enviado comprovante de ICMS ao despachante. Nfe com o despachante.</t>
  </si>
  <si>
    <t>Broker</t>
  </si>
  <si>
    <t>Visado</t>
  </si>
  <si>
    <t>Aearo</t>
  </si>
  <si>
    <t>Brasiliense</t>
  </si>
  <si>
    <t>Micro-star</t>
  </si>
  <si>
    <t>Lilian</t>
  </si>
  <si>
    <t>B793108</t>
  </si>
  <si>
    <t>5UDT709</t>
  </si>
  <si>
    <t>Itatrans</t>
  </si>
  <si>
    <t>40759112
40759113
40759114</t>
  </si>
  <si>
    <t>100-010312</t>
  </si>
  <si>
    <t>MAXHK512669</t>
  </si>
  <si>
    <t>Lidiane</t>
  </si>
  <si>
    <t>CKD20091111</t>
  </si>
  <si>
    <t>23/11 - Recebido pré alerta. Processo enviado ao despachante. Carga chegou em 23/11 as 11h50.
24/11 - Di registrada. Canal verde.</t>
  </si>
  <si>
    <t>23/11 - Recebido pré alerta. Processo enviado ao despachante. Carga chegou em 22/11 as 21h15.
24/11 - Di registrada. Canal verde.</t>
  </si>
  <si>
    <t>Supplier</t>
  </si>
  <si>
    <t>Value of the goods</t>
  </si>
  <si>
    <t>CC</t>
  </si>
  <si>
    <t xml:space="preserve"> Pwce Ref.</t>
  </si>
  <si>
    <t>STATUS</t>
  </si>
  <si>
    <t>Libraport</t>
  </si>
  <si>
    <t>Ref.</t>
  </si>
  <si>
    <t>Status</t>
  </si>
  <si>
    <t>Tratamento</t>
  </si>
  <si>
    <t>Exportador</t>
  </si>
  <si>
    <t>01/10 -  Recebido dctos.
02/10 - Draft enviado. DI registrada. Canal amarelo.
06/10 - Desembaraçado.</t>
  </si>
  <si>
    <r>
      <t xml:space="preserve">01/10 - Compradora informou sobre a nacionalização. </t>
    </r>
    <r>
      <rPr>
        <b/>
        <sz val="10"/>
        <rFont val="Arial"/>
        <family val="2"/>
      </rPr>
      <t xml:space="preserve">Carga deve ser entregue na fábrica em 07/10. 
</t>
    </r>
    <r>
      <rPr>
        <sz val="10"/>
        <rFont val="Arial"/>
        <family val="2"/>
      </rPr>
      <t>02/10 - Processo com o despachante. Di registrada. Ag. Parametrização. Canal amarelo.
05/10 - Fiscal Madruga. Em análise.
06/10 - Desembaraçada.</t>
    </r>
  </si>
  <si>
    <r>
      <t xml:space="preserve">21/01 - Recebida informação do embarque. Compradora autorizou. 
22/01 - Enviada ref. Processo com o despachante. Solicitada </t>
    </r>
    <r>
      <rPr>
        <sz val="10"/>
        <color indexed="10"/>
        <rFont val="Arial"/>
        <family val="2"/>
      </rPr>
      <t xml:space="preserve">emissão de LI.
</t>
    </r>
    <r>
      <rPr>
        <sz val="10"/>
        <rFont val="Arial"/>
        <family val="2"/>
      </rPr>
      <t>25/01 - Embarque chegou em MIA e esta em processo de validação. 
27/01 - MAWB 369-36841372. ETA: 27/01 aprox. 17:00hs.
28/01 - Carga chegou em 27/01 as 16h10. Ag. deferimento da LI.
01/02 - LI deferida.
02/02 - Di registrada. Canal amarelo.
04/02 - Fiscal Fávero.
08/02 - Conferência prevista para hoje a tarde. Desembaraçada.</t>
    </r>
  </si>
  <si>
    <t>29/01 - Recebido pré alerta. ETA VCP 31/01. MAWB 369-36844813.
01/02 - Carga chegou em 30/01 as 14h27. Processo enviado ao despachante. DI registrada. Em análise fiscal.
02/02 - Canal verde.</t>
  </si>
  <si>
    <r>
      <t xml:space="preserve">06/01 - Recebido invoice e PL da compradora.
07/01 - Recebido dctos originais. Enviados no malote. Processo com o despachante. </t>
    </r>
    <r>
      <rPr>
        <b/>
        <sz val="10"/>
        <rFont val="Arial"/>
        <family val="2"/>
      </rPr>
      <t xml:space="preserve">ETA SSZ 10/01.
</t>
    </r>
    <r>
      <rPr>
        <sz val="10"/>
        <rFont val="Arial"/>
        <family val="2"/>
      </rPr>
      <t xml:space="preserve">11/01 - Navio esperado para hoje as 13h00. Navio esperado para hoje as 15h00, a confirmar. Agente de cargas informou hoje que esta carga foi transbordada para o Navio Kota Lawa </t>
    </r>
    <r>
      <rPr>
        <b/>
        <sz val="10"/>
        <rFont val="Arial"/>
        <family val="2"/>
      </rPr>
      <t xml:space="preserve">previsto para o dia 18/01. </t>
    </r>
    <r>
      <rPr>
        <sz val="10"/>
        <rFont val="Arial"/>
        <family val="2"/>
      </rPr>
      <t>Compradora avisada.
18/01 - Navio previsto para hoje as 13h00.
19/01 - Navio atracou ontem as 16h25. Aguardando entrada do container no terminal. 
20/01 - Agdo entrada do container no terminal.
21/01 - Ag. inspeção do M.A para desova.
22/01 - Agdo. desova pelo terminal que deve ocorrer no final de semana.
25/01 - Presença de carga OK. Sistema da Original fora do ar para registro de DI.
26/01 - DI registrada. Em análise fiscal.
27/01 - Canal verde.</t>
    </r>
  </si>
  <si>
    <t>4600021222
4600021251</t>
  </si>
  <si>
    <t>Navio previsto p/ 12/06.
02/06 - Recebi docs. Inf. Ref. Previsão de chegada em Santos dia 07/06.
05/06 - Ag. PO da invoice da Camila. 
08/06 - Recebi linhas do embarque. 
09/06 - Priscila enviou invoice com quantidades corretas.
10/06 - DI registrada. Ag. parametrização.
12/06 - Canal verde.
15/06 - Inspeção de madeira.
16/06 - Entregue.</t>
  </si>
  <si>
    <t>16/09 - Recebido docs.
23/09 - Enviada ref. Ao despachante. Ag. ETA SSZ.
25/09  -ETA SSZ 03/10.
02/10 - Novo ETA SSZ para 04/10.
05/10 - Navio atracou em 04/10. Ag. Entrada do container no terminal. Ag. PO lines.
06/10 - Po lines recebida.
07/10 - DI registrada. Em análise fiscal.
08/10 - Canal verde. Inspeção de madeira agendada para amanhã a tarde.</t>
  </si>
  <si>
    <t>A-VMI-4742i09</t>
  </si>
  <si>
    <t>AAH0088604</t>
  </si>
  <si>
    <t>A-VMI-4749i09</t>
  </si>
  <si>
    <t>AAH0088596</t>
  </si>
  <si>
    <t>A-VMI-4755i09</t>
  </si>
  <si>
    <t>AAH0088605</t>
  </si>
  <si>
    <t>06/10 -  Recebido dctos depois do horário.
07/10 - Draft enviado. Di registrada. Canal amarelo.
08/10 - Desembaraçada.</t>
  </si>
  <si>
    <t>24/09 - Draft enviado. DI registrada. Em análise fiscal.
25/09 - Canal verde.</t>
  </si>
  <si>
    <t>08/10 -  Recebido dctos. Draft enviado. DI registrada. Ag. parametrização.
09/10 - Canal verde.</t>
  </si>
  <si>
    <t>25/09 -  Recebido dctos.
28/09 - Draft enviado. Di registrada. Ag. parametrização. Canal amarelo.
29/09  -Desembaraçado.</t>
  </si>
  <si>
    <t>27/07 - Recebida cópia de docs. Autorizado. Processo com o despachante.
13/08 - Docs originais enviados via Fedex tracking 869138558504. Ag. Chegada. Problemas com peso bruto. Origem informou 2.900 e Expeditors 2.550 kgs. Se houver divergência de peso em Santos, informar a compras que irá tratar com o exportador. Despachante notificado.
19/08 - ETA SSZ 30/08. Recebido BL. Enviado ao despachante.
27/08 - Solicitei NVE a Engenharia. Navio Kota Lawa - Container foi transferido para o navio Mare Supero, ETA Santos 06/09. Recebida NVE.
28/08 - Enviada NVE ao despachante.
08/09 - Navio atracou em 07/09 as 13h00.
09/09 - Ag. desconsolidação. Ag. autorização do MA para desova.
11/09 - Presença OK. DI registrada. Canal verde.</t>
  </si>
  <si>
    <t>4144i09</t>
  </si>
  <si>
    <t>DMCQSGH1095251</t>
  </si>
  <si>
    <t>A-4145i09</t>
  </si>
  <si>
    <t>AAH0087455</t>
  </si>
  <si>
    <t>4158i09</t>
  </si>
  <si>
    <t>595-91671</t>
  </si>
  <si>
    <r>
      <t xml:space="preserve">24/02 - Recebido dctos do agente de cargas. MAWB 045-76635414. </t>
    </r>
    <r>
      <rPr>
        <b/>
        <sz val="10"/>
        <rFont val="Arial"/>
        <family val="2"/>
      </rPr>
      <t xml:space="preserve">ETA VCP 26/02. </t>
    </r>
    <r>
      <rPr>
        <sz val="10"/>
        <rFont val="Arial"/>
        <family val="2"/>
      </rPr>
      <t>Processo enviado ao despachante.
01/03 - Carga chegou em 26/02 as 19h40. DI registrada. Canal verde.</t>
    </r>
  </si>
  <si>
    <t>25/05 - Enviei docs. Inf. Ref.
29/05 - Navio previsto p/ 06/06.
09/06 - Ag. Desconsolidação do navio.
10/06 - Processo ok p/ registro. DI registrada. Ag. Parametrização.
12/06 - Canal verde.
15/06 - Inspeção da madeira.
16/06 - Entregue.</t>
  </si>
  <si>
    <t>09/06 - Solicitado registro da DI. Recebi docs.
10/06 - DI registrada. Canal vermelho.
12/06 - Ag. Distribuição. Original avisou que a invoice original estava retida na Receita Federal. Solicitei fatura p/ compradora.
15/06 - Enviei fatura. Distribuido Fiscal Nivaldo.
16/06 - Desembaraçada. Entregue.</t>
  </si>
  <si>
    <t>**</t>
  </si>
  <si>
    <r>
      <t xml:space="preserve">28/08 - Recebido docs da compradora.
31/08 - Enviada ref. Ao despachante. BL enviado no malote. Solicitada </t>
    </r>
    <r>
      <rPr>
        <sz val="10"/>
        <color indexed="10"/>
        <rFont val="Arial"/>
        <family val="2"/>
      </rPr>
      <t>emissão de LI.</t>
    </r>
    <r>
      <rPr>
        <sz val="10"/>
        <rFont val="Arial"/>
        <family val="2"/>
      </rPr>
      <t xml:space="preserve"> </t>
    </r>
    <r>
      <rPr>
        <b/>
        <sz val="10"/>
        <rFont val="Arial"/>
        <family val="2"/>
      </rPr>
      <t xml:space="preserve">ETA SSZ 06/09.
</t>
    </r>
    <r>
      <rPr>
        <sz val="10"/>
        <rFont val="Arial"/>
        <family val="2"/>
      </rPr>
      <t>03/09 - LI deferida.
07/09 - Navio atracado.
09/09 - Ag. Desconsolidação.
11/09 - DI registrada. Ag. parametrização. Canal amarelo.
14/09 - Solicitado invoice e PL originais a compradora. Enviados no malote.
17/09 - DI distribuída para a fiscal Maria Antonieta.
21/09 - Desembaraçada.</t>
    </r>
  </si>
  <si>
    <t>4600019501
4600019592</t>
  </si>
  <si>
    <t>5001508155
5001509520
5001508221</t>
  </si>
  <si>
    <t>08/05 - Recebi invoice.
11/05 - Informei ref. Previsto p/ chegar amanhã em Santos.
12/05 - Ag. descarga do navio.
14/05 - Presença de carga ok. Ag. Autorização p/ registro da DI.
18/05 - Priscila autorizou registro da DI. DI registrada. Ag. parametrização. Canal verde.
19/05 - Ag. inspeção da madeira.
21/05 - Entregue p/ transporte.
22/05 - Entregue.
24/05 - DI reistrada com preço errado. Houve mudança de preço durante o embarque e não alterou no PWCE. Solicitei retificação de DI.
03/06 - Recebi protocolo de retificação de DI.</t>
  </si>
  <si>
    <t>09/0627297-6</t>
  </si>
  <si>
    <t>09/0676967-6</t>
  </si>
  <si>
    <t>09/0695101-6</t>
  </si>
  <si>
    <t>09/0695884-3</t>
  </si>
  <si>
    <t>SZHF49488</t>
  </si>
  <si>
    <t>4652i09</t>
  </si>
  <si>
    <t>SZHF49401</t>
  </si>
  <si>
    <t>E-56P09</t>
  </si>
  <si>
    <t>SZHF49402</t>
  </si>
  <si>
    <t>E-57P09</t>
  </si>
  <si>
    <t>SZHF49399</t>
  </si>
  <si>
    <t>S-1747i09</t>
  </si>
  <si>
    <t>S-1748i09</t>
  </si>
  <si>
    <r>
      <t>URGENTE!!</t>
    </r>
    <r>
      <rPr>
        <sz val="10"/>
        <rFont val="Arial"/>
        <family val="2"/>
      </rPr>
      <t xml:space="preserve">
21/08 - Recebida informação do embarque. Comprador autorizou. 
24/08 - Enviada ref. Processo com o despachante. ETA SSZ 08/10.
01/09 - Recebida invoice do comprador com preço diferente.
03/09 - Novo ETA SSZ 02/10.
05/09 - Questionei comprador sobre qual o preço correto. Ag. retorno.
08/09 - Comprador informou que o preço correto é de 0,6840. Enviada invoice correta ao despachante.
14/09 - Invoice original enviada no malote.
02/10 - Navio previsto para as 19h00. BL original será retirado na Expeditors.
05/10 - Navio atracou em 04/10. Ag. entrada do container no terminal.
06/10 - Container no terminal. Ag. desconsolidação e autorização do M.A para desova. RF autorizou a desova. Ag. M.A previsto para amanhã de manhã. Desova autorizada. Ag. início.
08/10 - Desova em andamento. DI registrada. Ag. parametrização. Em análise fiscal.
09/10 - Canal verde.</t>
    </r>
  </si>
  <si>
    <r>
      <t xml:space="preserve">12/08 - Invoice e PL originais enviados no malote. Processo com o despachante. ETA SSZ 13/08. </t>
    </r>
    <r>
      <rPr>
        <sz val="10"/>
        <color indexed="10"/>
        <rFont val="Arial"/>
        <family val="2"/>
      </rPr>
      <t xml:space="preserve">LI emitida. Ag. Deferimento.
</t>
    </r>
    <r>
      <rPr>
        <sz val="10"/>
        <rFont val="Arial"/>
        <family val="2"/>
      </rPr>
      <t>13/08 - Problemas com NCM. Questionei Engenharia e compras.
14/08 - Navio atracou as 15h40.
17/08 - LI deferida.
20/08 - Recebi retorno da Engenharia.
21/08 - Refiz o processo. Draft enviado.
24/08 - Solicitado NVE a Engenharia.
26/08 - Recebido NVE. Enviado a Engenharia. DI registrada. Canal amarelo.
28/08 - Fiscal Paulo R. Guimaraes. Em análise. Desembaraçada.</t>
    </r>
  </si>
  <si>
    <r>
      <t>Black Gold já com diferimento de ICMS.</t>
    </r>
    <r>
      <rPr>
        <sz val="9"/>
        <rFont val="Arial"/>
        <family val="2"/>
      </rPr>
      <t xml:space="preserve">
12/11 - Recebido dctos.
16/11 - Processo enviado ao despachante. Draft OK. Di registrada. Canal verde.
17/11 - Solicitada emissão de Nfe.</t>
    </r>
  </si>
  <si>
    <t>19 dias</t>
  </si>
  <si>
    <r>
      <t xml:space="preserve">13/08 - Recebida invoice.
</t>
    </r>
    <r>
      <rPr>
        <b/>
        <sz val="10"/>
        <rFont val="Arial"/>
        <family val="2"/>
      </rPr>
      <t xml:space="preserve">14/08 - Di deverá ser registrada no ínicio da próxima semana.
</t>
    </r>
    <r>
      <rPr>
        <sz val="10"/>
        <rFont val="Arial"/>
        <family val="2"/>
      </rPr>
      <t>17/08 - Di registrada. Ag. Parametrização. Canal amarelo.
18/08 - Desembaraçada.</t>
    </r>
  </si>
  <si>
    <t>09/02 - Recebida informação do embarque. Compradora autorizou.
11/02 - Recebida cópia de HAWB.
12/02 - Enviada ref. Processo com ao despachante. MAWB 020-22421781. ETA: 13/02 aprox. 12:00hs.
15/02 - Carga chegou em 13/02 as 14h20. Di registrada. Em análise fiscal.
17/02 - Canal verde.</t>
  </si>
  <si>
    <t>25/01 - Recebida informação do embarque.
26/01 - Compradora autorizou.
28/01 - Enviada ref. Processo enviado ao despachante.
29/01 - Recebida cópia de HAWB.
01/02 - Compradora enviou PO lines ao despachante.
03/02 - MAWB 045-60005934. ETA: 03/02 aprox. 23:00hs.
04/02 - Carga chegou em 03/02 as 23h50. Di registrada. Canal verde.</t>
  </si>
  <si>
    <t>910i10</t>
  </si>
  <si>
    <t>40771330
40771346</t>
  </si>
  <si>
    <t>100-010441</t>
  </si>
  <si>
    <r>
      <t>31/07 - Recebido docs originais. Processo com o despachante.</t>
    </r>
    <r>
      <rPr>
        <b/>
        <sz val="10"/>
        <rFont val="Arial"/>
        <family val="2"/>
      </rPr>
      <t xml:space="preserve"> ETA SSZ 07/08.
</t>
    </r>
    <r>
      <rPr>
        <sz val="10"/>
        <rFont val="Arial"/>
        <family val="2"/>
      </rPr>
      <t>05/08 - LI deferida.
07/08 - Navio atrasou</t>
    </r>
    <r>
      <rPr>
        <b/>
        <sz val="10"/>
        <rFont val="Arial"/>
        <family val="2"/>
      </rPr>
      <t xml:space="preserve"> ETA para 08/08.
</t>
    </r>
    <r>
      <rPr>
        <sz val="10"/>
        <rFont val="Arial"/>
        <family val="2"/>
      </rPr>
      <t>10/08 - Navio atracou em 09/08 a 00h00.
12/08 - Remoção prevista para hoje.
13/08 - DA registrada. Ag. parametrização.
14/08 -  Canal amarelo.
17/08 -  Desembaraçada. CD 04524-09.</t>
    </r>
  </si>
  <si>
    <t>3570i09</t>
  </si>
  <si>
    <t>595-91504</t>
  </si>
  <si>
    <t>3579i09</t>
  </si>
  <si>
    <t>DMCQHK2136779</t>
  </si>
  <si>
    <t>NE-3580i09</t>
  </si>
  <si>
    <t>P751735</t>
  </si>
  <si>
    <t>A-3807i09</t>
  </si>
  <si>
    <t>Aearo Company</t>
  </si>
  <si>
    <t>5UDC864</t>
  </si>
  <si>
    <t>G9I103558</t>
  </si>
  <si>
    <t>4600023341
4600023342
4600023626
4600023625
4600023627</t>
  </si>
  <si>
    <t>5001507785
5001514291
5001513702
5001513700
5001506764</t>
  </si>
  <si>
    <r>
      <t>Remoção, sem entreposto.</t>
    </r>
    <r>
      <rPr>
        <sz val="10"/>
        <rFont val="Arial"/>
        <family val="2"/>
      </rPr>
      <t xml:space="preserve">
30/10 - Recebida cópia de BL.
05/11 - Recebida cópia da invoice.
10/11 - Processo com o despachante. Solicitada </t>
    </r>
    <r>
      <rPr>
        <sz val="10"/>
        <color indexed="10"/>
        <rFont val="Arial"/>
        <family val="2"/>
      </rPr>
      <t>emissão de LI.</t>
    </r>
    <r>
      <rPr>
        <sz val="10"/>
        <rFont val="Arial"/>
        <family val="2"/>
      </rPr>
      <t xml:space="preserve"> </t>
    </r>
    <r>
      <rPr>
        <b/>
        <sz val="10"/>
        <rFont val="Arial"/>
        <family val="2"/>
      </rPr>
      <t xml:space="preserve">ETA SSZ 26/11. Compradora informou que deverá ser remoção para o Libra, pois a necessidade é 21/12. Despachante avisado.
</t>
    </r>
    <r>
      <rPr>
        <sz val="10"/>
        <rFont val="Arial"/>
        <family val="2"/>
      </rPr>
      <t xml:space="preserve">16/11 - LI emitida. Ag. deferimento.
18/11 - BL original enviado no malote.
</t>
    </r>
    <r>
      <rPr>
        <b/>
        <sz val="10"/>
        <rFont val="Arial"/>
        <family val="2"/>
      </rPr>
      <t xml:space="preserve">23/11 - Compradora informou que não deverá ser remoção. Despachante avisado.
</t>
    </r>
    <r>
      <rPr>
        <sz val="10"/>
        <rFont val="Arial"/>
        <family val="2"/>
      </rPr>
      <t>26/11 - Navio previsto para as 10h00. Navio atracado as 08h45.  LI em exigência (completar a descrição).
27/11 - Ag. DAMCO entregar os dctos a Deicmar para desconsolidação.  Haverá necessidade de emissão de LI sub. Despachante providenciando.
30/11 - Processo desconsolidado.
02/12 - DI registrada. Canal amarelo.
04/12 - Fiscal Solange.
09/12 - Desembaraçada.
10/12 - Documentação no registro veículo aguardando chamada para carregamento.</t>
    </r>
  </si>
  <si>
    <r>
      <t>16/10 - Embarque autorizado.
21/10 - Enviada ref. Ao despachante.</t>
    </r>
    <r>
      <rPr>
        <b/>
        <sz val="10"/>
        <rFont val="Arial"/>
        <family val="2"/>
      </rPr>
      <t xml:space="preserve"> ETA SSZ 22/11.
</t>
    </r>
    <r>
      <rPr>
        <sz val="10"/>
        <rFont val="Arial"/>
        <family val="2"/>
      </rPr>
      <t>04/11 - Recebida cópia de BL.
06/11 - Enviada cópia de BL ao despachante.
09/11 - Expeditors informou que o exportador enviará todos os dctos originais a FBR.
23/11 - Navio atracou dia 22/11 18h10. Aguardando entrada do container no terminal.
27/11 - Desovado, sem avarias. Cobrei dctos originais da compradora. Di registrada. Canal verde.
30/11 - BL original enviado no malote.
03/12 - Caminhão seguindo para a FBR.</t>
    </r>
  </si>
  <si>
    <t>26/08 - Recebido docs. PO sem condição de pgto. Pedi correção a compras.
27/08 - PO corrigido. Draft enviado. DI registrada. Ag. Parametrização. Canal amarelo.
28/08 - NF enviada via motoboy.
01/09 - Desembaraçada.</t>
  </si>
  <si>
    <t>22/05 - Recebi docs. Draft enviado.
25/05 - Di registrada. Ag. Parametrização. Canal verde. Entregue.</t>
  </si>
  <si>
    <t>AAH0086097</t>
  </si>
  <si>
    <t>AAH0086099</t>
  </si>
  <si>
    <t>AAH0086095</t>
  </si>
  <si>
    <t>AAH0086100</t>
  </si>
  <si>
    <t>AAH0086101</t>
  </si>
  <si>
    <t>WSZSTS09091155</t>
  </si>
  <si>
    <t>5129i09</t>
  </si>
  <si>
    <t>EBP-990749</t>
  </si>
  <si>
    <r>
      <t>RECOF</t>
    </r>
    <r>
      <rPr>
        <sz val="10"/>
        <rFont val="Arial"/>
        <family val="2"/>
      </rPr>
      <t xml:space="preserve">
10/02 - Recebido dctos da compradora. Processo enviado ao despachante. </t>
    </r>
    <r>
      <rPr>
        <b/>
        <sz val="10"/>
        <rFont val="Arial"/>
        <family val="2"/>
      </rPr>
      <t xml:space="preserve">ETA SSZ 11/02.
</t>
    </r>
    <r>
      <rPr>
        <sz val="10"/>
        <rFont val="Arial"/>
        <family val="2"/>
      </rPr>
      <t>11/02 - Navio atracado as 12h35.
12/02 - Presença de carga OK. DI registrada. Canal verde. Inspeção de madeira em 17/02.
18/02 - Compradora informou que carga pode ser entregue.</t>
    </r>
  </si>
  <si>
    <t>04/12 - Recebido dctos.
07/12 - MAWB 045-7516 1903. Carga chegou em 06/12 a 00h20.
08/12 - Processo enviado ao despachante. DI registrada. Em análise fiscal.
09/12 - Canal verde.</t>
  </si>
  <si>
    <t>SZHF51425</t>
  </si>
  <si>
    <t>6309i09</t>
  </si>
  <si>
    <t>B801246</t>
  </si>
  <si>
    <t>4600018862
4600018635</t>
  </si>
  <si>
    <t>5001300112
5001301560</t>
  </si>
  <si>
    <t>SZHF48203</t>
  </si>
  <si>
    <t>NE-1542i09</t>
  </si>
  <si>
    <t>E-14P08</t>
  </si>
  <si>
    <t>NE-1544i09</t>
  </si>
  <si>
    <t>NE-1548i09</t>
  </si>
  <si>
    <t>09/0554721-1</t>
  </si>
  <si>
    <t>09/0554375-5</t>
  </si>
  <si>
    <t>09/0553815-8</t>
  </si>
  <si>
    <t>09/0555184-7</t>
  </si>
  <si>
    <t>09/0553814-0</t>
  </si>
  <si>
    <t>EBP-990089</t>
  </si>
  <si>
    <t>3963i09</t>
  </si>
  <si>
    <t>ABG-3964i09</t>
  </si>
  <si>
    <t>AAH0087177</t>
  </si>
  <si>
    <r>
      <t xml:space="preserve">19/10 - Solicitei emissão de LI
26/10 - LI deferida.
23/11 - Cobrei compradora.
24/11 - Recebida commercial invoice.
25/11 - Enviado ao despachante.
01/12 - Recebido dctos da compradora. Enviado ao despachante. Ag. ETA VCP. A invoice do processo A-5167i09 foi embarcada em único HAWB, tornando-se apenas 1 processo (A-4978i09). </t>
    </r>
    <r>
      <rPr>
        <b/>
        <sz val="9"/>
        <rFont val="Arial"/>
        <family val="2"/>
      </rPr>
      <t xml:space="preserve">ETA VCP 05/12. </t>
    </r>
    <r>
      <rPr>
        <sz val="9"/>
        <rFont val="Arial"/>
        <family val="2"/>
      </rPr>
      <t>MAWB 307-3273 7224.
07/12 - Carga não consta no mantra. Cobrei agente de cargas. Agente informou que o MAWB foi trocado para 307 3273 7235. Despachante avisado.
08/12 - Carga chegou em 07/12 as 11h27. Di registrada. Em análise fiscal.
09/12 - Canal verde.</t>
    </r>
  </si>
  <si>
    <t>6425i09</t>
  </si>
  <si>
    <t>4120324370
4120322318
4120322247</t>
  </si>
  <si>
    <t>0911303</t>
  </si>
  <si>
    <t>SZHF49197</t>
  </si>
  <si>
    <t>4321i09</t>
  </si>
  <si>
    <t>SZHF49191</t>
  </si>
  <si>
    <t>27/08 - Recebido docs.
01/09 - Enviado draft. DI registrada. Canal amarelo.
02/09 - Desembaraçada.</t>
  </si>
  <si>
    <t>3951i09</t>
  </si>
  <si>
    <t>4600019024
4600019027</t>
  </si>
  <si>
    <t>5001351369
5001351370</t>
  </si>
  <si>
    <t>SZHF48971</t>
  </si>
  <si>
    <t>4300275484
1101483082</t>
  </si>
  <si>
    <t>E-51P09</t>
  </si>
  <si>
    <t>Monte Aconcagua</t>
  </si>
  <si>
    <t>S-VMI-3957i09</t>
  </si>
  <si>
    <t>ID3-970024_1</t>
  </si>
  <si>
    <t>EGLV142950273483</t>
  </si>
  <si>
    <r>
      <t>10/08 - Recebida informação do embarque. Ag. Autorização da compradora.
12/08 - Autorizado. Processo com o despachante.
14/08 - Carga em trânsito para MIA.
19/08 - MAWB: 549 20735245.</t>
    </r>
    <r>
      <rPr>
        <b/>
        <sz val="9"/>
        <rFont val="Arial"/>
        <family val="2"/>
      </rPr>
      <t xml:space="preserve"> ETA: 19/08 as 18h00.
</t>
    </r>
    <r>
      <rPr>
        <sz val="9"/>
        <rFont val="Arial"/>
        <family val="2"/>
      </rPr>
      <t>20/08 - Carga chegou em 19/08 as 17h20. DI registrada. Canal verde.</t>
    </r>
  </si>
  <si>
    <r>
      <t>10/08 - Recebida informação do embarque. Ag. Autorização da compradora.
12/08 - Autorizado. Processo com o despachante.
14/08 - Carga em trânsito para MIA.
19/08 - MAWB: 549 20735245.</t>
    </r>
    <r>
      <rPr>
        <b/>
        <sz val="9"/>
        <rFont val="Arial"/>
        <family val="2"/>
      </rPr>
      <t xml:space="preserve">  ETA: 19/08 as 18h00.
</t>
    </r>
    <r>
      <rPr>
        <sz val="9"/>
        <rFont val="Arial"/>
        <family val="2"/>
      </rPr>
      <t>20/08 - Carga chegou em 19/08 as 17h20. DI registrada. Canal verde.</t>
    </r>
  </si>
  <si>
    <t>09/11 - Enviado processo ao despachante. Não tivemos tempo hábil para registro de DA, portanto, a Di será registrada direto. Ag. Deferimento da LI.
16/11 - LI deferida. Ainda faltam linkar alguns itens do físico com a invoice. Enviado a compradora.
23/11 - Recebidos PNs da compradora. Enviado ao despachante.
24/11 - DI registrada. Canal amarelo.
25/11 - Distribuído para fiscal Renato. Desembaraçada.</t>
  </si>
  <si>
    <t>6077i09</t>
  </si>
  <si>
    <t>Delta</t>
  </si>
  <si>
    <t>Mariana</t>
  </si>
  <si>
    <t>15/02 - Recebido dctos da compradora.
16/02 - Processo enviado ao despachante. Ag. Navio de transbordo e ETA SSZ.
17/02 - BL original enviado no malote. ETA SSZ 18/02.
18/02 - Invoice e PL originais enviados no malote. Navio atracado.
22/02 - Despachante informou que a NCM/descrição estão errados. Storillo informou que a NCM estava errada. Solicitada correção no BL. Compradora ciente. Necessidade Foxconn 05/03.
24/02 - Compradora informou que é urgente. DI registrada. Canal vermelho. Fiscal Adil.
25/02 - Carregamento agendado para 26/02 as 19h00.
26/02 - Fiscal da conferência física Paulo de Tarso. Desembaraçada.
10/03 - Lavagem de container autorizada.</t>
  </si>
  <si>
    <t>5001536770
5001535979
5001540247</t>
  </si>
  <si>
    <t>16/12 - Compradora solicitou nacionalização.
17/12 - Processo enviado ao despachante. DI registrada. Canal amarelo. Desembaraçada.</t>
  </si>
  <si>
    <r>
      <t>20/01 - Recebida invoice e PL da compradora. Solicitada cópia de BL.
28/01 - Recebida cópia de BL.
29/01 - Processo enviado ao despachante.</t>
    </r>
    <r>
      <rPr>
        <b/>
        <sz val="10"/>
        <rFont val="Arial"/>
        <family val="2"/>
      </rPr>
      <t xml:space="preserve"> ETA SSZ 21/02.
</t>
    </r>
    <r>
      <rPr>
        <sz val="10"/>
        <rFont val="Arial"/>
        <family val="2"/>
      </rPr>
      <t>17/02 - Dctos originais enviados no malote.
23/02 - Agente de cargas informou que houve transbordo e novo</t>
    </r>
    <r>
      <rPr>
        <b/>
        <sz val="10"/>
        <rFont val="Arial"/>
        <family val="2"/>
      </rPr>
      <t xml:space="preserve"> ETA para 01/03.
</t>
    </r>
    <r>
      <rPr>
        <sz val="10"/>
        <rFont val="Arial"/>
        <family val="2"/>
      </rPr>
      <t xml:space="preserve">02/03 - Navio atracado.
03/03 - Ag. desconsolidação.
08/03 - Di registrada. Em análise fiscal.
09/03 - Canal verde. </t>
    </r>
    <r>
      <rPr>
        <b/>
        <sz val="10"/>
        <rFont val="Arial"/>
        <family val="2"/>
      </rPr>
      <t>Compradora informou que carga pode ser entregue em 17/03.</t>
    </r>
  </si>
  <si>
    <t>SZ1449903</t>
  </si>
  <si>
    <t>08/1698283-4</t>
  </si>
  <si>
    <t>SZ1447940</t>
  </si>
  <si>
    <t>09/0270422-7</t>
  </si>
  <si>
    <t>SZESAN08110055</t>
  </si>
  <si>
    <t>09/0154735-7</t>
  </si>
  <si>
    <t>4600019989
4600019990</t>
  </si>
  <si>
    <t>2200001291_1</t>
  </si>
  <si>
    <t>SZYATSTS090704</t>
  </si>
  <si>
    <t>333i10</t>
  </si>
  <si>
    <t>FSH0297</t>
  </si>
  <si>
    <r>
      <t xml:space="preserve">05/01 - Recebido invoice e PL da compradora.
11/01 - Processo com o despachante. Solicitada </t>
    </r>
    <r>
      <rPr>
        <sz val="10"/>
        <color indexed="10"/>
        <rFont val="Arial"/>
        <family val="2"/>
      </rPr>
      <t>emissão de LI.</t>
    </r>
    <r>
      <rPr>
        <sz val="10"/>
        <rFont val="Arial"/>
        <family val="2"/>
      </rPr>
      <t xml:space="preserve"> </t>
    </r>
    <r>
      <rPr>
        <b/>
        <sz val="10"/>
        <rFont val="Arial"/>
        <family val="2"/>
      </rPr>
      <t xml:space="preserve">ETA SSZ 21/01.
</t>
    </r>
    <r>
      <rPr>
        <sz val="10"/>
        <rFont val="Arial"/>
        <family val="2"/>
      </rPr>
      <t>14/01 - BL está sem NCM. Maersk está cobrando R$ 200,00 para re-emissão. Ag. Retorno de compras. LI deferida. Mercante com as NCMs está OK.
15/01 - Compradora enviou cópia de BL com as NCMs. Enviado ao despachante. BL OK.
21/01 - Navio esperado para as 09h00. Navio atracou as 09h30. Ag. autorização da origem para emissão do BL.
22/01 - Aguardando entrada do container no terminal.
25/01 - Presença de carga OK. Sistema da Original fora do ar para registro de DI.
26/01 - DI registrada. Canal amarelo.
27/01 - Fiscal Ricardo Youssef.
29/01 - Desembaraçada. Inspeção de madeira em 01/02.</t>
    </r>
  </si>
  <si>
    <t>09/09 - Recebido docs. Enviado draft. 
10/09 - DI registrada. Ag. Parametrização. Canal amarelo. Desembaraçada.
22/09 - DI retificada pois o preço estava errado.</t>
  </si>
  <si>
    <t>E-55P09</t>
  </si>
  <si>
    <t>SZHF49300</t>
  </si>
  <si>
    <t>4477i09</t>
  </si>
  <si>
    <t>SZHF49302</t>
  </si>
  <si>
    <r>
      <t xml:space="preserve">31/07 - Recebido docs do comprador.
01/08 - Enviada ref. ao despachante. Ag. cópia do BL.
04/08 - Previsão de embarque para amanhã.
13/08 - Navio previsto para </t>
    </r>
    <r>
      <rPr>
        <b/>
        <sz val="10"/>
        <rFont val="Arial"/>
        <family val="2"/>
      </rPr>
      <t xml:space="preserve">ETA 31/08.
</t>
    </r>
    <r>
      <rPr>
        <sz val="10"/>
        <rFont val="Arial"/>
        <family val="2"/>
      </rPr>
      <t>01/09 - Navio atracou em 31/08. Container entrou hoje no Termares. Cobrei documentação original da compradora.
02/09 - Ag. desconsolidação.
03/09 - Presença de carga OK. Dctos originais enviados no malote. DI registrada. Em análise fiscal.
04/09 - Canal verde. Carga deverá ser entregue em 08/09.</t>
    </r>
  </si>
  <si>
    <t>S-VMI-3896i09</t>
  </si>
  <si>
    <t>AAH0087164</t>
  </si>
  <si>
    <t>S-VMI-3897i09</t>
  </si>
  <si>
    <t>AAH0087163</t>
  </si>
  <si>
    <t>S-VMI-3898i09</t>
  </si>
  <si>
    <t>AAH0087161</t>
  </si>
  <si>
    <t>S-VMI-3899i09</t>
  </si>
  <si>
    <t>AAH0087162</t>
  </si>
  <si>
    <t>ID3-960054_2</t>
  </si>
  <si>
    <t>NE-3387i09</t>
  </si>
  <si>
    <t>588i10</t>
  </si>
  <si>
    <t>4600023357
4600023358
4600023125
4600023359
4600023331</t>
  </si>
  <si>
    <t>5001502198
5001502208
5001502209
5001502211</t>
  </si>
  <si>
    <t>SZHF52100</t>
  </si>
  <si>
    <t>27/10 - Recebida invoices. 
03/11 - Processo enviado ao despachante.
04/11 - Di registrada. Canal vermelho. Enviada GARE para pgto.
05/11 - Enviado comprovante de ICMS ao despachante.
06/11 - Nfe com o despachante.</t>
  </si>
  <si>
    <t>ETA 30/05. Ag. BL.
19/05 - Previsão ETA 31/05. Recebi BL.
01/06 - Ag. Confirmação de chegada do navio.
02/06 - Ag.entrada do container e docs originais.
03/06 - Ag. Desconsolidação.
04/06 - Ag. Desova.
09/06 - DI registrada. Ag. Parametrização.
10/06 - Canal verde.
12/06 - Ag. docs originais. Cobrei comprador (Felipe).
16/06 - Cobrei novamente comprador. Informou que os docs. chegaram dia 12/06. Ag.p/ enviar p/ Santos. Recebi docs originais, porém o BL não estava junto. Cobrei comprador.
17/06 - Comprador enviou msg ao exportador questionando sobre o BL.
18/06 - Cobrei novamenteo BL.
19/06 - BL original estava no Wharehouse. Enviado p/ Santos.
23/06 - Entregue.</t>
  </si>
  <si>
    <t>NE-2893i09</t>
  </si>
  <si>
    <t>3120i09</t>
  </si>
  <si>
    <t>4600018263
4600018272</t>
  </si>
  <si>
    <t>5001320303
5001320306</t>
  </si>
  <si>
    <t>SZHF48561</t>
  </si>
  <si>
    <t>3121i09</t>
  </si>
  <si>
    <t>SZHF48562</t>
  </si>
  <si>
    <t>3122I09</t>
  </si>
  <si>
    <t>SZHF48557</t>
  </si>
  <si>
    <t>3123I09</t>
  </si>
  <si>
    <t>4600018263
4600018269
4600018270</t>
  </si>
  <si>
    <t>5001322274
5001322276
5001322270
5001322273</t>
  </si>
  <si>
    <t>SZHF48563</t>
  </si>
  <si>
    <t>E-47P09</t>
  </si>
  <si>
    <t>SZHF48564</t>
  </si>
  <si>
    <t>S-VMI-3140i09</t>
  </si>
  <si>
    <t>AAH0085842</t>
  </si>
  <si>
    <t>MOLU543139323</t>
  </si>
  <si>
    <t>100-010120</t>
  </si>
  <si>
    <t>2760i09</t>
  </si>
  <si>
    <t>06/08 - Recebido docs. Draft enviado.
07/08 - Di registrada. Canal amarelo.</t>
  </si>
  <si>
    <t>06/08 - Recebido docs. Draft enviado.
07/08 - Di registrada. Canal verde.</t>
  </si>
  <si>
    <t>S-VMI-3305i09</t>
  </si>
  <si>
    <t>ID3-940051_7</t>
  </si>
  <si>
    <t>A-3307i09</t>
  </si>
  <si>
    <t>Asia Vital</t>
  </si>
  <si>
    <t>ISZX980334</t>
  </si>
  <si>
    <t>A-3309i09</t>
  </si>
  <si>
    <t>ISZX980333</t>
  </si>
  <si>
    <t>21/12 - Recebida informação do embarque. Compradora autorizou.
28/12 - Processo com o despachante.MAWB 404-22218560. Carga chegou hoje as 06h45.
29/12 - DI registrada. Canal verde.</t>
  </si>
  <si>
    <t>09/06 - Recebi faturas. Questionei se estavam vindo no mesmo BL.
12/06 - Oderlei confirmou que está vindo separado. Inf. Ref.
Navio previsto p/ 03/07.
23/06 - Ag. nova Po de compras.
25/06 - Recebi PO. Draft enviado.
03/07 - Navio esta na barra, aguardando atracação.
06/07 - Ag. Presença de carga. DI registrada. Ag. parametrização.
07/07 - Canal verde.</t>
  </si>
  <si>
    <t>05/08 - Recebida informação do embarque.
06/08 - Ag. Autorização do comprador. Autorizado. Processo com o despachante.
13/08 - ETA: 15/08        aprox. 23:00hs.
17/08 - Carga chegou dia 16/08 as 03h20. DI registrada.
18/08 - Canal verde.</t>
  </si>
  <si>
    <t>08/10 - Recebida invoices.
09/10 - Recebida Das.
13/10 - Processo enviado ao despachante. DI registrada. Em análise fiscal. Enviada GARE para pgto.
14/10 - Canal verde. Recebido comprovante de ICMS as 11h50. Enviado ao despachante. Nfe já está OK.</t>
  </si>
  <si>
    <t>13/10 - Compradora informou sobre nacionalização.
14/10 - Processo com o despachante. Di registrada. Ag. Parametrização.
15/10 - Canal amarelo. DI distribuída para o fiscal Tozzi. 
16/10 - Desembaraçada.</t>
  </si>
  <si>
    <t>22/01 - Recebida informação do embarque. Compradora autorizou.
26/01 - Recebida cópia de HAWB. ETA VCP 01/02. Ag. Pré alerta.
27/01 - Enviada ref. Processo com o despachante.
28/01 - Compradora enviou PO lines ao despachante.
01/02 - MAWB 045-60005385. ETA: 02/02 aprox. 10:00hs.
02/02 - Carga chegou as 09h20.
03/02 - Di registrada. Canal verde.</t>
  </si>
  <si>
    <t>14/09 - Recebido docs. Enviado draft. DI registrada. Em análise fiscal.
15/09 - Canal verde.</t>
  </si>
  <si>
    <t>14/09 - Recebido docs. Enviado draft.DI registrada. Em análise fiscal.
15/09 - Canal verde.</t>
  </si>
  <si>
    <t>6170i09</t>
  </si>
  <si>
    <t>27/10 - Recebida invoices. 
03/11 - Processo enviado ao despachante.
04/11 - Di registrada. Canal verde. Enviada GARE para pgto.
05/11 - Enviado comprovante de ICMS ao despachante.</t>
  </si>
  <si>
    <t>SBG-5409i09</t>
  </si>
  <si>
    <t>AAH0089368
AAH0089393
AAH0089396
AAH0089398
AAH0089400
AAH0089402
AAH0089403
AAH0089406</t>
  </si>
  <si>
    <t>E-9P10</t>
  </si>
  <si>
    <t>E-10P10</t>
  </si>
  <si>
    <t>4600026624
4600026516
4600026785
4600026779</t>
  </si>
  <si>
    <t>15/05 - Recebi invoice.
22/05 - Ag. Detalhes de chegada.
02/06 - Recebi cópia do BL. Previsto p/ chegar em Santos dia 10/06.
12/06 - Navio atracou.
15/06 - Ag. Desconsolidação.
17/06 - Presença de carga OK. Solicitei registro da DI. DI registrada. Ag. parametrização.
18/06 - Canal verde.
19/06 - Entregue.</t>
  </si>
  <si>
    <r>
      <t>EMBARQUE CRÍTICO</t>
    </r>
    <r>
      <rPr>
        <sz val="10"/>
        <rFont val="Arial"/>
        <family val="2"/>
      </rPr>
      <t xml:space="preserve">
29/06 - Recebi invoice. Guilherme solicitou inf. p/ o fornecedor sobre o BL. 
30/06 - Recebi cópia do BL. Previsto p/ chegar em Santos dia 19/07.
14/07 - BL original enviado via DHL no tracking 2085236123. Ag. Chegada.
15/07 - Recebido BL original.
17/07 - ETA SSZ 20/07.
20/07 - Navio esperado para hoje as 13:00h. Navio em Santos. Ag. atracação.
21/07 - Navio atracou ontem (20/07), container entrou no terminal hoje às 02:17h. Container se encontra aguardando desconsolidação. Invoice e PL originais no tracking Fedex 8653 7226 5797. Presença de carga OK. DI registrada. Em análise fiscal.
22/07 - Canal verde.</t>
    </r>
  </si>
  <si>
    <t>17/12 - Recebida informação do embarque. Compradora autorizou.
21/12 - Enviada ref. Processo com o despachante. Embarque previsto chegar em MIA dia 22/12.
28/12 - MAWB 369-36797891. carga chegou em 26/12 as 16h10. Di registrada. Canal verde.</t>
  </si>
  <si>
    <t>21/08 - Navio atracado. Ag. Entrada do container no terminal.
24/08 - Carga no Libra. Ag. Presença de carga.
25/08 - Presença de carga OK. Ag. Autorização para registro de DI.
15/10 - Di registrada. Canal verde.</t>
  </si>
  <si>
    <t>090831-160_2</t>
  </si>
  <si>
    <t>A-VMI-4631i09</t>
  </si>
  <si>
    <t>AAH0088319</t>
  </si>
  <si>
    <r>
      <t>Desembaraço em SSZ por conta da Foxconn.</t>
    </r>
    <r>
      <rPr>
        <sz val="9"/>
        <rFont val="Arial"/>
        <family val="2"/>
      </rPr>
      <t xml:space="preserve">
04/09 - HP providenciou endosso do BL. Despachante deu aceite via sistema.
10/09 - Dctos enviados a Santos. Entrada na RF para regularização e posterior registro de DI. Recebido protocolo de desbloqueio as 15h55.
11/09 - Recebido invoices.
12/09 - Enviada invoices ao despachante.
15/09 - Processo OK na RF. Ag. presença de carga. DI registrada. Em análise fiscal. Canal verde esperado para as 18h00. Enviada GARE para pgto. Ag. comprovante. 14h40. Solicitada emissão de NF. 15h47. Recebida NF. Enviado ao despachante.
16/09 - Inspeção de madeira agendada para hoje a tarde.
17/09 - 08h40 Carregamento efetuado com sucesso, veículo está á caminho da Foxconn escoltado.</t>
    </r>
  </si>
  <si>
    <t>14/09 - Recebido docs. Invoice com preço errado. Ag. Correção.
15/09 - Recebida invoice correta. Draft enviado.
16/09 - DI registrada. Canal verde.</t>
  </si>
  <si>
    <t>A-VMI-4276i09</t>
  </si>
  <si>
    <t>22/01 - Recebido dctos da compradora.
25/01 - Expeditors informou que a carga ficará pronta em 28/01.
28/01 - Ag. Chegada da carga no warehouse da Expeditors. Enviada ref. Processo com o despachante.
29/01 - Expeditors informou que a carga será dividida em 3 HAWBs devido ao grande volume. Compradora informou que não está autorizado devido a mudança no valor do frete. Ag. novas instruções para abrir as refs# de acordo com os houses.
02/02 - Compradora informou que o embarque está autorizado.
05/02 - Embarque previsto chegar em MIA hoje.
08/02 - MAWB 549-20774165. Carga chegou em 07/02 as 18h50. DI registrada. Canal verde.</t>
  </si>
  <si>
    <t>1162i10</t>
  </si>
  <si>
    <t>DMCQHKG2171586</t>
  </si>
  <si>
    <t>1163i10</t>
  </si>
  <si>
    <t>DMCQHKG2178728</t>
  </si>
  <si>
    <t>1166i10</t>
  </si>
  <si>
    <t>27/10 - Recebida invoices. 
03/11 - Processo enviado ao despachante.
04/11 - Di registrada. Canal vermelho. Enviada GARE para pgto.
05/11 - Enviado comprovante de ICMS ao despachante.
10/11 - Fiscal Feliciano. Desembaraçada. Nfe enviada ao despachante.</t>
  </si>
  <si>
    <t>5660i09</t>
  </si>
  <si>
    <t>DMCQYAT2894377</t>
  </si>
  <si>
    <t>19/08 - Recebi documentos da compradora.
25/08 - Referência enviada ao despachante. Invoice e PL originais enviados a Santos por malote. Solicitamos a inclusão da NCM 8504 no BL. Processo possui de LI Alto falante. ETA SSZ 26/08.
31/08 - Navio atracou ontem. Aguardo o término da operação do navio e entrada do container no terminal.
03/09 - Um dos containers descarregou ontem, porem continuamos aguardando a entrada de mais 2 unidades para completar o lote.
10/09 - Seguradora liberou processo para remoção.
20/09 - Recebida fotos de avarias.
22/09 - Seguradora liberou para registro da DA. DA registrada. Canal amarelo.
23/09 - Fiscal Renato. Desembaraçado.
24/09 - CD 06314-10</t>
  </si>
  <si>
    <r>
      <t>Remoção, sem entreposto.</t>
    </r>
    <r>
      <rPr>
        <sz val="10"/>
        <rFont val="Arial"/>
        <family val="2"/>
      </rPr>
      <t xml:space="preserve">
24/09 - Recebido docs
25/09 - Enviada ref. Ao despachante.</t>
    </r>
    <r>
      <rPr>
        <b/>
        <sz val="10"/>
        <rFont val="Arial"/>
        <family val="2"/>
      </rPr>
      <t xml:space="preserve"> ETA SSZ 26/09.
</t>
    </r>
    <r>
      <rPr>
        <sz val="10"/>
        <rFont val="Arial"/>
        <family val="2"/>
      </rPr>
      <t>28/09 - Navio atracou hoje.
29/09 - Container está com lacre diferente. Para remoção, será feita averiguação para checar onde foi o erro. Se for o vendor/Foxconn, haverá correção de BL (R$ 155,00) e ficamos passivos de multa de R$ 5.000,00. Questionei compradora como proceder.
01/10 - Solicitei a Original posicionamento do container para verificar pessoalmente o lacre do mesmo.
02/10 - Após conferência física feita pelo despachante, foi constatado que não há divergência de lacre.
05/10 - Ag. deferimento de LI.
06/10 - DTA canal verde.
07/10 - Remoção prevista para amanhã.
08/10 - Remoção hoje. Li deferida. Carga chegou no Libra a noite.
09/10 - Presença de carga OK. DI registrada. Canal amarelo.
14/10 - Distribuida para o fiscal Tozzi. Desembaraçada.</t>
    </r>
  </si>
  <si>
    <t>4886i09</t>
  </si>
  <si>
    <t>WSZSTS09071016</t>
  </si>
  <si>
    <t>20/08 - Recebido docs. Enviado draft. DI registrada. Canal amarelo.
21/08 - Desembaraçada.</t>
  </si>
  <si>
    <t>S-VMI-2885i09</t>
  </si>
  <si>
    <t>ID3-940051_4
ID3-940051_5</t>
  </si>
  <si>
    <t>EGLV142950266096</t>
  </si>
  <si>
    <t>2915i09</t>
  </si>
  <si>
    <r>
      <t xml:space="preserve">31/08 - Recebido docs. Compradora autorizou.
02/09 - Enviada ref. A Expeditors e despachante. Carga prevista para chegar em MIA dia 03/09. Ag. Confirmação do fabricante para emissão de LI.
03/09 - Enviado fabricante. Ag. </t>
    </r>
    <r>
      <rPr>
        <sz val="9"/>
        <color indexed="10"/>
        <rFont val="Arial"/>
        <family val="2"/>
      </rPr>
      <t xml:space="preserve">Deferimento da LI.
</t>
    </r>
    <r>
      <rPr>
        <sz val="9"/>
        <rFont val="Arial"/>
        <family val="2"/>
      </rPr>
      <t>04/09 - Carga em processo de validação.
05/09 - MAWB 369-50253803. ETA: 06/09        aprox. 17:00hs.
08/09 - Carga chegou em 05/09 as 14h35. Visado em 06/09 as 11h29. A invoice 1101496444 estava com PN errado. Enviada correta ao despachante.
09/09 - Ag. deferimento da LI para registro de DI.
10/09 - Li deferida.
11/09 - 11/09 - DI registrada. Canal amarelo.
14/09 - Fiscal Nivaldo. Desembaraçado.</t>
    </r>
  </si>
  <si>
    <t>09/09 - Recebido docs. Compradora autorizou. 
10/09 - Enviada ref. Processo com o despachante.
11/09 - MAWB: 297-69000886. ETA: 16/09 aprox.20:00h.
17/09 - Carga chegou em 15/09 as 09h05. Mantra visado em 15/09 as 16h33. DI registrada. Canal verde.</t>
  </si>
  <si>
    <t>29/10 - Navio atracado.
09/11 - Ag. Laudo do M.A para remoção.
10/11 -  Carga será removida em 11/11.
11/11 - Caminhão no terminal. Ag. Carregamento.
12/11 - Presença de carga OK. DA registrada. Canal amarelo.
16/11 - Li deferida.
17/11 - Distribuído para o fiscal Renato. DA desembaraçada. CD 06449-09.</t>
  </si>
  <si>
    <t>09/1585330-7</t>
  </si>
  <si>
    <t>09/1555790-2</t>
  </si>
  <si>
    <t>6663i09</t>
  </si>
  <si>
    <t>A-2941i09</t>
  </si>
  <si>
    <t>KC-9320</t>
  </si>
  <si>
    <t>A-3096i09</t>
  </si>
  <si>
    <t>10/08 - Recebida informação do embarque. Compradora autorizou.
12/08 - Enviada ref. Processo com o despachante.
14/08 - ETA: 15/08        aprox. 18:00hs. MAWB 045-59908310.
18/08 - Carga chegou em 15/08 as 16h20. Di registrada. Canal verde.</t>
  </si>
  <si>
    <t>10/1106074-6</t>
  </si>
  <si>
    <t>10/1106434-2</t>
  </si>
  <si>
    <t>933i10</t>
  </si>
  <si>
    <t>YM Tianjin</t>
  </si>
  <si>
    <r>
      <t xml:space="preserve">29/10 - Navio atracado.
30/10 - Solicitada </t>
    </r>
    <r>
      <rPr>
        <sz val="10"/>
        <color indexed="10"/>
        <rFont val="Arial"/>
        <family val="2"/>
      </rPr>
      <t>emissão de LI</t>
    </r>
    <r>
      <rPr>
        <sz val="10"/>
        <rFont val="Arial"/>
        <family val="2"/>
      </rPr>
      <t>. Ag. Deferimento.
09/11 - Di registrada. Canal amarelo.
10/11 - Fiscal Potiguara.
11/11 - Desembaraçada.
12/11 - Inspeção de madeira hoje a tarde. Não há janela de carregamento para 13/11, por isso será carregada em 16/11. Comprador ciente. Carregamento agendado para 16/11 as 07h00.
16/11 - Caminhão no terminal ag. carregamento.</t>
    </r>
  </si>
  <si>
    <t>DMCQYAT2886729</t>
  </si>
  <si>
    <t>05/08 - Recebido docs. Draft enviado.Di registrada. Canal amarelo.</t>
  </si>
  <si>
    <t>05/08 - Recebido docs. Draft enviado.Di registrada. 
06/08 - Canal verde.</t>
  </si>
  <si>
    <t>ZCE</t>
  </si>
  <si>
    <t>NE-3261i09</t>
  </si>
  <si>
    <t>LibraPort</t>
  </si>
  <si>
    <t>Ag. Autorização da compradora para registro de DI.
13/05 - Guilherme autorizou o registro da DI. Enviei Draft recalculado. DI registrada. Ag. Parametrização.
14/05 - Canal Vermelho.
15/05 - CONF. FISICA AGENDADA PARA 18/05. 
18/05 - Desembaraçada. Entregue p/ carregamento. Entregue.</t>
  </si>
  <si>
    <t>10/06 - Recebi invoices.
12/06 - Inf. Ref. Navio previsto p/ chegar dia 15/06 em Santos.
17/06 - Ag. DTA p/ remoção.
24/06 - Será removido hoje.
25/06 - Carga removida. Presença de carga OK. Ag. Autorização p/ registro de DI.
01/07 - Priscila solicitou o registro p/ amanhã.
02/07 - DI registrada. Canal vermelho.
03/07 - Ag. distribuição.
06/07 - Inspeção de madeira.
07/07 - Entregue.</t>
  </si>
  <si>
    <t>Buyer</t>
  </si>
  <si>
    <t>PO</t>
  </si>
  <si>
    <t>25/06- Docs, recebido
30/06- Ag. ETA VCP. Draft enviado.
06/07- Ag. Registro.Carga chegou em 28/06 as 17h25.
08/07 - Di registrada. Ag. Parametrização.
09/07 - Canal verde.</t>
  </si>
  <si>
    <r>
      <t xml:space="preserve">11/12 - Recebido dctos da compradora.
14/12 - Processo enviado ao despachante. </t>
    </r>
    <r>
      <rPr>
        <b/>
        <sz val="10"/>
        <rFont val="Arial"/>
        <family val="2"/>
      </rPr>
      <t xml:space="preserve">ETA SSZ 24/12.
</t>
    </r>
    <r>
      <rPr>
        <sz val="10"/>
        <rFont val="Arial"/>
        <family val="2"/>
      </rPr>
      <t>24/12 - Navio atracado.
28/12 - Presença de carga OK. DI registrada. Em análise fiscal.
29/12 - Canal verde.</t>
    </r>
  </si>
  <si>
    <t>17/12 - Recebida informação do embarque. Compradora autorizou.
21/12 - Enviada ref. Processo com o despachante. Embarque previsto chegar em MIA dia 22/12.
28/12 - MAWB 369-36797891. Carga chegou em 26/12 as 16h10. Di registrada. Ag. Parametrização.
29/12 - Canal verde.</t>
  </si>
  <si>
    <t>14/07 - Docs Recebidos
15/07 - Divergência de incoterm. Ag. Definição para seguir com o processo.
17/07 - Definido processo. Docs com o despachante. DI registrada. Ag. Parametrização.
20/07 - Canal verde. Ag. Comprovante de pgto de ICMS.
21/07 - Enviado comprovante de ICMS. Carga OK para carregamento. 17h40.</t>
  </si>
  <si>
    <t>5001279933
5001280377</t>
  </si>
  <si>
    <t>KC-9232</t>
  </si>
  <si>
    <t>EBP-960102</t>
  </si>
  <si>
    <t>28/08 - Recebido docs. DI será registrada em 01/09 devido ao fechamento do mês.
01/09 - DI registrada. Ag. Parametrização. Nfe não foi emitida devido a problemas no dpto. fiscal. Canal amarelo.
02/09 - Desembaraçadado.</t>
  </si>
  <si>
    <t>06/10 - Recebido dctos da compradora.
07/10 - Processo com o despachante. ETA SSZ 13/10.
13/10 - Navio esperado para as 19h00.
14/10 - Navio atracou em 13/10 as 19h05. Ag. Entrada do container no terminal. LI deferida.
15/10 - DI registrada. Canal amarelo.
19/10 - Di distribuída para o fiscal Miguel. Em análise. Desembaraçada. Inspeção de madeira agendada para amanhã a tarde.</t>
  </si>
  <si>
    <r>
      <t xml:space="preserve">06/07 - Guilherme solicitou a conferência do BL.
07/07 - Solicitei linhas da PO. Ag. PO correta.
09/07 - Recebida invoice correta. Solicitada </t>
    </r>
    <r>
      <rPr>
        <sz val="10"/>
        <color indexed="10"/>
        <rFont val="Arial"/>
        <family val="2"/>
      </rPr>
      <t xml:space="preserve">emissão de LI. </t>
    </r>
    <r>
      <rPr>
        <sz val="10"/>
        <rFont val="Arial"/>
        <family val="2"/>
      </rPr>
      <t>Previsão de</t>
    </r>
    <r>
      <rPr>
        <b/>
        <sz val="10"/>
        <rFont val="Arial"/>
        <family val="2"/>
      </rPr>
      <t xml:space="preserve"> ETA SSZ 26/07.</t>
    </r>
    <r>
      <rPr>
        <sz val="10"/>
        <rFont val="Arial"/>
        <family val="2"/>
      </rPr>
      <t xml:space="preserve">
15/07 - LI deferida.
27/07 - Navio atracou hoje. Problemas com itens no PO. Ag. Linhas.
28/07 - Cobrei comprador os docs originais.
30/07 - Recebido docs originais. Enviados a Santos. Problema de PO solucionado. Draft com o despachante. DI registrada. Canal amarelo.
03/08  Fiscal exigiu documentação que comprova usufruir de isenção de IPI.
07/08 - Desembaraçada.</t>
    </r>
  </si>
  <si>
    <t>S-VMI-3295i09</t>
  </si>
  <si>
    <t>ID3-950056_3</t>
  </si>
  <si>
    <t>09/09 - Recebido invoice e PL da compradora.
12/09 - Solicitada cópia de BL. Processo com o despachante.
25/09 - Recebido BL.
30/09 - BL enviado ao despachante. ETA SSZ 14/10.
08/10 - Enviados dctos originais no malote.
13/10 - Navio esperado para amanhã, sem horário ainda.
14/10 - Navio atrasou. Previsto para 15/10.
16/10 - Navio na barra. Ag. atracação. Desembaraço na Libra.
20/10 - Navio atracado. Início da operação as 07h00.
21/10 - DI registrada. Em análise fiscal. Canal verde.
22/10 - Carregamento agendado para hoje as 20h30.</t>
  </si>
  <si>
    <r>
      <t xml:space="preserve">17/10 - Navio atracado.
19/10 - Trazer para a fábrica em 23/10. DI registrada. Em análise fiscal.
20/10 - Canal verde.
21/10 - Terminal não posicionou o container. Inspeção de madeira agendada para hoje.
</t>
    </r>
    <r>
      <rPr>
        <b/>
        <sz val="10"/>
        <rFont val="Arial"/>
        <family val="2"/>
      </rPr>
      <t>22/10 - Compradora informou que carga deve ser entregue quarta-feira, 28/10. Despachante avisado.</t>
    </r>
  </si>
  <si>
    <t>NE-5080i09</t>
  </si>
  <si>
    <t>ABG-5079i09</t>
  </si>
  <si>
    <t>AAH0089100</t>
  </si>
  <si>
    <t>5QR3152</t>
  </si>
  <si>
    <t>AAH0089102</t>
  </si>
  <si>
    <t>SBG-5081i09</t>
  </si>
  <si>
    <t>SBG-5082i09</t>
  </si>
  <si>
    <t>AAH0089101
AAH0089103
AAH0089104
AAH0089105
AAH0089106</t>
  </si>
  <si>
    <t>5101i09</t>
  </si>
  <si>
    <t>SZHF49724</t>
  </si>
  <si>
    <t>5102i09</t>
  </si>
  <si>
    <t>SZHF49725</t>
  </si>
  <si>
    <t>5103i09</t>
  </si>
  <si>
    <t>SZHF49722</t>
  </si>
  <si>
    <t>5104i09</t>
  </si>
  <si>
    <t>SZHF49715</t>
  </si>
  <si>
    <t>1223i10</t>
  </si>
  <si>
    <t>4600023497
4600023932
4600024183</t>
  </si>
  <si>
    <t>5QR2810</t>
  </si>
  <si>
    <r>
      <t xml:space="preserve">22/02 - Recebida invoice do agente de cargas. Compradora já havia mandado coletar a carga. Enviada ref. Processo com o despachante. Ag. Booking.
23/02 - Agente informou que o </t>
    </r>
    <r>
      <rPr>
        <b/>
        <sz val="10"/>
        <rFont val="Arial"/>
        <family val="2"/>
      </rPr>
      <t>ETA SSZ é 17/03.</t>
    </r>
    <r>
      <rPr>
        <sz val="10"/>
        <rFont val="Arial"/>
        <family val="2"/>
      </rPr>
      <t xml:space="preserve"> Ag. Pré alerta.
04/03 - Recebido pré alerta. Despachante em cópia.</t>
    </r>
    <r>
      <rPr>
        <b/>
        <sz val="10"/>
        <rFont val="Arial"/>
        <family val="2"/>
      </rPr>
      <t xml:space="preserve"> ETA SSZ 17/03.
</t>
    </r>
    <r>
      <rPr>
        <sz val="10"/>
        <rFont val="Arial"/>
        <family val="2"/>
      </rPr>
      <t xml:space="preserve">10/03 - Questionei agente sobre BL original. Dcto deve ser retirado em Santos.
17/03 - Cobrei invoice e PL originais da compradora. Navio atracado.
22/03 - Di registrada. Em análise fiscal.
23/03 - Canal verde. </t>
    </r>
    <r>
      <rPr>
        <b/>
        <sz val="10"/>
        <rFont val="Arial"/>
        <family val="2"/>
      </rPr>
      <t>Compradora informou que carga pode ser entregue em 29/03.</t>
    </r>
  </si>
  <si>
    <t>26/06 - Recebi invoices.
29/06 - Inf. Ref.
30/06 - Previsto p/ chegar dia 10/07 em Santos.
13/07 - DI registrada. Ag. Parametrização. Canal verde.</t>
  </si>
  <si>
    <t>A-VMI-3709i09</t>
  </si>
  <si>
    <t>AAH0086788</t>
  </si>
  <si>
    <r>
      <t>28/09 - Recebido invoices da compradora.
30/09 - Processo enviado ao despachante. Solicitada cópia de BL a compradora. Solicitada</t>
    </r>
    <r>
      <rPr>
        <sz val="10"/>
        <color indexed="10"/>
        <rFont val="Arial"/>
        <family val="2"/>
      </rPr>
      <t xml:space="preserve"> emissão de LI.
</t>
    </r>
    <r>
      <rPr>
        <sz val="10"/>
        <rFont val="Arial"/>
        <family val="2"/>
      </rPr>
      <t>05/10 - Recebido dctos originaos.
08/10 - Enviado dctos originais a Santos.
09/10 - LI deferida.
13/10 -</t>
    </r>
    <r>
      <rPr>
        <b/>
        <sz val="10"/>
        <rFont val="Arial"/>
        <family val="2"/>
      </rPr>
      <t xml:space="preserve"> Navio esperado para 14/10.
</t>
    </r>
    <r>
      <rPr>
        <sz val="10"/>
        <rFont val="Arial"/>
        <family val="2"/>
      </rPr>
      <t xml:space="preserve">14/10 - Navio atrasou. </t>
    </r>
    <r>
      <rPr>
        <b/>
        <sz val="10"/>
        <rFont val="Arial"/>
        <family val="2"/>
      </rPr>
      <t xml:space="preserve">Previsto para 15/10.
</t>
    </r>
    <r>
      <rPr>
        <sz val="10"/>
        <rFont val="Arial"/>
        <family val="2"/>
      </rPr>
      <t>20/10 - Navio atracado.
21/10 - Di registrada. Canal amarelo.
27/10 - Distribuído para fiscal Maria Antonieta, em análise. Fiscalização fez a seguinte exigência: APRESENTAR CATÁLOGO DO FABRICANTE  COM FOTO E ESPECIFICAÇÕES.
28/10 - Solicitei catálogo a compradora e Engenharia.
29/10 - Recebido catálogo do vendor.
30/10 - Enviado catálogo ao despachante. Ag. retorno.
04/11 - Di encaminhada para conferência física.
05/11 - Desembaraçada.
06/11 - Problemas com emissão de NFe filhotes. Carga será entregue na terça-feira. Compras ciente.
09/11 - Despachante informou (16h10) que a NFe filha 1823 está com o valor errado. Enviado ao dpto fiscal. Ag. correção. Enviada NFe correta 11h15.
11/11 - Veículo carregado. Ag. chegada na fábrica.</t>
    </r>
  </si>
  <si>
    <t>07/01 - Recebida informação do embarque. Compradora autorizou.
11/01 - Enviada ref. Processo com o despachante. Previsão de ETA MIA hoje.
13/01 - Recebido dctos originais da China. Caso de canal vermelho ou amarelo, enviar a VCP. MAWB: 369 36743453. ETA VCP hoje. Ag. confirmação.
14/01 - Carga chegou em 13/01 as 16h15. DI registrada. Canal verde.</t>
  </si>
  <si>
    <t>264i10</t>
  </si>
  <si>
    <t>17/09 - Recebido docs.Processo enviado ao despachante. Di registrada. Em análise fiscal.
18/09 - Canal verde. Enviada GARE para pgto. Ag. Comprovante. Enviado comprovante de pgto da GARE + NF ao despachante. 15h00.
21/09 - Carga pronta para coleta. Compradora avisada.</t>
  </si>
  <si>
    <r>
      <t>Black Gold já com diferimento de ICMS.</t>
    </r>
    <r>
      <rPr>
        <sz val="9"/>
        <rFont val="Arial"/>
        <family val="2"/>
      </rPr>
      <t xml:space="preserve">
19/11 - Recebido dctos.
24/11 - Processo enviado ao despachante. Draft enviado. DI registrada. Canal verde.</t>
    </r>
  </si>
  <si>
    <t>03/09 - Recebido docs. Enviado draft.
04/09 - DI registrada. Em análise fiscal.
08/09 - Canal verde.</t>
  </si>
  <si>
    <t>ETA SSZ 25/05
25/05 - Ag. atracação do navio.
26/06 - Navio atracado. Ag. Presença.
27/05 - Ag. Presença. Enviado lista itens para emissao da DTA - Emitida Li (09/072866-3) para Auto-falante-ag. deferimento.
02/06 - Mercadoria prevista p/ chegar no Libra as 19:48hs.
04/06 - Presença de carga OK. Ag. deferimento da LI. Bco do Brasil com problemas. Acúmulo de processos p/ análise. Previsão de 72hs p/ deferimento.
08/06 - LI deferida. Ag. autorização p/ registro da DI.
16/07 - Compradora solicitou registro de DI. Di registrada. Canal amarelo.</t>
  </si>
  <si>
    <t>2860i09</t>
  </si>
  <si>
    <t>PG745492</t>
  </si>
  <si>
    <t>DMCQHKG2127924</t>
  </si>
  <si>
    <t>NE-2971i09</t>
  </si>
  <si>
    <t>E-20P08</t>
  </si>
  <si>
    <t>S-VMI-3246i09</t>
  </si>
  <si>
    <t>2200001002_3</t>
  </si>
  <si>
    <t>NE-2973i09</t>
  </si>
  <si>
    <r>
      <t xml:space="preserve">05/01 - Recebido invoice e PL da compradora.
11/01 - Processo com o despachante. Solicitada </t>
    </r>
    <r>
      <rPr>
        <sz val="10"/>
        <color indexed="10"/>
        <rFont val="Arial"/>
        <family val="2"/>
      </rPr>
      <t>emissão de LI.</t>
    </r>
    <r>
      <rPr>
        <sz val="10"/>
        <rFont val="Arial"/>
        <family val="2"/>
      </rPr>
      <t xml:space="preserve"> </t>
    </r>
    <r>
      <rPr>
        <b/>
        <sz val="10"/>
        <rFont val="Arial"/>
        <family val="2"/>
      </rPr>
      <t xml:space="preserve">ETA SSZ 14/01.
</t>
    </r>
    <r>
      <rPr>
        <sz val="10"/>
        <rFont val="Arial"/>
        <family val="2"/>
      </rPr>
      <t>14/01 - Navio atracado a 01h55. Em operação (08h55). Li deferida.
15/01 - Container no terminal. Presença de carga OK. DI registrada. Canal amarelo.
19/01 - Fiscal Solange.
20/01 - Desembaraçada. Inspeção de madeira agendada para amanhã.</t>
    </r>
  </si>
  <si>
    <t>453i10</t>
  </si>
  <si>
    <t>HK101287516</t>
  </si>
  <si>
    <t>14/10 - Recebido dctos. Draft enviado. Di registrada. Ag. Parametrização.
15/10 - Canal amarelo.  Desembaraçado.</t>
  </si>
  <si>
    <t>B820792</t>
  </si>
  <si>
    <t>5UFE045</t>
  </si>
  <si>
    <t>1097i10</t>
  </si>
  <si>
    <t>1181i10</t>
  </si>
  <si>
    <t>P820704</t>
  </si>
  <si>
    <t>DGG035025</t>
  </si>
  <si>
    <t>1384i10</t>
  </si>
  <si>
    <r>
      <t>Carga com seguro.</t>
    </r>
    <r>
      <rPr>
        <sz val="10"/>
        <rFont val="Arial"/>
        <family val="2"/>
      </rPr>
      <t xml:space="preserve">
11/02 - Recebida informação do embarque. Compradora autorizou.
12/02 - Recebido booking. </t>
    </r>
    <r>
      <rPr>
        <b/>
        <sz val="10"/>
        <rFont val="Arial"/>
        <family val="2"/>
      </rPr>
      <t>ETA SSZ 18/03.</t>
    </r>
    <r>
      <rPr>
        <sz val="10"/>
        <rFont val="Arial"/>
        <family val="2"/>
      </rPr>
      <t xml:space="preserve">
19/02 - Processo enviado ao despachante.
23/02 - Recebida cópia do BL. Enviado ao despachante.
17/03 - Dctos originais disponíveis amanhã em Santos. Despachante avisado.  Seguradora informada sobre o processo.
18/03 - Navio atracado as 10h40.
24/03 - Container no terminal.
25/03 - Seguradora liberou para desembaraço. DI registrada. Em análise fiscal.
26/03 - Canal verde. </t>
    </r>
    <r>
      <rPr>
        <b/>
        <sz val="10"/>
        <rFont val="Arial"/>
        <family val="2"/>
      </rPr>
      <t>Carga será entregue em 30/03 para desova e devolução do container.</t>
    </r>
  </si>
  <si>
    <r>
      <t>RECOF</t>
    </r>
    <r>
      <rPr>
        <sz val="10"/>
        <rFont val="Arial"/>
        <family val="2"/>
      </rPr>
      <t xml:space="preserve">
09/02 - Recebida informação do embarque. 
10/02 - Compradora autorizou.
11/02 - Enviada ref. Processo enviado ao despachante.
12/02 - Embarque previsto chegar em MIA dia 16/02.
17/02 - Embarque tem nova previsão de chegar em MIA dia 18/02.
19/02 - MAWB 369-36841545. ETA: 20/02 aprox. 19:00hs.
22/02 - Carga chegou em 20/02 as 19h05. Di registrada. Canal verde. 5F. Madeira não está condenada.</t>
    </r>
  </si>
  <si>
    <t>09/06 - Recebi faturas. Questionei se estavam vindo no mesmo BL.
12/06 - Oderlei confirmou que está vindo separado. Inf. Ref.
Navio previsto p/ 10/07.
23/06 - Ag. nova Po de compras.
25/06 - Recebi PO. 
29/06 - Draft enviado.
09/07 - Navio atracado.
14/07 - Alguns itens estão sem fabricante. Questionei compradora. Recebido itens.
15/07 - Enviado novo draft.
16/07 - Despachante informou que há falta de NCM no BL. Questionei NCM ao Storillo. Ag. retorno.
17/07 - Solicitada correção de BL para inclusão da NCM 3921.13.90.
21/07 - Docs em mãos do agente. Ag. autorização da origem para correção.
23/07 - Cobrei agente de cargas.
28/07 - Cobrei agente de cargas/despachante. Aguardando autorização da compradora para pgto de taxas de retificação. Compradora autorizou pgto. Agente e despachante avisados.
07/08 - Cobrei agente de cargas. Prazo termina hoje.
10/08 - Cobrei agente de cargas.
11/08 - Recebido protocolo. Ag. regularização por parte da RF.
17/08 - Problemas com descrição longa. Pedi ajuda a Engenharia.
18/08 - Processo desbloqueado no Siscarga. Questionei descrição a Engenharia. DI registrada.Ag. parametrização.
19/08 - Canal verde.
20/08 - Inspeção de madeira hoje a tarde.</t>
  </si>
  <si>
    <t>5831i09</t>
  </si>
  <si>
    <t>DMCQHKG2159000</t>
  </si>
  <si>
    <t>4600022067
4600022104</t>
  </si>
  <si>
    <t>EBP-9B0519</t>
  </si>
  <si>
    <t>28/12 - Recebido dctos da compradora.
30/12 - Enviado a Expeditors solicitando status da carga. Recebido dctos da Expeditors. Compradora autorizou. Processo com o despachante.
04/01 - Recebida cópia de HAWB. Despachante em cópia.
08/01 - MAWB 045-76460160. ETA: 09/01 aprox. 22:00hs.
11/01 - Carga chegou em 09/01 as 22h25. DI registrada. Canal verde.</t>
  </si>
  <si>
    <t>SZ1444427</t>
  </si>
  <si>
    <t xml:space="preserve"> 08/1504987-5</t>
  </si>
  <si>
    <t>SZ1444438</t>
  </si>
  <si>
    <t>08/1689697-0</t>
  </si>
  <si>
    <t>SZHF43778</t>
  </si>
  <si>
    <t xml:space="preserve"> 08/1705406-0</t>
  </si>
  <si>
    <r>
      <t xml:space="preserve">25/01 - Recebida cópia de BL do agente. 
26/01 - Solicitada invoice a compradora. Recebida invoice.
27/01 - Processo enviado ao despachante. </t>
    </r>
    <r>
      <rPr>
        <sz val="10"/>
        <color indexed="10"/>
        <rFont val="Arial"/>
        <family val="2"/>
      </rPr>
      <t>LI emitida.</t>
    </r>
    <r>
      <rPr>
        <sz val="10"/>
        <rFont val="Arial"/>
        <family val="2"/>
      </rPr>
      <t xml:space="preserve"> </t>
    </r>
    <r>
      <rPr>
        <b/>
        <sz val="10"/>
        <rFont val="Arial"/>
        <family val="2"/>
      </rPr>
      <t xml:space="preserve">ETA SSZ 28/01.
</t>
    </r>
    <r>
      <rPr>
        <sz val="10"/>
        <rFont val="Arial"/>
        <family val="2"/>
      </rPr>
      <t>28/01 - Navio atracou as 08h30.
29/01 - Ag. Entrada do container no terminal. Cobrei dctos originais da compradora. BL original enviado no malote.
01/02 - Despachante informou que a NCM 8536.50.90 não consta no BL. Solicitada inclusão. Compradora ciente.
02/02 - Entregues dctos a DAMCO para correção. Ag. retorno da origem. Li deferida.
04/02 - Recebida cópia do BL com a NCM inclusa.
05/02 - Aguardando correção da CE Master.
08/02 - Invoice original enviada no malote.
09/02 - CE master retificado. Ag. retificação do house.
10/02 - Correção de NCM foi aprovada hoje no sistema. Dctos originais corrigidos serão disponibilizados amanhã de manhã. DI registrada. Canal amarelo.
11/02 - Fiscal Adil.
19/02 - Desembaraçada.</t>
    </r>
  </si>
  <si>
    <t>03/09 - Recebido docs.
02/09 - Enviado draft.
04/09 - DI registrada. Canal vermelho.
08/09 - Distribuído para fiscal Tozzi, porém o mesmo não encontra-se no armazém hoje.
09/09 - Redistribuído para fiscal Leal. Em análise. Desembaraçado.</t>
  </si>
  <si>
    <t>04/09 - Recebido docs. Enviado draft. Carga de DTAP chegou hoje ao Aurora. DI registrada. Canal amarelo.
09/09 - Desembaraçada.</t>
  </si>
  <si>
    <t>03/09 - Recebido docs. Enviado draft.
04/09 - DI registrada. Canal amarelo.
09/09 - Desembaraçada.</t>
  </si>
  <si>
    <t>S-VMI-4048i09</t>
  </si>
  <si>
    <t>ID3-960080_3</t>
  </si>
  <si>
    <r>
      <t>RECOF</t>
    </r>
    <r>
      <rPr>
        <sz val="10"/>
        <rFont val="Arial"/>
        <family val="2"/>
      </rPr>
      <t xml:space="preserve">
10/02 - Recebido dctos da compradora. 
11/02 - Navio atracado as 12h35.
12/02 - Processo enviado ao despachante. BL original ainda não está disponível para retirada. Estará na quarta-feira, 17/02.
17/02 - Container no terminal. Despachante informou que não há autorização para emissão do BL no Brasil. Solicitada autorização a origem. Compradora em cópia. DI registrada. Canal vermelho.
19/02 - BL original disponível para retirada. Fiscal Adil.
22/02 - Ag. conferência física. Desembaraçada.</t>
    </r>
  </si>
  <si>
    <r>
      <t xml:space="preserve">01/04 - Recebido dctos da compradora depois do horário.
07/04 - Processo enviado ao despachante. </t>
    </r>
    <r>
      <rPr>
        <b/>
        <sz val="10"/>
        <rFont val="Arial"/>
        <family val="2"/>
      </rPr>
      <t xml:space="preserve">ETA SSZ 08/04.
</t>
    </r>
    <r>
      <rPr>
        <sz val="10"/>
        <rFont val="Arial"/>
        <family val="2"/>
      </rPr>
      <t>16/04 - Carga no Libra. Despachante informou que está mofado e molhado. Leonardo autorizou a desova. WH ciente.
19/04 - DA registrada. Canal amarelo. DA registrada com qtdades erradas. Fiscal pediu retificação e recolhimento de multa R$ 786,87
23/04 - Fiscal Carlos. 
26/04 - Desembaraçada. Ag. CD.
28/04 - CD 02430-10</t>
    </r>
  </si>
  <si>
    <t>E-04P10</t>
  </si>
  <si>
    <t>4600025160
4600025759</t>
  </si>
  <si>
    <r>
      <t>29/09 - Recebida informação do embarque.
05/10 - Comprador autorizou. Processo com o despachante. Ag. ETA SSZ. Problemas com tarifa. Ag. Aprovação.
20/10 - Tarifa aprovada. Embarque autorizado.</t>
    </r>
    <r>
      <rPr>
        <b/>
        <sz val="10"/>
        <rFont val="Arial"/>
        <family val="2"/>
      </rPr>
      <t xml:space="preserve"> ETA SSZ 30/11.
</t>
    </r>
    <r>
      <rPr>
        <sz val="10"/>
        <rFont val="Arial"/>
        <family val="2"/>
      </rPr>
      <t>30/10 -</t>
    </r>
    <r>
      <rPr>
        <b/>
        <sz val="10"/>
        <rFont val="Arial"/>
        <family val="2"/>
      </rPr>
      <t xml:space="preserve"> Novo ETA SSZ 26/11.
</t>
    </r>
    <r>
      <rPr>
        <sz val="10"/>
        <rFont val="Arial"/>
        <family val="2"/>
      </rPr>
      <t>18/11 - Invoice original enviada no malote.
26/11 - Navio previsto para as 10h00. Navio atracado as 08h45.
30/11 - Ag. desconsolidação.
03/12 - Presença de carga OK. DI registrada. Canal verde.
07/12 - Documentação registrada veículo aguardando chamada para carregamento.</t>
    </r>
  </si>
  <si>
    <t>SZHF49614</t>
  </si>
  <si>
    <t>4899i09</t>
  </si>
  <si>
    <r>
      <t xml:space="preserve">04/01 - Recebido dctos da compradora. Pocesso enviado ao despachante. MAWB 549-20812595. </t>
    </r>
    <r>
      <rPr>
        <b/>
        <sz val="10"/>
        <rFont val="Arial"/>
        <family val="2"/>
      </rPr>
      <t xml:space="preserve">ETA VCP 04/01 as 16h00.
</t>
    </r>
    <r>
      <rPr>
        <sz val="10"/>
        <rFont val="Arial"/>
        <family val="2"/>
      </rPr>
      <t>05/01 - Carga chegou em 04/01 as 15h05. DI registrada. Canal verde.
12/01 - Pasta enviada a custos.</t>
    </r>
  </si>
  <si>
    <t>21/09 - Recebido docs.
22/09 - Processo enviado ao despachante. Di registrada. Em análise fiscal.
23/09 - Canal verde. Enviado GARE para pgto. Recebido comprovante da GARE e enviado ao despachante. Enviada NF ao despachante.</t>
  </si>
  <si>
    <t>AAH0086866</t>
  </si>
  <si>
    <t>S-VMI-3731i09</t>
  </si>
  <si>
    <t>28/09 - Recebido invoices da compradora.
30/09 - Processo enviado ao despachante.Solicitada cópia de BL a compradora.
14/10 - Invoice e PL originais enviados no malote.
15/10 - Recebida cópia de BL. ETA SSZ 29/10 as 21h00.
20/10 - Despachante vai solicitar BL original a Maersk. Ag. Liberação.
21/10 - Enviada cópia de BL ao despachante.
27/10 - BL original com o despachante.
29/10 - Navio atracou as 07h00.
30/10 - Ag. entrada do container no terminal.
03/11 - Container no terminal. DI registrada. Canal amarelo.
04/11 - Fiscal Maria Antonieta.
06/11 - Fiscalização fez a seguinte exigência, que já foi cumprida: ESCLARECER A LEGISLACAO QUE AMPARA O BENEFICIO DA SUSPENSAO DO IPI, CITANDO ARTIGOS, PARAGRAFOS, INCISOS E ALINEAS DE CADA LEGISLACAO. Desembaraçada.
09/11 - Inspeção de madeira hoje a tarde. Conforme informações do Milton e compras, o carregamento deve ser amanhã, 10/11.</t>
  </si>
  <si>
    <t>AAH0087825
AAH0087826
AAH0087827
AAH0087828
AAH0087829</t>
  </si>
  <si>
    <t>6339-0438-907.054</t>
  </si>
  <si>
    <t>146i10</t>
  </si>
  <si>
    <t>4600023008
4600023133</t>
  </si>
  <si>
    <t>SZHF51891</t>
  </si>
  <si>
    <t>147I10</t>
  </si>
  <si>
    <t>SZ1502145</t>
  </si>
  <si>
    <t>28/10 - Recebida invoices. 
03/11 - Processo enviado ao despachante.
05/11 - Di registrada. Canal verde. Enviada GARE para pgto.
06/11 - Nfe com o despachante. Enviado comprovante de ICMS ao despachante.</t>
  </si>
  <si>
    <t>5573i09</t>
  </si>
  <si>
    <t>S0910-06K</t>
  </si>
  <si>
    <t>Invoice</t>
  </si>
  <si>
    <t>ABG-4371i09</t>
  </si>
  <si>
    <t>AAH0087871</t>
  </si>
  <si>
    <t>17/07 - Recebidas invoices.
21/07 - Enviados docs originais a SSZ. Enviadas refs. ETA SSZ 24/07.
25/07 - Navio atracado.
29/07 - DA registrada. Ag. Parametrização.Canal amarelo.
30/07 - LI deferida.
03/08 - Desembaraçada. Ag. CD.
05/08 - CD 04235-09.</t>
  </si>
  <si>
    <t>4600020904
4600020917</t>
  </si>
  <si>
    <t>2200001291_4</t>
  </si>
  <si>
    <t>S-VMI-4637i09</t>
  </si>
  <si>
    <t>4600020904
4600020909</t>
  </si>
  <si>
    <t>2200001552_1</t>
  </si>
  <si>
    <t>SZYATSTS090801</t>
  </si>
  <si>
    <t>A-3423i09</t>
  </si>
  <si>
    <t>Sidnea</t>
  </si>
  <si>
    <t>FG090812</t>
  </si>
  <si>
    <r>
      <t>RECOF</t>
    </r>
    <r>
      <rPr>
        <sz val="10"/>
        <rFont val="Arial"/>
        <family val="2"/>
      </rPr>
      <t xml:space="preserve">
17/02 - Recebido dctos da compradora. </t>
    </r>
    <r>
      <rPr>
        <b/>
        <sz val="10"/>
        <rFont val="Arial"/>
        <family val="2"/>
      </rPr>
      <t>ETA SSZ 18/02</t>
    </r>
    <r>
      <rPr>
        <sz val="10"/>
        <rFont val="Arial"/>
        <family val="2"/>
      </rPr>
      <t xml:space="preserve">.
18/02 - Processo enviado ao despachante. Navio atracado.
19/02 - Despachante informou que o BL original não está disponível em Santos. Questionei compradora.
22/02 - Foi constatada uma divergência muito grande de peso neste embarque (aprox. 3.506,00 kg a menor). Solicitada repesagem. Cobrei BL original da compradora.
23/02 - Hon Hai informou que o Brasil já tem autorização para emissão. Despachante avisado. BL original com o despachante. Após repesagem, terminal constatou que houve erro na 1ª pesagem, portanto não há divergência de peso. DI registrada. Em análise fiscal.
24/02 - Canal verde. </t>
    </r>
    <r>
      <rPr>
        <b/>
        <sz val="10"/>
        <rFont val="Arial"/>
        <family val="2"/>
      </rPr>
      <t>Compradora informou que pode ser entregue em 02/03.</t>
    </r>
  </si>
  <si>
    <r>
      <t xml:space="preserve">Carga deverá ficar em Santos antes do vencimento do primeiro período de armazenagem. Caso não tenha necessidade de puxe, a mesma deverá ser removida ao LibraPort. </t>
    </r>
    <r>
      <rPr>
        <sz val="10"/>
        <rFont val="Arial"/>
        <family val="2"/>
      </rPr>
      <t xml:space="preserve">
10/02 - Recebido dctos da compradora. Processo enviado ao despachante. </t>
    </r>
    <r>
      <rPr>
        <b/>
        <sz val="10"/>
        <rFont val="Arial"/>
        <family val="2"/>
      </rPr>
      <t xml:space="preserve">ETA SSZ 11/02.
</t>
    </r>
    <r>
      <rPr>
        <sz val="10"/>
        <rFont val="Arial"/>
        <family val="2"/>
      </rPr>
      <t xml:space="preserve">11/02 - Navio atracado as 12h35.
17/02 - Container no terminal.
22/02 - Armazenagem vence em 25/02. Compradora informou que a carga deve ser removida. Despachante avisado.
25/02 - Veículo carregado aguardando autorização para trânsito.
</t>
    </r>
    <r>
      <rPr>
        <b/>
        <sz val="10"/>
        <rFont val="Arial"/>
        <family val="2"/>
      </rPr>
      <t xml:space="preserve">26/02 - Comprador solicitou nacionalização. Entregar na fábrica em 05/03.
</t>
    </r>
    <r>
      <rPr>
        <sz val="10"/>
        <rFont val="Arial"/>
        <family val="2"/>
      </rPr>
      <t>03/03 - Despachante avisado. Di registrada. Canal verde.</t>
    </r>
  </si>
  <si>
    <t>14/12 - Recebido dctos da Maxfreight. 
15/12 - Compradora autorizou.
16/12 - Enviada ref. Processo com o despachante.
17/12 - ETA VCP 24/12. Ag. Pré alerta.
21/12 - MAWB 404-2247 9811. ETA VCP 24/12 08H00.
28/12 - Carga chegou em 24/12 as 20h46. DI registrada. Canal verde.</t>
  </si>
  <si>
    <t>4600022091
4600021525</t>
  </si>
  <si>
    <t>CNV-9B0008
CNV-9A0013</t>
  </si>
  <si>
    <t>6725i09</t>
  </si>
  <si>
    <t>PG805493</t>
  </si>
  <si>
    <t>6726i09</t>
  </si>
  <si>
    <t>B805364</t>
  </si>
  <si>
    <t>6741i09</t>
  </si>
  <si>
    <t>6742i09</t>
  </si>
  <si>
    <t>EBP-9C0482</t>
  </si>
  <si>
    <t>918i10</t>
  </si>
  <si>
    <t>4300309213-A</t>
  </si>
  <si>
    <t>919i10</t>
  </si>
  <si>
    <t>4300309213-B</t>
  </si>
  <si>
    <t>931i10</t>
  </si>
  <si>
    <t>932i10</t>
  </si>
  <si>
    <t>25/08 - Recebido docs.
26/08 - Invoice errada. Recebida a correta. Enviado draft.
27/08 - Di registrada. Canal vermelho.
28/08 - Fiscal Tozzi. Desembaraçada.</t>
  </si>
  <si>
    <t>ETA SSZ 25/05
25/05 - Ag. atracação do navio.
26/05 - Navio atracado. Ag. Presença.
27/05 - Ag. Presença.
28/05 - Solicitei registro p/ o despachante. Necessário LI. Protocolado pedido emissão de LI. NCM faltando no BL.
29/05 - Ag. deferimento por parte da DRF e o BL corrigido pelo porto de origem para que possamos efetuar a troca.
01/06 - No aguardo do deferimento da DRF.
02/06 - Ag. troca do BL e deferimento da LI (Previsto p/ hoje no fim da tarde). Assim que ok poderá registrar.
03/06 - DI registrada. Ag. parametrização. Canal amarelo. Ag. distribuição.
05/06 - DI distribuída para a fiscal Solange M. A. de Lara.
08/06 - Conferência documental efetuada. DI Desembaraçada.
09/06 - Inspeção da madeira será feita hoje a tarde. Entrega prevista para amanhã às 10hs.
10/06 - Entregue.</t>
  </si>
  <si>
    <t>SZHF48066</t>
  </si>
  <si>
    <t>SZHF48065</t>
  </si>
  <si>
    <t>SZHF48067</t>
  </si>
  <si>
    <t>SZHF48068</t>
  </si>
  <si>
    <t>E-39P09</t>
  </si>
  <si>
    <t>E-40P09</t>
  </si>
  <si>
    <t>09/07-Rec.docs, faltou invoice, enviar draft somente na segunda dia 13
14/07-Invoice rec.,enviado draft.DI registrada, ag parametrização.
15/07- Canal verde, ag entrega.</t>
  </si>
  <si>
    <t>A-VMI-2693i09</t>
  </si>
  <si>
    <t>A-VMI-2845i09</t>
  </si>
  <si>
    <r>
      <t xml:space="preserve">20/08 - Recebido docs.
21/08 - Enviado processo ao despachante. ETA SSZ 27/08.
25/08 - </t>
    </r>
    <r>
      <rPr>
        <sz val="10"/>
        <color indexed="10"/>
        <rFont val="Arial"/>
        <family val="2"/>
      </rPr>
      <t>Emitida LI</t>
    </r>
    <r>
      <rPr>
        <sz val="10"/>
        <rFont val="Arial"/>
        <family val="2"/>
      </rPr>
      <t>. Ag. Deferimento.
28/09 - Navio atrasou para 01/09.
31/08 - LI deferida.
01/09 - Navio atrasou para 02/09 as 07h00.
02/09 - Navio na barra, ag. Atracação. Navio atracou as 11h45.
03/09 - DI registrada. Canal vermelho.
08/09 - Conferência documental com fiscal Potiguara.
09/09 - Fiscal colocou em exigência recolhimento da diferença da multa, porém despachante defenderá que não é devido.
10/09 - Conferência documental OK. Física agendada para amanhã.
11/09 - Conferência fisica com o fiscal Denis. Desembaraçada.</t>
    </r>
  </si>
  <si>
    <t>6557i09</t>
  </si>
  <si>
    <t>100-010362</t>
  </si>
  <si>
    <r>
      <t xml:space="preserve">14/01 - Recebida invoice da compradora. Solicitada cópia do BL.
20/01 - Recebido BL do agente de cargas.
21/01 - Enviada ref. Processo com o despachante. Solicitada inclusão de NCM no dcto. Ag. Cópia revisada. </t>
    </r>
    <r>
      <rPr>
        <b/>
        <sz val="10"/>
        <rFont val="Arial"/>
        <family val="2"/>
      </rPr>
      <t xml:space="preserve">ETA SSZ 14/02.
</t>
    </r>
    <r>
      <rPr>
        <sz val="10"/>
        <rFont val="Arial"/>
        <family val="2"/>
      </rPr>
      <t>25/01 - Solicitada PO lines.
26/01 - Recebida cópia de BL revisada. Dcto OK. Enviado ao despachante.
08/02 - Recebida PO lines. Despachante em cópia.
10/02 - Dctos originais enviados no malote.
15/02 - Navio atracado.
17/02 - Container no terminal.
18/02 - Presença de carga OK. Di registrada.
19/02 - Canal verde. Inspeção de madeira em 22/02.
26/02 - Container descarregado.</t>
    </r>
  </si>
  <si>
    <t>DMCQYAT3021082</t>
  </si>
  <si>
    <t>27/10 - Recebida invoices. 
03/11 - Processo enviado ao despachante.
04/11 - Di registrada. Canal verde. Enviada GARE para pgto.
05/11 - Enviado comprovante de ICMS ao despachante.
09/11 - Nfe com o despachante.</t>
  </si>
  <si>
    <t>Santos
Tecondi</t>
  </si>
  <si>
    <t>NE-5586I09</t>
  </si>
  <si>
    <t>NE-5590i09</t>
  </si>
  <si>
    <t>5597i09</t>
  </si>
  <si>
    <t>595-92042</t>
  </si>
  <si>
    <t>WSZSTS09100224</t>
  </si>
  <si>
    <t>SZHF46098</t>
  </si>
  <si>
    <t>11/09 - Recebido docs.
18/09 - Enviada ref. Ao despachante. ETA SSZ 20/09.
21/09 - Navio atracou em 19/09.
22/09 - DI registrada. Em análise fiscal.
23/09 - Canal verde. Inspeção de madeira agendada para 24/09 a tarde.
28/09 - Carga será entregue na fábrica em 01/10.</t>
  </si>
  <si>
    <t>NE-4502i09</t>
  </si>
  <si>
    <t>NE-4503i09</t>
  </si>
  <si>
    <t>A-3663i09</t>
  </si>
  <si>
    <r>
      <t>24/09 - Recebido docs
25/09 - Enviada ref. Ao despachante.</t>
    </r>
    <r>
      <rPr>
        <b/>
        <sz val="10"/>
        <rFont val="Arial"/>
        <family val="2"/>
      </rPr>
      <t xml:space="preserve"> ETA SSZ 26/09.
</t>
    </r>
    <r>
      <rPr>
        <sz val="10"/>
        <rFont val="Arial"/>
        <family val="2"/>
      </rPr>
      <t>28/09 - Navio atracou hoje.
29/09 - Container está com lacre diferente. Para remoção, será feita averiguação para checar onde foi o erro. Se for o vendor/Foxconn, haverá correção de BL (R$ 155,00) e ficamos passivos de multa de R$ 5.000,00. Questionei compradora como proceder.
01/10 - Solicitei a Original posicionamento do container para verificar pessoalmente o lacre do mesmo.
02/10 - Após conferência física feita pelo despachante, foi constatado que não há divergência de lacre.
05/10 - Ag. deferimento de LI.
06/10 - Di registrada. Canal amarelo.
08/10 - DI aguardando distribuição. Di distribuída para o fiscal ADIL.
09/10 - Exigência da fiscalização: APRESENTAR RETIFICAçãO NOS DADOS COMPLEMENTARES INCLUINDO A PORTARIA INTERMINISTERIAL QUE HABILITOU A EMPRESA à FRUIçãO DOS BENEFíCIOS FISCAIS DE QUE TRATA O DEC. 5.906/06.
13/10 - Desembaraçada. Inspeção de madeira em 14/10 a tarde.</t>
    </r>
  </si>
  <si>
    <r>
      <t xml:space="preserve">21/12 - Recebido dctos da compradora.
28/12 - Processo enviado ao despachante. Solicitada </t>
    </r>
    <r>
      <rPr>
        <sz val="10"/>
        <color indexed="10"/>
        <rFont val="Arial"/>
        <family val="2"/>
      </rPr>
      <t>emissão de LI.</t>
    </r>
    <r>
      <rPr>
        <sz val="10"/>
        <rFont val="Arial"/>
        <family val="2"/>
      </rPr>
      <t xml:space="preserve"> ETA SSZ 07/01/2010.
31/12 - LI deferida.
07/01 - Navio previsto para as 21h00.
08/01 - Navio atracou a 00h40. Em operação (08h40).
11/01 - Desistência da avaria. DI registrada. Canal amarelo.
12/01 - Fiscal Adil.
13/01 - Desembaraçada. Compradora informou que pode ser entregue em 18/01.
14/01 - Compradora pediu para antecipar entrega para amanhã, 15/01.</t>
    </r>
  </si>
  <si>
    <t>07/07 - Recebidas invoices.
09/07 - Enviados docs originais a SSZ.
13/07 - Enviadas refs. ETA SSZ 18/07.
20/07 - Navio atracou em 18/07. Ag. Descarga e desova.
27/07 - DA registrada. Canal amarelo.
29/07 - Fiscal Leal. Em análise. Desembaraçada. CD 04099-09.</t>
  </si>
  <si>
    <t>284i10</t>
  </si>
  <si>
    <t>21 dias</t>
  </si>
  <si>
    <r>
      <t>16/11 - Recebido dctos.
17/11 - Processo enviado ao despachante. Solicitada</t>
    </r>
    <r>
      <rPr>
        <sz val="10"/>
        <color indexed="10"/>
        <rFont val="Arial"/>
        <family val="2"/>
      </rPr>
      <t xml:space="preserve"> emissão de LI.</t>
    </r>
    <r>
      <rPr>
        <sz val="10"/>
        <rFont val="Arial"/>
        <family val="2"/>
      </rPr>
      <t xml:space="preserve"> </t>
    </r>
    <r>
      <rPr>
        <b/>
        <sz val="10"/>
        <rFont val="Arial"/>
        <family val="2"/>
      </rPr>
      <t xml:space="preserve">ETA SSZ 19/11.
</t>
    </r>
    <r>
      <rPr>
        <sz val="10"/>
        <rFont val="Arial"/>
        <family val="2"/>
      </rPr>
      <t>19/11 - Navio atracou as 07h00.
23/11 - Presença de carga OK. Ag. Deferimento da LI.
27/11 - LI deferida. Di registrada. Canal amarelo.
30/11 - Distribuído para o Fiscal Adil.
01/12 - Desembaraçada. Inspeção de madeira amanhã a tarde.
02/12 - Container agendado para amanha as 07h00.
03/12 - Caminhão seguindo para a FBR.</t>
    </r>
  </si>
  <si>
    <t>29/01 - Recebida informação do embarque. Compradora autorizou. Enviada ref. Processo com o despachante.
01/02 - Embarque previsto chegar em MIA dia 03/02. 
04/02 - MAWB 369-36841431. ETA: 04/02 aprox. 23:00hs.
05/02 - Carga chegou em 04/02 as 23h15. DI registrada. Canal verde.</t>
  </si>
  <si>
    <r>
      <t>Black Gold já com diferimento de ICMS.</t>
    </r>
    <r>
      <rPr>
        <sz val="9"/>
        <rFont val="Arial"/>
        <family val="2"/>
      </rPr>
      <t xml:space="preserve">
19/11 - Recebido dctos.
24/11 - Processo enviado ao despachante. Draft enviado. Di registrada. Em análise fiscal.
25/11 - Canal verde.</t>
    </r>
  </si>
  <si>
    <t>6053i09</t>
  </si>
  <si>
    <t>FSH0167</t>
  </si>
  <si>
    <t>6058i09</t>
  </si>
  <si>
    <r>
      <t>Remoção, sem entreposto.</t>
    </r>
    <r>
      <rPr>
        <sz val="10"/>
        <rFont val="Arial"/>
        <family val="2"/>
      </rPr>
      <t xml:space="preserve">
10/02 - Recebido dctos da compradora. Processo enviado ao despachante. Navio atracou em 04/02.
17/02 - DTA registrada. Comprador solicitou nacionalização. Despachante avisado.
18/02 - </t>
    </r>
    <r>
      <rPr>
        <b/>
        <sz val="10"/>
        <rFont val="Arial"/>
        <family val="2"/>
      </rPr>
      <t xml:space="preserve">Compradora informou que precisa da carga na fábrica em 25/02.
</t>
    </r>
    <r>
      <rPr>
        <sz val="10"/>
        <rFont val="Arial"/>
        <family val="2"/>
      </rPr>
      <t>19/02 - Remoção prevista para segunda-feira, 22/02.
23/02 - Presença de carga OK. DI registrada. Canal vermelho.
24/02 - Fiscal Madruga.
25/02 - Em conferência física foram encontrados PNs difrentes dos declarados na DI. Haverá retificação de multa de R$ 2.000,00. Desembaraçada.</t>
    </r>
  </si>
  <si>
    <t>4600022914
4600022989</t>
  </si>
  <si>
    <t>MAXHK512798</t>
  </si>
  <si>
    <t>21/12 - Recebido dctos da compradora.
28/12 - Processo enviado ao despachante. Ag. Navio de transbordo e ETA SSZ.
29/10 - ETA SSZ 31/12.
04/01 - Navio atracado em 03/01. Verificando descarga.
06/01 - Presença de carga OK. DI registrada. Canal verde. Inspeção de madeira amanhã, 07/01.</t>
  </si>
  <si>
    <t>5001202311
5001206921
5001202292</t>
  </si>
  <si>
    <t>CMA CGM Copernic</t>
  </si>
  <si>
    <t>SZ1489588</t>
  </si>
  <si>
    <t>CSCL Kingstone</t>
  </si>
  <si>
    <t>SZ1491318</t>
  </si>
  <si>
    <t>CMA CGM Orchid</t>
  </si>
  <si>
    <t>SZ1490758</t>
  </si>
  <si>
    <t>DA</t>
  </si>
  <si>
    <t>E-6696/2008</t>
  </si>
  <si>
    <t>NE-922i09</t>
  </si>
  <si>
    <t>E-31P08</t>
  </si>
  <si>
    <t>NE-4433I08</t>
  </si>
  <si>
    <r>
      <t>**CREDIT NOTE**</t>
    </r>
    <r>
      <rPr>
        <sz val="10"/>
        <rFont val="Arial"/>
        <family val="2"/>
      </rPr>
      <t xml:space="preserve">
20/04 - Pedi a compradora que o exportador envie autorização para inclusão de NCM no BL.
30/04 - Enviado termo de responsabilidade no malote.
07/05 - Processo OK p/ registro. Solicitamos se devemos utilizar o credit note no valor da mercadoria ou devemos aguardar novas instruções.
08/05 - Conforme conversado com Ricardo Silva, não utilizaremos o Credit Note .
11/05 - Problema de NCM errada na DA. Abri chamado. Ag. solução de TI p/ registro da DI.
12/05 - Alteração da NCM por TI. Antidumping não está batendo. 
13/05 - Canal amarelo. Desembaraçada. Problema de antidumping na NF. Solicitei ajuda TI.
14/05 - Problema da NF resolvido. Enviei NF p/ o Libra.Mercadoria entregue.</t>
    </r>
  </si>
  <si>
    <t>14/05 - Docs recebidos. Draft enviado. DI registrada.
15/05 - Canal Amarelo. Desembaraçada.Entregue.</t>
  </si>
  <si>
    <t>SBG-4830i09</t>
  </si>
  <si>
    <t>AAH0088620
AAH0088621
AAH0088622</t>
  </si>
  <si>
    <t>SBG-4831i09</t>
  </si>
  <si>
    <t>AAH0088623</t>
  </si>
  <si>
    <t>6339-0442-908.021</t>
  </si>
  <si>
    <t>09/1387160-0</t>
  </si>
  <si>
    <t>NE-4832i09</t>
  </si>
  <si>
    <r>
      <t xml:space="preserve">28/08 - Recebido docs da DHL.
31/08 - Enviado a compradora. Ag. Retorno.
01/09 - Compradora não autorizou pq a invoice está errada. Ag. Correta.
04/09 - Compradora informou que ainda está negociando correções na invoice.
09/09 - Compradora enviou invoice correta autorizando o embarque. Agente de cargas em cópia.
10/09 - Cobrei agente de cargas. Processo com o despachante.
11/09 - Carga estava prevista para ficar pronta ontem e ag. docs originais. ETA MIA: 13/09.
15/09 - MAWB: 404-2212 8315. </t>
    </r>
    <r>
      <rPr>
        <b/>
        <sz val="9"/>
        <rFont val="Arial"/>
        <family val="2"/>
      </rPr>
      <t xml:space="preserve">ETA VCP: 16/09.
</t>
    </r>
    <r>
      <rPr>
        <sz val="9"/>
        <rFont val="Arial"/>
        <family val="2"/>
      </rPr>
      <t>17/09 - Carga chegou em 16/09 as 23h30. Visado em 17/09 as 09h45. Di registrada. Em análise fiscal.
18/09 - Canal verde.</t>
    </r>
  </si>
  <si>
    <t>A-4285i09</t>
  </si>
  <si>
    <t>100-010205</t>
  </si>
  <si>
    <t>A-VMI-4298i09</t>
  </si>
  <si>
    <t>AAH0087691</t>
  </si>
  <si>
    <t>S-VMI-4301i09</t>
  </si>
  <si>
    <t>H822639265
H822639266
H822639267
H822639268
H822639269
H822639270
H822639271</t>
  </si>
  <si>
    <t>MAX-0912259</t>
  </si>
  <si>
    <t>6664i09</t>
  </si>
  <si>
    <t>H822641541
H822641542
H822641543
H822641544
H822641545
H822641546</t>
  </si>
  <si>
    <t>MAX-0912260</t>
  </si>
  <si>
    <t>6665i09</t>
  </si>
  <si>
    <t>H822647683</t>
  </si>
  <si>
    <t>MAX-0912261</t>
  </si>
  <si>
    <t>320i10</t>
  </si>
  <si>
    <t>A-VMI-3226i09</t>
  </si>
  <si>
    <t>AAH0086009</t>
  </si>
  <si>
    <t>21/09 - Recebido docs.
22/09 - Processo enviado ao despachante.
23/09 - Di registrada. Enviada GARE para pgto. Solicitada emissão de NF. Enviada NF ao despachante.
24/09 - Enviado comprovante de ICMS ao despachante.</t>
  </si>
  <si>
    <t>NE-4425i09</t>
  </si>
  <si>
    <t>SBG-5196i09</t>
  </si>
  <si>
    <t>06/01 - Recebda cópia de invoice da compradora. Solicitada cópia de BL para abertura do processo.
09/02 - Recebida cópia do BL através do agente de cargas. Navio atracado.
10/02 - Processo enviado ao despachante. Solicitei ao comprador os dctos originais para efetuar a troca em Santos.
11/02 - Presença de carga OK. DI registrada. Canal verde. Solicitei ao comprador BL original para liberação da carga.
16/02 - Recebido BL original.
17/02 - Enviado BL no malote.
19/02 - Previsão de ETA FBR 22/02.</t>
  </si>
  <si>
    <r>
      <t xml:space="preserve">27/08 - Recebido docs para emissão de LI. Invoice sem valor do frete. Ag. Informação.
28/08 - Recebida invoice correta. Processo com o despachante. </t>
    </r>
    <r>
      <rPr>
        <sz val="9"/>
        <color indexed="10"/>
        <rFont val="Arial"/>
        <family val="2"/>
      </rPr>
      <t xml:space="preserve">Ag. Deferimento da LI.
</t>
    </r>
    <r>
      <rPr>
        <sz val="9"/>
        <rFont val="Arial"/>
        <family val="2"/>
      </rPr>
      <t xml:space="preserve">02/09 - </t>
    </r>
    <r>
      <rPr>
        <b/>
        <sz val="9"/>
        <rFont val="Arial"/>
        <family val="2"/>
      </rPr>
      <t>Novo ETA VCP 07/09</t>
    </r>
    <r>
      <rPr>
        <sz val="9"/>
        <rFont val="Arial"/>
        <family val="2"/>
      </rPr>
      <t xml:space="preserve">. Autorizado embarque para o agente de cargas. Recebido HAWB.
08/09 - Carga chegou em 07/09 as 08h45. Li deferida. A informação de chegada foi lançada erroneamente no sistema. Novo </t>
    </r>
    <r>
      <rPr>
        <b/>
        <sz val="9"/>
        <rFont val="Arial"/>
        <family val="2"/>
      </rPr>
      <t xml:space="preserve">ETA VCP hoje as 22h00.
</t>
    </r>
    <r>
      <rPr>
        <sz val="9"/>
        <rFont val="Arial"/>
        <family val="2"/>
      </rPr>
      <t>09/09 - Carga chegou em 08/09 as 22h25. DI registrada. Ag. parametrização. Canal vermelho. 16h40. Entrada na RF.
10/09 - Ag. distribuição prevista para 12h00. Fiscal João Batista. Fiscal pediu para aguardar 02 a 03 dias úteis. Brasiliense vai insistir para conferência amanhã.
14/09 - Desembaraçada.</t>
    </r>
  </si>
  <si>
    <t>04/01 - Processo complementar do A-6514i09. Essas peças vieram via courier e haverá denúncia espontânea para inclusão no processo passado. Despachante avisado. Solicitada cópia do livro 6 ao dpto. Fiscal. Enviadas faturas do courier para pgto.
07/01 - Enviados DARFs para pgto.
08/01 - Enviados protocolos ao despachante.
12/01 - Recebido protocolo de retificação. Enviado ao WH. Solicitada emissão de NFE.</t>
  </si>
  <si>
    <t>09/12 - Compradora enviou dctos solicitando coleta.
10/12 - Expeditors solicitou telefone de contato do shipper.
14/12 - Enviada ref. Processo com o despachante. Ag. Retorno da compradora. Compradora enviou contato e endereço de coleta a Expeditors.
15/12 - Recebida da Expeditors documentação com outro valor da inicial.
17/12 - Embarque previsto chegar em MIA dia 19/12.
18/12 - Questionei compradora qual o dcto correto para registro de DI. Compradora informou que o dcto correto é o que ela enviou (inicial).
23/12 - MAWB 404-22218523. ETA: 24/12 aprox. 16:00hs.
28/12 - Carga chegou em 24/12 as 20h46. DI registrada. Canal verde.</t>
  </si>
  <si>
    <t>25/09 - Recebido dctos.
29/09 - Processo enviado ao despachante.Di registrada. Ag. Parametrização. Canal verde. Enviado processo para emissão de Nfe.
30/09 - Enviado comprovante de ICMS.
01/10 - Enviada Nfe ao despachante.</t>
  </si>
  <si>
    <t>04/08 - Recebido docs. Ag. Retorno do financeiro se haverá dinheiro em conta para pgto de ICMS. Registro de DI autorizado. Processo com o despachante. DI registrada. Ag. Parametrização.
05/08 - Canal verde.Ag. comprovante de pgto de ICMS e emissão de NF.
06/08 - Recebido comprovante de pgto de ICMS. Enviado ao despachante. Ag. liberação da carga.
07/08 - Processo OK para coleta. Foxconn Sorocaba avisada.</t>
  </si>
  <si>
    <t>AAH0087858
AAH0087865
AAH0087868</t>
  </si>
  <si>
    <t>6339-0442-908.015</t>
  </si>
  <si>
    <t>21/08 - Navio atracado. Ag. Entrada do container no terminal.
24/08 - Presença de carga OK. DI registrada. Em análise fiscal.
25/08 -Canal verde.
28/08 - Não há espaço na fábrica. Caminhão será descarregado em 29/08.</t>
  </si>
  <si>
    <t>04/04 - Navio atracou.
08/04 - DTA ag. Parametrização.
13/04 - DTA canal verde. Carga sendo removida ao Libra.
14/04 - DA registrada.
15/04 - Canal verde. Ag. Emissão de CD.
16/04 - CD 02228-09</t>
  </si>
  <si>
    <t>E-28P09</t>
  </si>
  <si>
    <t>SZ1494856</t>
  </si>
  <si>
    <t>E-29P09</t>
  </si>
  <si>
    <t>SZ1494851</t>
  </si>
  <si>
    <t>AAH0089714
AAH0089715
AAH0089716
AAH0089717
AAH0089718</t>
  </si>
  <si>
    <r>
      <t xml:space="preserve">01/10 - Recebido docs
02/10 - Enviada ref. Ao despachante. </t>
    </r>
    <r>
      <rPr>
        <b/>
        <sz val="10"/>
        <rFont val="Arial"/>
        <family val="2"/>
      </rPr>
      <t xml:space="preserve">ETA SSZ 02/10.
</t>
    </r>
    <r>
      <rPr>
        <sz val="10"/>
        <rFont val="Arial"/>
        <family val="2"/>
      </rPr>
      <t>04/10 - Navio atracado.
13/10 - Remoção prevista para hoje.
15/10 - DA registrada. Canal vermelho.
16/10 - Fiscal Madruga.
20/10 - En conferência física fiscal pegou divergências entre PNs. PART NUMBER DAS ADICOES NAO CORRESPONDEM AOS BENS CONFERIDOS. RETIFICAR E RECOLHER MULTA ART. 711,III DO R.A. Ag. lista dos PNs.
22/10 - Recebida lista de PNs depois do horário.
23/10 - Enviado a compras. Ag. retorno.
26/10 - Compradora informou que a DA deve ser retificada, porém será só amanhã devido ao feriado na RF.
27/10 - DA retificada. Multa recolhida. Ag. desembaraço. Desembaraçada. CD 05958-09.</t>
    </r>
  </si>
  <si>
    <t>10/06 - Recebi invoices no fim da tarde.
12/06 - Inf. Ref. Navio previsto p/ chegar dia 15/06 em Santos. Ag. Nº PO e linhas da Camila.
15/06 - Recebi linhas. Faltando NCM no BL.
16/06 - Presença de carga OK. Ag. Correção do BL.
17/06 - Processo ok p/ registro. DI registrada. Ag. parametrização.
18/06 - Canal verde.
19/06 - Ag. inspeção da madeira. Não haverá recebimento amanhã.
22/06 - Entregue.</t>
  </si>
  <si>
    <t>US10906241</t>
  </si>
  <si>
    <t>A-VMI-3450i09</t>
  </si>
  <si>
    <t>AAH0086344</t>
  </si>
  <si>
    <t>A-VMI-3451i09</t>
  </si>
  <si>
    <t>AAH0086343</t>
  </si>
  <si>
    <t>A-VMI-3452i09</t>
  </si>
  <si>
    <t>AAH0086337</t>
  </si>
  <si>
    <t>A-VMI-3453i09</t>
  </si>
  <si>
    <t>AAH0086338</t>
  </si>
  <si>
    <t>30/11 - Recebida informação do embarque. Comprador autorizou. Enviada ref. Processo com o despachante. 
03/12 - Embarque previsto chegar em MIA dia 04/12.
07/12 - MAWB 404-22218641. Carga chegou em VCP hoje as 03h20. DI registrada. Canal verde. Madeira sujeita a inspeção (5F).
09/12 - Madeira não está condenada. Ag. entrega na FBR.</t>
  </si>
  <si>
    <t>07/10 -  Recebido dctos. Draft enviado. Di registrada. Canal amarelo.
08/10 - Desembaraçada.</t>
  </si>
  <si>
    <t>06/10 - Compradora informou sobre a nacionalização. 
07/10 - Processo com o despachante.
08/10 - Di registrada. Canal verde.</t>
  </si>
  <si>
    <t>AAH0087444
AAH0087445
AAH0087446
AAH0087447
AAH0087448
AAH0087449
AAH0087450
AAH0087451
AAH0087452</t>
  </si>
  <si>
    <t>ID3-980049_1</t>
  </si>
  <si>
    <t>DMCQSGH1090983</t>
  </si>
  <si>
    <t>4598i09</t>
  </si>
  <si>
    <t>S0908-10K</t>
  </si>
  <si>
    <t>DGG023523</t>
  </si>
  <si>
    <r>
      <t>RECOF</t>
    </r>
    <r>
      <rPr>
        <sz val="10"/>
        <rFont val="Arial"/>
        <family val="2"/>
      </rPr>
      <t xml:space="preserve">
05/01 - Recebido invoice e PL da compradora.
11/01 - Processo com o despachante. </t>
    </r>
    <r>
      <rPr>
        <b/>
        <sz val="10"/>
        <rFont val="Arial"/>
        <family val="2"/>
      </rPr>
      <t xml:space="preserve">ETA SSZ 14/01.
</t>
    </r>
    <r>
      <rPr>
        <sz val="10"/>
        <rFont val="Arial"/>
        <family val="2"/>
      </rPr>
      <t>14/01 - Navio atracado a 01h55. Em operação (08h55).
15/01 - Ag. Entrada do container no terminal.
18/01 - DI registrada. Em análise fiscal.
19/01 - Canal verde. Inspeção de madeira hoje a tarde. Problemas com a emissão da NFe. Aberto chamado com IT.</t>
    </r>
  </si>
  <si>
    <t>40744173
40743835
40743287
40743834
40744172</t>
  </si>
  <si>
    <t>100-010177</t>
  </si>
  <si>
    <t>A-3793i09</t>
  </si>
  <si>
    <t>100-010178</t>
  </si>
  <si>
    <t>A-3794i09</t>
  </si>
  <si>
    <t>PG764879</t>
  </si>
  <si>
    <t>SBG-5613i09</t>
  </si>
  <si>
    <t>25/05 - Autorizado. Enviei docs e inf ref.
04/06 - Recebi BL. Previsto p/ chegar em Santos dia 27/06.
29/06 - Ag. Confirmação de atracação do navio. Atracou dia 28/06.
30/06 a 01/07 - Ag. desova e desconsolidação.
02/07 - DI registrada. Ag. parametrização.
03/07 - Canal verde. Amanhã não tem recebimento. Será entregue na segunda-feira.
06/07 - Entregue.</t>
  </si>
  <si>
    <t>01/02 - Recebida informação do embarque. MAWB 045-76635322. ETA VCP 04/02.
04/02 - Carga chegou em 03/02 as 23h50. Processo enviado ao despachante.
05/02 - DI registrada. Canal verde.</t>
  </si>
  <si>
    <r>
      <t xml:space="preserve">10/02 - Recebida informação do embarque. Comprador autorizou.
15/02 - Recebido pré alerta. MAWB 020-22406193. </t>
    </r>
    <r>
      <rPr>
        <b/>
        <sz val="10"/>
        <rFont val="Arial"/>
        <family val="2"/>
      </rPr>
      <t>ETA VCP 17/02.</t>
    </r>
    <r>
      <rPr>
        <sz val="10"/>
        <rFont val="Arial"/>
        <family val="2"/>
      </rPr>
      <t xml:space="preserve">
16/02 - Enviada ref. Processo enviado ao despachante.
17/02 - Carga chegou as 03h00.
18/02 - Di registrada. Canal verde.</t>
    </r>
  </si>
  <si>
    <t>1212i10</t>
  </si>
  <si>
    <t>01/09 - Recebido docs. 
02/09 - Autorizado. Processo com o despachante.
10/09 - ETA MIA: 11/09.
14/09 - Cobrei agente de cargas. Carga chegou em MIA no dia 12/09 e esta passando pelo processo de inbound.
15/09 - Recebida linhas do PO. Enviado ao despachante.
16/09 - MAWB: 549 2073 5923. ETA: 17/09 - 17:40.
17/09 - Carga chegou as 17h10.
18/09 - Mantra visado as 05h54. DI registrada. Em análise fiscal.
21/09 - Canal verde.</t>
  </si>
  <si>
    <r>
      <t xml:space="preserve">03/09 - Recebida informação do embarque. Ag. Autorização de compras.
05/09 - Questionei Daniella sobre a autorização desse embarque.
09/09 - Carga ON HOLD pois não sabe quem é o comprador responsável.
14/09 - Expeditors enviou o número dos Pos.
15/09 - Cobrei Priscila Serral e Daniella Costa. Há custo de armazenagem da carga no HUB da Expeditors. Questionei que será responsável pelos mesmos.
16/09 - Recebido POs corretos.
17/09 - Compradora autorizou, mas informou que os valores da invoice estão errados.
21/09 - Recebida invoice correta. Processo enviado ao despachante. </t>
    </r>
    <r>
      <rPr>
        <b/>
        <sz val="10"/>
        <rFont val="Arial"/>
        <family val="2"/>
      </rPr>
      <t xml:space="preserve">ETA SSZ 18/10.
</t>
    </r>
    <r>
      <rPr>
        <sz val="10"/>
        <rFont val="Arial"/>
        <family val="2"/>
      </rPr>
      <t>09/10 -</t>
    </r>
    <r>
      <rPr>
        <b/>
        <sz val="10"/>
        <rFont val="Arial"/>
        <family val="2"/>
      </rPr>
      <t xml:space="preserve"> ETA SSZ 15/10.
19/10 - Navio esperado para hoje, sem previsão de horário.</t>
    </r>
    <r>
      <rPr>
        <sz val="10"/>
        <rFont val="Arial"/>
        <family val="2"/>
      </rPr>
      <t xml:space="preserve"> Navio atracado.
20/10 - Ag. desconsolidação.
21/10 - Agdo inspeção do MA para desova.
23/10 - Desistência de avaria. DI registrada. Em análise fiscal.
27/10 - Canal verde.</t>
    </r>
  </si>
  <si>
    <t>Fabrique</t>
  </si>
  <si>
    <t>28/07 - Compradora solicitou nacionalização para semana 32.
31/07 - Di será registrada em 03/08.
03/08 - DI registrada. Ag. Parametrização. Canal amarelo. Fiscal Tozzi. Desembaraçada.</t>
  </si>
  <si>
    <t>A-VMI-3180i09</t>
  </si>
  <si>
    <t>AAH0088854</t>
  </si>
  <si>
    <t>A-VMI-3181i09</t>
  </si>
  <si>
    <t>21/08 - Navio atracado. Ag. Entrada do container no terminal.
24/08 - Presença de carga OK. DI registrada. Em análise fiscal.
25/08 -Canal verde.</t>
  </si>
  <si>
    <t>3684i09</t>
  </si>
  <si>
    <t>KC-9378</t>
  </si>
  <si>
    <t>S-VMI-3702i09</t>
  </si>
  <si>
    <t>Daniella</t>
  </si>
  <si>
    <t>GHGI-090107_6</t>
  </si>
  <si>
    <t>S-VMI-3703i09</t>
  </si>
  <si>
    <t>2200001002_5</t>
  </si>
  <si>
    <t>6339-0442-909.016</t>
  </si>
  <si>
    <t>MSC Noa</t>
  </si>
  <si>
    <t>SBG-5410i09</t>
  </si>
  <si>
    <t>AAH0089394
AAH0089397</t>
  </si>
  <si>
    <t>6339-0442-909.019</t>
  </si>
  <si>
    <t>Cap Moreton</t>
  </si>
  <si>
    <r>
      <t xml:space="preserve">24/08 - Recebida informação do embarque. Comprador autorizou.
25/08 - Enviada ref. Ao despachante. Ag. Dados do vôo.
05/09 - MAWB 297-68984952. </t>
    </r>
    <r>
      <rPr>
        <b/>
        <sz val="9"/>
        <rFont val="Arial"/>
        <family val="2"/>
      </rPr>
      <t xml:space="preserve">ETA: 05/09        aprox. 17:00hs.
</t>
    </r>
    <r>
      <rPr>
        <sz val="9"/>
        <rFont val="Arial"/>
        <family val="2"/>
      </rPr>
      <t>09/09 - Carga chegou em 08/09 as 17h50. Mantra visado em 09/09 as 06h04. DI registrada. Em análise fiscal.
10/09 - Canal verde.</t>
    </r>
  </si>
  <si>
    <t>202i10</t>
  </si>
  <si>
    <t>NE-206i10</t>
  </si>
  <si>
    <t>213i10</t>
  </si>
  <si>
    <t>KC-A020</t>
  </si>
  <si>
    <t>216i10</t>
  </si>
  <si>
    <t>Z040177052</t>
  </si>
  <si>
    <t>17/12 - Recebido dctos da Itatrans VCP. Fedex BSO. MAWB 023-67369024. Carga chegou em 16/12 as 17h20. Frete do HAWB está prepaid e compradora informou que é collect.
18/12 - Questionei FEDEX sobre qual informação é correta. Compradora avisada. Fedex informou que o frete é collect e será feito um CCA. Prazo de regularização de 2 dias úteis.
22/12 - Cobrei agente de cargas. Processo OK. DI registrada. Em análise fiscal.
23/12 - Canal verde.</t>
  </si>
  <si>
    <r>
      <t xml:space="preserve">21/07 - Enviados docs originais no malote e ref. Ao despachante. </t>
    </r>
    <r>
      <rPr>
        <b/>
        <sz val="10"/>
        <rFont val="Arial"/>
        <family val="2"/>
      </rPr>
      <t xml:space="preserve">ETA SSZ 24/07.
</t>
    </r>
    <r>
      <rPr>
        <sz val="10"/>
        <rFont val="Arial"/>
        <family val="2"/>
      </rPr>
      <t>25/07 - Navio atracado.
27/07 - DI registrada. Ag. Parametrização.
28/07 - Canal vermelho.
29/07 -  Fiscal Ricardo Pereira – AG. agendamento da conferencia física.
03/08 - Desembaraçado.</t>
    </r>
  </si>
  <si>
    <t>S-VMI-3598i09</t>
  </si>
  <si>
    <t>Essa DA não foi registrada pois a invoice já estava vencida e a compradora solicitou registro de DI direto. Trata-se do processo S-763i09</t>
  </si>
  <si>
    <t>-</t>
  </si>
  <si>
    <t>Maersk Dabou</t>
  </si>
  <si>
    <t>SZHF46329</t>
  </si>
  <si>
    <t>4600016205
4600014676</t>
  </si>
  <si>
    <t>SHZ0815308</t>
  </si>
  <si>
    <t>S-2205i09</t>
  </si>
  <si>
    <t>SZ1503689</t>
  </si>
  <si>
    <t>6339-0442-909.015</t>
  </si>
  <si>
    <t>SBG-5614i09</t>
  </si>
  <si>
    <t>AAH0089719
AAH0089720</t>
  </si>
  <si>
    <t>SBG-5615i09</t>
  </si>
  <si>
    <t>21/08 - Navio atracado. Ag. Entrada do container no terminal.
24/08 - Remoção prevista para hoje. Carga no Libra.
25/08 - Presença de carga OK. Despachante informou que está faltando a NCM 7318.15.00 no BL. Solicitado inclusão ao Libra. DA registrada. Canal vermelho.
26/08 - LI deferida.
28/08 - Fiscal Madruga. Conferência em 31/08.
31/08 - Conferencia física agendada para hoje / fiscal Madruga. Desembaraçada. CD 04823-09.</t>
  </si>
  <si>
    <t>NE-3875i09</t>
  </si>
  <si>
    <t>11/02 - Navio atracado. Questionei compradora sobre a invoice.
22/02 - Recebida invoice. Processo enviado ao despachante.
23/02 - DI registrada. Canal vermelho.
24/02 - Fiscal Adil.
25/02 - Fiscal da conferência física Paulo de Tarso. Desembaraçada.</t>
  </si>
  <si>
    <t>FSH0032</t>
  </si>
  <si>
    <t>1316i10</t>
  </si>
  <si>
    <t>SZHF52533</t>
  </si>
  <si>
    <t>1317i10</t>
  </si>
  <si>
    <t>AAH0085843
AAH0085844
AAH0085845</t>
  </si>
  <si>
    <r>
      <t xml:space="preserve">27/10 - Recebida informação do embarque.
28/10 - Recebida invoice do agente. Compradora autorizou.
06/11 - Enviada ref. Ag. Cópia de BL e ETA SSZ. </t>
    </r>
    <r>
      <rPr>
        <b/>
        <sz val="10"/>
        <rFont val="Arial"/>
        <family val="2"/>
      </rPr>
      <t>ETA SSZ 18/11.</t>
    </r>
    <r>
      <rPr>
        <sz val="10"/>
        <rFont val="Arial"/>
        <family val="2"/>
      </rPr>
      <t xml:space="preserve">
18/11 - Navio atracado.
19/11 - Container aguardando aut. da Receita para inspeção e desova.
24/11 - Desistência de avaria.
25/11 - DI registrada. Canal verde.
</t>
    </r>
    <r>
      <rPr>
        <b/>
        <sz val="10"/>
        <rFont val="Arial"/>
        <family val="2"/>
      </rPr>
      <t>26/11 - Compradora informou que a carga pode ser entregue em 01/12.</t>
    </r>
  </si>
  <si>
    <r>
      <t xml:space="preserve">27/11 - Recebido dctos.
01/12 - Processo enviado ao despachante. </t>
    </r>
    <r>
      <rPr>
        <b/>
        <sz val="10"/>
        <rFont val="Arial"/>
        <family val="2"/>
      </rPr>
      <t xml:space="preserve">ETA SSZ 03/12.
</t>
    </r>
    <r>
      <rPr>
        <sz val="10"/>
        <rFont val="Arial"/>
        <family val="2"/>
      </rPr>
      <t>02/12 - Navio atracado no final da tarde.
04/12 - Presença de carga OK no final do dia.
07/12 - DI registrada. Canal verde.
08/12 - Inspeção de madeira hoje a tarde.
09/12 - Veículo ag. carregamento.</t>
    </r>
  </si>
  <si>
    <t>04/12 - Recebido dctos.
07/12 -  MAWB 045-7516 1903. Carga chegou em 06/12 a 00h20.
08/12 - Processo enviado ao despachante. DI registrada. Em análise fiscal.
09/12 - Canal verde.</t>
  </si>
  <si>
    <t>Pegatron</t>
  </si>
  <si>
    <t>SZHF48204</t>
  </si>
  <si>
    <t>SZHF48205</t>
  </si>
  <si>
    <t>SZHF48206</t>
  </si>
  <si>
    <t>SZHF48207</t>
  </si>
  <si>
    <t>SZHF48208</t>
  </si>
  <si>
    <t>SZHF48323</t>
  </si>
  <si>
    <t>SZHF48324</t>
  </si>
  <si>
    <t>SZHF48326</t>
  </si>
  <si>
    <t>Maersk Duncan</t>
  </si>
  <si>
    <t>06/08 - Recebi invoices e AWB. Inf ref.
07/08 - Cobrei ETA do agente.
10/08 - Carga chegou em 07/08 as 21h15.DI registrada. 
11/08 - Canal verde.</t>
  </si>
  <si>
    <t>DGG028746</t>
  </si>
  <si>
    <r>
      <t xml:space="preserve">Carga deverá ficar em Santos antes do vencimento do primeiro período de armazenagem. Caso não tenha necessidade de puxe, a mesma deverá ser removida ao LibraPort. </t>
    </r>
    <r>
      <rPr>
        <sz val="10"/>
        <rFont val="Arial"/>
        <family val="2"/>
      </rPr>
      <t xml:space="preserve">
10/02 - Recebido dctos da compradora. Processo enviado ao despachante. </t>
    </r>
    <r>
      <rPr>
        <b/>
        <sz val="10"/>
        <rFont val="Arial"/>
        <family val="2"/>
      </rPr>
      <t xml:space="preserve">ETA SSZ 11/02.
</t>
    </r>
    <r>
      <rPr>
        <sz val="10"/>
        <rFont val="Arial"/>
        <family val="2"/>
      </rPr>
      <t>11/02 - Navio atracado as 12h35.
17/02 - Container no terminal.
22/02 - Armazenagem vence em 25/02. Compradora informou que a carga deve ser removida. Despachante avisado.
25/02 - Veículo carregado aguardando autorização para trânsito.
01/04 - Compradora solicitou nacionalização. Despachante ciente. DI registrada. Canal vermelho.
05/04 - Fiscal Carlos Yamada. Conferência fisica agendada para 06/04 - 10h00.
06/04 - Incoterm da fatura está errado (CPT). Fiscal mandou recolher multa por pequenos enganos (R$ 200,00). Desembaraçada.</t>
    </r>
  </si>
  <si>
    <t>NE-3463i09</t>
  </si>
  <si>
    <t>Libra</t>
  </si>
  <si>
    <t>NE-3464i09</t>
  </si>
  <si>
    <t>NE-3465i09</t>
  </si>
  <si>
    <r>
      <t>11/02 - Recebido dctos da compradora.
17/02 - Processo enviado ao despachante. Solicitada</t>
    </r>
    <r>
      <rPr>
        <sz val="10"/>
        <color indexed="10"/>
        <rFont val="Arial"/>
        <family val="2"/>
      </rPr>
      <t xml:space="preserve"> emissão de LI. </t>
    </r>
    <r>
      <rPr>
        <sz val="10"/>
        <rFont val="Arial"/>
        <family val="2"/>
      </rPr>
      <t>Aguardando navio de transbordo e ETA SSZ.
17/02 -</t>
    </r>
    <r>
      <rPr>
        <b/>
        <sz val="10"/>
        <rFont val="Arial"/>
        <family val="2"/>
      </rPr>
      <t xml:space="preserve"> ETA SSZ 07/03</t>
    </r>
    <r>
      <rPr>
        <sz val="10"/>
        <rFont val="Arial"/>
        <family val="2"/>
      </rPr>
      <t>.
03/03 - Dctos originais enviados no malote.
08/03 - Navio atracado.
09/03 - Ag. entrada do container no terminal.
10/03 - DI registrada. Canal amarelo.
11/03 - Fiscal Paulo R. Guimarães.
12/03 - Desembaraçada.
15/03 - Compradora informou que carga pode ser entregue na póxima semana, porém já está pagando demurrage. Solicitei entrega imediata.</t>
    </r>
  </si>
  <si>
    <r>
      <t xml:space="preserve">24/11 - Recebido dctos da compradora. ETA SSZ 26/11.
26/11 - Processo com o despachante. </t>
    </r>
    <r>
      <rPr>
        <sz val="10"/>
        <color indexed="10"/>
        <rFont val="Arial"/>
        <family val="2"/>
      </rPr>
      <t>Solicitado LI.</t>
    </r>
    <r>
      <rPr>
        <sz val="10"/>
        <rFont val="Arial"/>
        <family val="2"/>
      </rPr>
      <t xml:space="preserve"> Navio atracado as 08h45.
30/11 - Presença de carga OK.
02/12 - Li deferida. DI registrada. Canal amarelo.
04/12 - Fiscal Nilva. Fiscal fez exigência de extrato do FGTS. Ag. retorno dpto. fiscal.
08/12 - Desembaraçada. Inspeção de madeira amanhã a tarde.
10/12 - Documentação no registro veículo aguardando chamada para carregamento.</t>
    </r>
  </si>
  <si>
    <t>6483i09</t>
  </si>
  <si>
    <t>6484i09</t>
  </si>
  <si>
    <t>CNV-9B0009</t>
  </si>
  <si>
    <t>6488i09</t>
  </si>
  <si>
    <t>PA802957</t>
  </si>
  <si>
    <t>5UEH175</t>
  </si>
  <si>
    <r>
      <t>DI RECOF.</t>
    </r>
    <r>
      <rPr>
        <sz val="10"/>
        <rFont val="Arial"/>
        <family val="2"/>
      </rPr>
      <t xml:space="preserve">
11/12 - Recebido dctos da compradora.
14/12 - Processo enviado ao despachante. </t>
    </r>
    <r>
      <rPr>
        <b/>
        <sz val="10"/>
        <rFont val="Arial"/>
        <family val="2"/>
      </rPr>
      <t xml:space="preserve">ETA SSZ 24/12.
</t>
    </r>
    <r>
      <rPr>
        <sz val="10"/>
        <rFont val="Arial"/>
        <family val="2"/>
      </rPr>
      <t>24/12 - Navio atracado.
28/12 - Presença de carga OK.
29/12 - DI registrada. Em análise fiscal.
30/12 - Canal verde. Inspeção de madeira hoje a tarde. Compradora informou que pode ser entregue em 04/01/2010.</t>
    </r>
  </si>
  <si>
    <t>6958i09</t>
  </si>
  <si>
    <t>S0912-14K</t>
  </si>
  <si>
    <t>HKG/SSZ/01508</t>
  </si>
  <si>
    <t>4600020925
4600021254
4600022088</t>
  </si>
  <si>
    <t>NE-5018i09</t>
  </si>
  <si>
    <t>09/07-Rec.docs, faltou invoice, enviar draft somente na segunda dia 13
14/07-Invoice rec.,enviado draft. DI registrada, ag parametrização.
15/07- Canal verde, ag entrega.</t>
  </si>
  <si>
    <t>29/09 -  Recebido dctos.
30/09 - Draft enviado. Di será registrada amanhã devido ao fechamento do mês.
01/10 - DI registrada. Ag. Parametrização. Canal verde.</t>
  </si>
  <si>
    <t xml:space="preserve">5UED480 </t>
  </si>
  <si>
    <t>5UED481</t>
  </si>
  <si>
    <r>
      <t>Carga com seguro.</t>
    </r>
    <r>
      <rPr>
        <sz val="10"/>
        <rFont val="Arial"/>
        <family val="2"/>
      </rPr>
      <t xml:space="preserve">
04/02 - Recebida informação do embarque. Compradora autorizou.
10/02 - Enviada ref. Processo com o despachante.
19/02 -</t>
    </r>
    <r>
      <rPr>
        <b/>
        <sz val="10"/>
        <rFont val="Arial"/>
        <family val="2"/>
      </rPr>
      <t xml:space="preserve"> ETA SSZ 11/03</t>
    </r>
    <r>
      <rPr>
        <sz val="10"/>
        <rFont val="Arial"/>
        <family val="2"/>
      </rPr>
      <t>. Ag. Cópia do BL. 09X40' ( contrato Itatrans Safmarine ).
23/02 - Recebida cópia de BL. Enviado ao despachante.
03/03 - Recebida cópia revisada de BL. Enviado ao despachante.
05/03 - Recebida cópia revisada de BL.
08/03 - Seguradora avisada sobre o embarque.
09/03 - A documentação original referente a este processo estará disponível para retirada amanhã, 10/03, na Itatrans Santos. Despachante avisado.
11/03 - Navio atracado.
15/03 - Seguradora liberou para nacionalização.
16/03 - Di registrada. Canal vermelho.
17/03 - Fiscal Adil.
23/03 - Desembaraçada.
25/03 - Itatrans informou que o free time foi estendido de 15 para 19 dias.</t>
    </r>
  </si>
  <si>
    <t>SZHF49940</t>
  </si>
  <si>
    <t>5300i09</t>
  </si>
  <si>
    <t>SZHF51022</t>
  </si>
  <si>
    <t>5307i09</t>
  </si>
  <si>
    <r>
      <t xml:space="preserve">17/02 - Recebido dctos da compradora. </t>
    </r>
    <r>
      <rPr>
        <b/>
        <sz val="10"/>
        <rFont val="Arial"/>
        <family val="2"/>
      </rPr>
      <t>ETA SSZ 18/02</t>
    </r>
    <r>
      <rPr>
        <sz val="10"/>
        <rFont val="Arial"/>
        <family val="2"/>
      </rPr>
      <t xml:space="preserve">.
18/02 - Processo enviado ao despachante. Navio atracado.
22/02 - </t>
    </r>
    <r>
      <rPr>
        <b/>
        <sz val="10"/>
        <rFont val="Arial"/>
        <family val="2"/>
      </rPr>
      <t>Compradora informou que carga deve ser entregue em 05/03.</t>
    </r>
    <r>
      <rPr>
        <sz val="10"/>
        <rFont val="Arial"/>
        <family val="2"/>
      </rPr>
      <t xml:space="preserve"> Di registrada. Canal vermelho.
23/02 - Fiscal Potiguara -  Em análise.
25/02 - Fiscal da conferência física Paulo de Tarso. Desembaraçada.</t>
    </r>
  </si>
  <si>
    <t>A-VMI-4632i09</t>
  </si>
  <si>
    <t>AAH0088318</t>
  </si>
  <si>
    <r>
      <t>Vôo flash!!</t>
    </r>
    <r>
      <rPr>
        <sz val="10"/>
        <rFont val="Arial"/>
        <family val="2"/>
      </rPr>
      <t xml:space="preserve">
23/11 - Recebida informação do embarque. Compradora autorizou.
25/11 - Enviada ref. Processo com o despachante.
26/11 - MAWB 020-21761795 - ETA: 27/11 aprox. 16:00hs.
30/11 - Carga chegou em 28/11 as 11h40. DI registrada. Ag. Parametrização. Em análise fiscal. Canal verde esperado para as 18h30.</t>
    </r>
  </si>
  <si>
    <t>Atracação</t>
  </si>
  <si>
    <t>Free Time</t>
  </si>
  <si>
    <t>Vencimento 
free time</t>
  </si>
  <si>
    <t>Data Limite 
saída FBR</t>
  </si>
  <si>
    <t>1124i10</t>
  </si>
  <si>
    <r>
      <t xml:space="preserve">23/04 - Recebido dctos da compradora.
07/04 - Processo enviado ao despachante. </t>
    </r>
    <r>
      <rPr>
        <b/>
        <sz val="10"/>
        <rFont val="Arial"/>
        <family val="2"/>
      </rPr>
      <t xml:space="preserve">ETA SSZ 29/04.
</t>
    </r>
    <r>
      <rPr>
        <sz val="10"/>
        <rFont val="Arial"/>
        <family val="2"/>
      </rPr>
      <t>29/04 - Navio atracou as 16h30.
03/05 - Container descarregou dia 01/05 - Aguardando registro da DTA.
10/05 - DA registrada. Canal amarelo.
12/05 - Fiscal Carlos Yamada. Desembaraçada. Ag. CD.
13/05 - CD nr.02946-10.</t>
    </r>
  </si>
  <si>
    <t>10/12 - Recebida informação do embarque. Compradora autorizou.
11/12 - Enviada ref. Processo com o despachante.
17/12 - MAWB: 172 75855975. Carga chegou a 00h30. DI registrada. Canal verde.</t>
  </si>
  <si>
    <t>30/09 -  Recebido dctos.
01/10 - Draft enviado.  Di registrada. Em análise fiscal.
02/10 - Canal verde.</t>
  </si>
  <si>
    <t>NE-4640i09</t>
  </si>
  <si>
    <t>A-VMI-4641i09</t>
  </si>
  <si>
    <t>AAH0088354</t>
  </si>
  <si>
    <t>NE-4642i09</t>
  </si>
  <si>
    <t>NE-4645i09</t>
  </si>
  <si>
    <t>NE-4647i09</t>
  </si>
  <si>
    <t>07/12 - Recebido dctos da compradora. Agente de cargas em cópia.
08/12 - Expeditors informou que a carga ainda não está pronta. Enviada ref. Processo com o despachante.
09/12 - Embarque agendado para ser coletado amanhã. 
10/12 - Recebida invoice com outro valor da Expeditors.
14/12 - Embarque chegou em MIA dia 13/12 e esta em processo de validação. Questionei compradora sobre qual a invoice correta. Compradora informou que a invoice enviada por ela está correta.
16/12 - MAWB 404-22218501. ETA: 17/12 aprox. 03:00hs.
17/12 - Carga chegou as 03h00.  DI registrada. Canal verde.</t>
  </si>
  <si>
    <t>6574i09</t>
  </si>
  <si>
    <t>DMCQYAT2936471</t>
  </si>
  <si>
    <t>06/10 - Recebido dctos da compradora.
07/10 - Processo com o despachante. ETA SSZ 13/10.
13/10 - Navio esperado para as 19h00.
14/10 - Navio atracou em 13/10 as 19h05. Ag. Entrada do container no terminal. Solicitada NVE a Engenharia. Enviada NVE ao despachante. DI registrada. Em análise fiscal.
15/10 - Canal verde.</t>
  </si>
  <si>
    <t>143i10</t>
  </si>
  <si>
    <t>SZHF51796</t>
  </si>
  <si>
    <t>144i10</t>
  </si>
  <si>
    <t>SZHF51884</t>
  </si>
  <si>
    <t>145I10</t>
  </si>
  <si>
    <t>SZHF51885</t>
  </si>
  <si>
    <t>28/01 - Compradora enviou dctos a Expeditors e a mesma informou que não pode mover a carga sem os dctos originais.
29/01 - Enviada ref. Processo com o despachante. Ag. Dctos originais para mover a carga. Compradora ciente.
08/02 - MAWB 549-20813343 . Carga chegou em 07/02 as 03h10. Alerta 22. Divergência de peso. Menos de 10%. Divergência vai sair do mantra automaticamente. Mantra OK. DI registrada. Canal verde.</t>
  </si>
  <si>
    <r>
      <t xml:space="preserve">24/11 - Recebido dctos da compradora. </t>
    </r>
    <r>
      <rPr>
        <b/>
        <sz val="10"/>
        <rFont val="Arial"/>
        <family val="2"/>
      </rPr>
      <t>ETA SSZ 26/11.</t>
    </r>
    <r>
      <rPr>
        <sz val="10"/>
        <rFont val="Arial"/>
        <family val="2"/>
      </rPr>
      <t xml:space="preserve">
26/11 - Processo com o despachante. Navio atracado as 08h45.
01/12 - Presença de carga no final do dia.
02/12 - Di registrada. Canal verde.
03/12 - Inspeção de madeira hoje a tarde. Compradora informou que pode ser entregue em 07/12.
07/12 - Documentação registrada veículo aguardando chamada para carregamento.</t>
    </r>
  </si>
  <si>
    <t>Micro Star</t>
  </si>
  <si>
    <t>Santos</t>
  </si>
  <si>
    <t>S-709i09</t>
  </si>
  <si>
    <t>E-18P09</t>
  </si>
  <si>
    <t>E-14P09</t>
  </si>
  <si>
    <t>S-924i09</t>
  </si>
  <si>
    <t>17/06 - Priscila informou do embarque. Inf ref.
18/06 - Recebi cópia do BL.
07/07 - PRESENCA OK.
08/07 - Di registrada. Ag. Parametrização.
09/07 - Canal verde.</t>
  </si>
  <si>
    <t>S</t>
  </si>
  <si>
    <t>1205i09</t>
  </si>
  <si>
    <t>1317i09</t>
  </si>
  <si>
    <t>1743i09</t>
  </si>
  <si>
    <t>1744i09</t>
  </si>
  <si>
    <t>1908i09</t>
  </si>
  <si>
    <t>1993i09</t>
  </si>
  <si>
    <t>Ag. Autorização para registro de DI.
29/05 - Original informou que a LI irá vencer dia 16/06. Falei com a Priscila. Autorizado o registro dia 08/06.
08/06 - DI registrada. Ag. Parametrização.
09/06 - Canal amarelo.
10/06 - Ag. Distribuição.
12/06 - DI desembaraçada. Enviei NF p/ Libra.
15/06 - Entregue.</t>
  </si>
  <si>
    <r>
      <t>URGENTE!!</t>
    </r>
    <r>
      <rPr>
        <sz val="10"/>
        <rFont val="Arial"/>
        <family val="2"/>
      </rPr>
      <t xml:space="preserve">
07/07 - Recebido docs. Autorizado. TC6. Processo com o despachante.
12/08 - Embarque chegou no armazém da Expeditors dia 08/08. Previsão de ETA MIA hoje. Ag. ETA VCP.
13/08 - ETA VCP hoje as 21h40.
14/08 - Carga chegou ontem as 20h10. Di registrada. Canal verde.</t>
    </r>
  </si>
  <si>
    <t>23/10 - Recebida invoices. 
26/10 - Processo enviado ao despachante.
27/10 - Draft enviado. Di registrada. Canal amarelo.
28/10 - Enviada GARE para pgto. Enviadas invoices originais ao Aurora via motoboy.
29/10 - Enviado comprovante de ICMS ao despachante. Desembaraçado.</t>
  </si>
  <si>
    <t>5328i09</t>
  </si>
  <si>
    <t>14/11 - Recebida informação do embarque.
17/11 - Autorizado TC6.
26/11 - Cobrei agente de cargas. ETA VCP 01/12. Ag. Pré alerta.
30/11 - Carga retida pela alfândega americana para inspeção. Sem previsão de liberação. Compradora avisada.
01/12 - ETA VCP 03/12 08h00. MAWB 404-2237 0843.
02/12 - Nao conseguimos entregar a carga acima a tempo para cia aerea ( perdemos o d/line do voo de hoje ETA VCP 03/12 08:00 h ). Isso porque a carga foi liberada muito tarde pela alfandega americana. Será embarcada no voo de amanha ETA VCP 03/12 a noite. Ag. novo MAWB. MAWB 404-2237 0924. ETA VCP 03/12 08H00.
03/12 - Carga chegou as 08h40.
04/12 - Di registrada. Canal verde.</t>
  </si>
  <si>
    <t>5001303185
5001303220</t>
  </si>
  <si>
    <t>2708i09</t>
  </si>
  <si>
    <t>2705i09</t>
  </si>
  <si>
    <t>2706i09</t>
  </si>
  <si>
    <t>2753i09</t>
  </si>
  <si>
    <t>4600016836
4600018023</t>
  </si>
  <si>
    <t>KC-9280</t>
  </si>
  <si>
    <t>2757i09</t>
  </si>
  <si>
    <t>100-010119</t>
  </si>
  <si>
    <t>2759i09</t>
  </si>
  <si>
    <t>15/09 - Recebido docs. Enviado processo ao despachante. Ag. ETA SSZ.
ETA SSZ 24/09.
25/09 - Navio atrasou para 27/09.
28/09 - Navio atracado.
01/10 - Ag. Inspeção do M.A para desova. Desova programada para hoje a noite.
02/10 - Ag. Desova pelo terminal.
05/10 - DI registrada. Canal vermelho.
07/10 - Processo distribuído para o fiscal Hokazomo. Em análise. Desembaraçado.</t>
  </si>
  <si>
    <t>NE-4724I09</t>
  </si>
  <si>
    <t>NE-4725i09</t>
  </si>
  <si>
    <t>NE-4726i09</t>
  </si>
  <si>
    <t>NE-4728i09</t>
  </si>
  <si>
    <t>4736i09</t>
  </si>
  <si>
    <t>4600019561
4600019983
4600019984</t>
  </si>
  <si>
    <t>17/10 - Navio atracado.
19/10 - DI registrada. Em análise fiscal.
20/10 - Inspeção de mandeira agendada para hoje. Canal verde. Carregar em 22/10 para entrega na madrugada.
21/10 - Terminal não posicionou o container. Inspeção de madeira agendada para hoje.
22/10 - Container agendado para carregamento hoje as 11h00.</t>
  </si>
  <si>
    <t>02/09 - Recebido cópia de invoice e PL da compradora.
05/09 - Solicitei cópia de BL. Processo com o despachante.
09/09 - Recebida cópia de BL.
12/09 - Enviado ao despachante. Ag. ETA SSZ.
ETA SSZ 27/09.
17/09 - Dctos originais enviados no malote.
28/09 - Navio atracou hoje.
30/09 - Solicitada NVE a Engenharia.  Enviada NVE ao despachante.
01/10 - Ag. desova. Presença de carga OK. DI registrada. Ag. parametrização. Em análise fiscal.
02/09 - Canal verde. Inspeção de madeira agendada para hoje a tarde.</t>
  </si>
  <si>
    <t>S-VMI-4634i09</t>
  </si>
  <si>
    <t>ID3-980018_1</t>
  </si>
  <si>
    <r>
      <t xml:space="preserve">19/08 - Recebido docs da compradora. Ag. Contato da coleta.
21/08 - Enviado processo a Expeditors e despachante. Ag. Contato da coleta.
25/08 - Embarque tem previsão de chegar no gty de Chicago hoje. Questionei a compradora sobre o fabricante. Ag. retorno.
26/08 - MAWB 045-5955 6674 </t>
    </r>
    <r>
      <rPr>
        <b/>
        <sz val="9"/>
        <rFont val="Arial"/>
        <family val="2"/>
      </rPr>
      <t xml:space="preserve">ETA: 27/08 aprox. 18:00hs.
</t>
    </r>
    <r>
      <rPr>
        <sz val="9"/>
        <rFont val="Arial"/>
        <family val="2"/>
      </rPr>
      <t xml:space="preserve">27/08 - Favor notar que este MAWB sofrerá atraso pois o mesmo foi recebido muito tarde no gty e também devido ao backlog na origem. Novo </t>
    </r>
    <r>
      <rPr>
        <b/>
        <sz val="9"/>
        <rFont val="Arial"/>
        <family val="2"/>
      </rPr>
      <t>ETA: 28/08 aprox. 18:00hs</t>
    </r>
    <r>
      <rPr>
        <sz val="9"/>
        <rFont val="Arial"/>
        <family val="2"/>
      </rPr>
      <t>. Recebido fabricante. Enviado ao despachante.
01/09 - Carga chegou em 28/08 as 19h15. DI registrada. Em análise fiscal.
02/09 - Canal verde.</t>
    </r>
  </si>
  <si>
    <t>24/08 - Recebido docs. Enviado draft. 
25/08 - DI será registrada em Santos. A DA ainda está aguardando liberação da RF. Assim que ficar OK a DI poderá ser registrada.
27/08 - Processo OK para registro. Draft enviado as 11h10. Di registrada. Ag. parametrização. Di em análise fiscal. Canal verde.</t>
  </si>
  <si>
    <t>DMCQHKG2119799</t>
  </si>
  <si>
    <t>DMCQHKG2119914</t>
  </si>
  <si>
    <t>DMCQHKG2118193</t>
  </si>
  <si>
    <t>WSZSTS09060106</t>
  </si>
  <si>
    <t>13/05 - Recebi docs.
14/05 - Item excluido da PO. Abri chamado p/ reverter. Enviei draft. DI registrada. Ag. Parametrização.
15/05 - Canal vermelho.
18/05 - Ag. Distribuição.
19/05 - Ag. Desembaraço.
20/05 - Entregue.</t>
  </si>
  <si>
    <t>6339-0442-909.028</t>
  </si>
  <si>
    <t>Cap Mondego</t>
  </si>
  <si>
    <t>SBG-5797i09</t>
  </si>
  <si>
    <t>AAH0090242
AAH0090243</t>
  </si>
  <si>
    <t>6339-0442-909.027</t>
  </si>
  <si>
    <t>WSZSTS09090876</t>
  </si>
  <si>
    <t>5131i09</t>
  </si>
  <si>
    <t>25/02 - Recebido dctos. Comprador autorizou.
26/02 - Enviada ref. Processo com o despachante.
03/03 - ETA SSZ 04/04.
17/03 - Cobrei cópia do BL.
18/03 - Recebida cópia de BL. Despachante em cópia.
23/03 - Cobrei dctos originais da Expeditors. Agente de cargas informou que os dctos originais serão enviados diretamente a Foxconn. ETA SSZ 06/04.
25/03 - Cobrei dctos originais do comprador.
26/03 - Dctos originais enviados no malote.
05/04 - Navio atracado. Container no terminal.
07/04 - Aguardando inspeção do M.A para posterior desova.
08/04 - Carga sendo desovada.
09/04 - Di registrada. Em análise fiscal.
12/04 - Canal verde.</t>
  </si>
  <si>
    <r>
      <t xml:space="preserve">03/02 - Recebido dctos da compradora. Enviado processo ao despachante. Solicitada emissão de LI (final do dia). ETA SSZ 04/02.
04/02 - </t>
    </r>
    <r>
      <rPr>
        <sz val="10"/>
        <color indexed="10"/>
        <rFont val="Arial"/>
        <family val="2"/>
      </rPr>
      <t>LI emitida.</t>
    </r>
    <r>
      <rPr>
        <sz val="10"/>
        <rFont val="Arial"/>
        <family val="2"/>
      </rPr>
      <t xml:space="preserve"> Navio atracou as 08h00.
05/02 - Container no terminal.
11/02 - LI deferida. DI registrada. Canal amarelo.
17/02 - Fiscal Renato. Desembaraçada.</t>
    </r>
  </si>
  <si>
    <t>1256i10</t>
  </si>
  <si>
    <r>
      <t xml:space="preserve">21/10 - Recebido dctos do vendor.
23/10 - Processo enviado ao despachante. </t>
    </r>
    <r>
      <rPr>
        <b/>
        <sz val="10"/>
        <rFont val="Arial"/>
        <family val="2"/>
      </rPr>
      <t>ETA SSZ 08/11.</t>
    </r>
    <r>
      <rPr>
        <sz val="10"/>
        <rFont val="Arial"/>
        <family val="2"/>
      </rPr>
      <t xml:space="preserve"> Solicitada </t>
    </r>
    <r>
      <rPr>
        <sz val="10"/>
        <color indexed="10"/>
        <rFont val="Arial"/>
        <family val="2"/>
      </rPr>
      <t xml:space="preserve">emissão de LI.
</t>
    </r>
    <r>
      <rPr>
        <sz val="10"/>
        <rFont val="Arial"/>
        <family val="2"/>
      </rPr>
      <t>26/10 - Dctos originais enviados via DHL. Tracking 330 8092 071.
30/10 - LI deferida.
05/11 - Dctos originais enviados no malote.
09/11 - Navio previsto para hoje, sem horário. Navio atracado as 06h30.
10/11 - Container no terminal. Despachante informou que PN da invoice está divergente da PO.
11/11 - Compradora arrumou a PO conforme invoice (alternate).
12/11 - Valores do BL estão divergentes com o mercante. Questionando agente de cargas. Ag. retorno. Agente informou que o Siscarga/ BL estão corretos.
13/11 - Di registrada. Canal amarelo.
18/11 - Distribuído para a fiscal Potiguara. Desembaraçada.
19/11 - Inspeção de madeira agendada para 23/11. Compradora informou que pode entregar em 25/11.
25/11 - Container carregado com sucesso, veículo seguindo direto ao cliente.</t>
    </r>
  </si>
  <si>
    <t>05/11 - Recebida cópia da invoice.
10/11 - Recebida cópia de BL.
11/11 - Processo com o despachante. ETA SSZ 03/12.
27/11 - BL original enviado no malote.
02/12 - Navio atracado no final da tarde.
04/12 - Ag. Desconsolidação. Invoice + PL originais enviados no malote.
07/12 - Ag. Desconsolidação. 
08/12 - Tecondi informou que recebeu a documentação de desconsolidação hoje.
09/12 - Ag. inspeção do M.A. para desova.
10/12 - Desovado, sem avarias. Presença de carga OK. DI registrada. Ag. parametrização. Canal verde.
11/12 - Compradora informou que pode ser entregue em 12/12.</t>
  </si>
  <si>
    <t>6507i09</t>
  </si>
  <si>
    <t>Smith</t>
  </si>
  <si>
    <t>HKG1031192</t>
  </si>
  <si>
    <r>
      <t xml:space="preserve">04/12 - Recebido dctos.Processo enviado ao despachante.Solicitada </t>
    </r>
    <r>
      <rPr>
        <sz val="10"/>
        <color indexed="10"/>
        <rFont val="Arial"/>
        <family val="2"/>
      </rPr>
      <t>emissão de LI.</t>
    </r>
    <r>
      <rPr>
        <sz val="10"/>
        <rFont val="Arial"/>
        <family val="2"/>
      </rPr>
      <t xml:space="preserve"> </t>
    </r>
    <r>
      <rPr>
        <b/>
        <sz val="10"/>
        <rFont val="Arial"/>
        <family val="2"/>
      </rPr>
      <t xml:space="preserve">ETA SSZ 10/12.
</t>
    </r>
    <r>
      <rPr>
        <sz val="10"/>
        <rFont val="Arial"/>
        <family val="2"/>
      </rPr>
      <t>07/12 - LI emitida.
10/12 - Navio atracou as 08h00.
11/12 - Presença de carga OK.
14/12 - Di registrada. Ag. Parametrização.  Canal amarelo.
15/12 -  Fiscal Renato.
16/12 - Desembaraçada.
18/12 -  Documentação no registro, veículo aguardando chamada para carregamento.</t>
    </r>
  </si>
  <si>
    <t>6677i09</t>
  </si>
  <si>
    <t>TES10912000059</t>
  </si>
  <si>
    <t>CNV-9A0026</t>
  </si>
  <si>
    <t>6059i09</t>
  </si>
  <si>
    <t>6072i09</t>
  </si>
  <si>
    <t>PA797314</t>
  </si>
  <si>
    <t>EGLV142950276296</t>
  </si>
  <si>
    <t>S-VMI-4636i09</t>
  </si>
  <si>
    <t>13/05 - Recebi docs.
14/05 - Item excluido da PO. Abri chamado p/ reverter. Enviei draft. DI registrada. Ag. Parametrização.
15/05 - Canal amarelo.
18/05 - Distribuido. Fiscal Tozi. Desembaraçada.
19/05 - Entregue.</t>
  </si>
  <si>
    <t>NE-2456i09</t>
  </si>
  <si>
    <r>
      <t xml:space="preserve">24/09 - Recebido docs
25/09 - Enviada ref. Ao despachante. </t>
    </r>
    <r>
      <rPr>
        <b/>
        <sz val="10"/>
        <rFont val="Arial"/>
        <family val="2"/>
      </rPr>
      <t xml:space="preserve">ETA SSZ 26/09.
</t>
    </r>
    <r>
      <rPr>
        <sz val="10"/>
        <rFont val="Arial"/>
        <family val="2"/>
      </rPr>
      <t>28/09 - Navio atracado.
29/09 - Container está com lacre diferente. Para remoção, será feita averiguação para checar onde foi o erro. Se for o vendor/Foxconn, haverá correção de BL (R$ 155,00) e ficamos passivos de multa de R$ 5.000,00. Questionei compradora como proceder.
01/10 - Solicitei a Original posicionamento do container para verificar pessoalmente o lacre do mesmo.
02/10 - Após conferência física feita pelo despachante, foi constatado que não há divergência de lacre.
09/10 - DA registrada. Canal vermelho.
15/10 - DA distribuída para o fiscal Tozzi. Desembaraçada.</t>
    </r>
  </si>
  <si>
    <r>
      <t xml:space="preserve">Carga deverá ficar em Santos antes do vencimento do primeiro período de armazenagem. Caso não tenha necessidade de puxe, a mesma deverá ser removida ao LibraPort. </t>
    </r>
    <r>
      <rPr>
        <sz val="10"/>
        <rFont val="Arial"/>
        <family val="2"/>
      </rPr>
      <t xml:space="preserve">
10/02 - Recebido dctos da compradora. Processo enviado ao despachante. </t>
    </r>
    <r>
      <rPr>
        <b/>
        <sz val="10"/>
        <rFont val="Arial"/>
        <family val="2"/>
      </rPr>
      <t xml:space="preserve">ETA SSZ 11/02.
</t>
    </r>
    <r>
      <rPr>
        <sz val="10"/>
        <rFont val="Arial"/>
        <family val="2"/>
      </rPr>
      <t xml:space="preserve">11/02 - Navio atracado as 12h35.
17/02 - Container no terminal. Comprador solicitou nacionalização. Despachante avisado. Problemas com preço na PO 46-23506. Solicitei ajuda a compradora.
18/02 - </t>
    </r>
    <r>
      <rPr>
        <b/>
        <sz val="10"/>
        <rFont val="Arial"/>
        <family val="2"/>
      </rPr>
      <t xml:space="preserve">Compradora informou que precisa da carga na fábrica em 01/03. DI será registrada em 23/02.
</t>
    </r>
    <r>
      <rPr>
        <sz val="10"/>
        <rFont val="Arial"/>
        <family val="2"/>
      </rPr>
      <t>24/02 - DI registrada. Canal verde.</t>
    </r>
  </si>
  <si>
    <r>
      <t xml:space="preserve">05/11 - Navio atracado as 08h00.
06/11 - DTA canal verde. Caminhão seguindo para o Eadi.
09/11 - Presença de carga OK. DA registrada. Canal amarelo. </t>
    </r>
    <r>
      <rPr>
        <sz val="10"/>
        <color indexed="10"/>
        <rFont val="Arial"/>
        <family val="2"/>
      </rPr>
      <t xml:space="preserve">LI emitida. Ag. Deferimento.
</t>
    </r>
    <r>
      <rPr>
        <sz val="10"/>
        <rFont val="Arial"/>
        <family val="2"/>
      </rPr>
      <t>16/11 - Li deferida.
17/11 - Distribuído para o fiscal Renato. DA desembaraçada. CD 06450-09</t>
    </r>
  </si>
  <si>
    <t>16/12 - Recebida informação do embarque.
21/12 - Compradora autorizou. Processo com o despachante. Ag. ETA SSZ.
29/12 - Recebido BL. Despachante em cópia. ETA SSZ 25/01/2010.
07/01 - Solicitada NVE a Enganharia. Enviadas NVEs ao despachante. ETA SSZ 24/01.
19/01 - Navio previsto para 25/01.
22/01 - Solicitada prioridade junto a captação.
25/01 - Navio atracou as 05h30.
27/01 - Presença de carga OK. DI registrada. Ag. parametrização. Em análise fiscal.
28/01 - Canal verde.</t>
  </si>
  <si>
    <t>656i10</t>
  </si>
  <si>
    <t>657i10</t>
  </si>
  <si>
    <t>4600021961
4600022577</t>
  </si>
  <si>
    <t>CKD20100115</t>
  </si>
  <si>
    <t>658i10</t>
  </si>
  <si>
    <t>B815488</t>
  </si>
  <si>
    <t>5UEX822</t>
  </si>
  <si>
    <t>659i10</t>
  </si>
  <si>
    <t>100-010426</t>
  </si>
  <si>
    <t>21/05 - Enviei docs p/ Original.
25/05 - Ag. Booking.
05/06 - Navio : CAP NORTE
HBL  :  238483
Embarque :  01/06
Chegada prevista:  16/06
Priscila solicitou remoção. Avisei agente e despachante.
17/06 - Navio atracou.
23/04 - Ag. DTA p/ remoção.
26/06 - Remoção será feita dia 29/06.
30/06 - Presença de carga OK.
01/07 - DI registrada. Ag. parametrização.
02/07 - Canal Verde.
03/07 - Inspeção de madeira. Amanhã não tem recebimento. Programado p/ segunda-feira.
06/07 - Entregue.</t>
  </si>
  <si>
    <r>
      <t xml:space="preserve">26/10 - Recebida invoice e PL da compradora. Processo enviado ao despachante. Solicitada </t>
    </r>
    <r>
      <rPr>
        <sz val="10"/>
        <color indexed="10"/>
        <rFont val="Arial"/>
        <family val="2"/>
      </rPr>
      <t xml:space="preserve">emissão de LI.
</t>
    </r>
    <r>
      <rPr>
        <sz val="10"/>
        <rFont val="Arial"/>
        <family val="2"/>
      </rPr>
      <t xml:space="preserve">30/10 - LI deferida.
19/11 - Cobrei compradora. Compradora informou que o material vai sair da china na wk 51 e chegará no Brazil até 15-01-2010.
02/12 - Compradora informou que ETD é 04/12 e ETA SSZ 06/01. Ag. cópia de BL.
22/12 - Cobrei BL da compradora.
28/12 - Recebida cópia de BL. Enviado ao despachante. Dctos originais enviados no malote. </t>
    </r>
    <r>
      <rPr>
        <b/>
        <sz val="10"/>
        <rFont val="Arial"/>
        <family val="2"/>
      </rPr>
      <t xml:space="preserve">ETA SSZ 03/01/2010.
</t>
    </r>
    <r>
      <rPr>
        <sz val="10"/>
        <rFont val="Arial"/>
        <family val="2"/>
      </rPr>
      <t>04/01 - Navio previsto para hoje, sem horário de atracação. Navio atracado.
06/01 - Presença de carga OK. DI registrada. Canal amarelo.
07/01 - Fiscal Solange.
08/01 - Desembaraçada.  Inspeção de madeira em 11/01.
12/01 - Veículo no terminal aguardando chamada para carregamento. Veículo descarregado e liberado agora. ( 16:00 HRS ).</t>
    </r>
  </si>
  <si>
    <t>199i10</t>
  </si>
  <si>
    <t>156i10</t>
  </si>
  <si>
    <t>100-010393</t>
  </si>
  <si>
    <t>162i10</t>
  </si>
  <si>
    <t>4600022737
4600023021</t>
  </si>
  <si>
    <t>PG805493-2
PA811071</t>
  </si>
  <si>
    <t>5UER581</t>
  </si>
  <si>
    <t>2200001002_2</t>
  </si>
  <si>
    <r>
      <t xml:space="preserve">25/11 - Recebido dctos da compradora.
30/11 - Enviado ao despachante. NCM 7320.90.00 está faltando no BL. Solicitada inclusão. Solicitada </t>
    </r>
    <r>
      <rPr>
        <sz val="10"/>
        <color indexed="10"/>
        <rFont val="Arial"/>
        <family val="2"/>
      </rPr>
      <t xml:space="preserve">emissão de LI. </t>
    </r>
    <r>
      <rPr>
        <b/>
        <sz val="10"/>
        <rFont val="Arial"/>
        <family val="2"/>
      </rPr>
      <t xml:space="preserve">ETA SSZ 22/12.
</t>
    </r>
    <r>
      <rPr>
        <sz val="10"/>
        <rFont val="Arial"/>
        <family val="2"/>
      </rPr>
      <t>01/12 - Solicitado a DAMCO correção do BL. LI emitida.
02/12 - Solicitação de correção enviada a DAMCO na origem. Ag. retorno.
03/12 - Efetuado pgto de correção do BL.
07/12 - DAMCO informou que haverá cobrança de CNY 200,00 pela correção. Questionei compradora sobre quem será o responsável pelo pgto. Ag. retorno.
10/12 - Invoice e PL originais enviados no malote.
14/12 - Li deferida.
15/12 - Ag. retorno de compras em relação a taxa de CNY 200,00 para correção do BL. Compradora informou que essa taxa é responsabilidade da origem. DAMCO informou que a origem aceitou efetuar o pgto da taxa. Pedi para prosseguir.
16/12 - Recebida cópia de BL com as NCMs corretas.
17/12 - BL original enviado via DHL. 3303848004.
18/12 - Enviada cópia de BL correto ao despachante.
22/12 - Despachante informou que o</t>
    </r>
    <r>
      <rPr>
        <b/>
        <sz val="10"/>
        <rFont val="Arial"/>
        <family val="2"/>
      </rPr>
      <t xml:space="preserve"> navio está esperado para 25/12.</t>
    </r>
    <r>
      <rPr>
        <sz val="10"/>
        <rFont val="Arial"/>
        <family val="2"/>
      </rPr>
      <t xml:space="preserve"> BL original enviado no malote.
26/12 - Navio atracado. Ag. entrada do container no terminal.
29/12 - Presença de carga OK. DI registrada. Canal amarelo.
30/12 - Fiscal Renato.
31/12 - Desembaraçada.
04/01 - Inspeção de madeira em 05/01.
06/01 - Caminhão sendo liberado da Foxconn as 15h40. Pedi a TSA prioridade na devolução do container.</t>
    </r>
  </si>
  <si>
    <t>12/01 - Recebido dctos da compradora autorizado o embarque. Enviada ref. Processo com o despachante.
14/01 - MAWB 023-33833203. ETA: 14/01 aprox. 16:40hs.
15/01 - Carga chegou em 14/01 as 16h40. Alerta 22 - divergência de peso. Despachante informou que o alerta vai sumir do mantra. Ag. regularização. Mantra OK. DI registrada. Canal verde.</t>
  </si>
  <si>
    <t>300i10</t>
  </si>
  <si>
    <t>848021063694</t>
  </si>
  <si>
    <t>303i10</t>
  </si>
  <si>
    <t>15/01 - Recebido dctos da compradora e da Itatrans (retirados na Fedex). Enviada ref. Carga chegou em 14/01 as 16h40. DI registrada. Em análise fiscal.
18/01 - Canal verde.</t>
  </si>
  <si>
    <t>305i10</t>
  </si>
  <si>
    <t>4600023124
4600023331
4600023135</t>
  </si>
  <si>
    <t xml:space="preserve">5001493806
5001497119
5001497120 </t>
  </si>
  <si>
    <t>SZHF51985</t>
  </si>
  <si>
    <t>306i10</t>
  </si>
  <si>
    <t>09/06 - Recebi faturas. Questionei se estavam vindo no mesmo BL.
12/06 - Oderlei confirmou que está vindo separado. Inf. Ref. 
Navio previsto p/ 03/07.
23/06 - Ag. nova Po de compras.
25/06 - Recebi PO. Draft enviado.
03/07 - Navio esta na barra, aguardando atracação.
06/07 - Ag. Presença de carga. DI registrada. Ag. parametrização.
07/07 - Canal verde.</t>
  </si>
  <si>
    <t>HK101287522</t>
  </si>
  <si>
    <t>14/01 - Compradora autorizou embarque.
18/01 - Recebido pré alerta. Enviada ref. Processo com o despachante. MAWB 020-22230390. ETA VCP 20/01.
20/01 - Carga chegou em 20/01 as 03h40. DI registrada. Canal verde.</t>
  </si>
  <si>
    <t>417i10</t>
  </si>
  <si>
    <t>4600023328
4600023076</t>
  </si>
  <si>
    <t>94183811
94183812</t>
  </si>
  <si>
    <t>17/11 - Recebida informação do embarque. Compradora autorizou.
18/11 - Enviada ref. Processo com o despachante.
23/11 - Embarque chegou em MIA dia 22/11 e esta em processo de validação. Ag. Detalhes de vôo.
26/11 - MAWB 549-20805131 - ETA: 27/11 aprox. 19:00hs.
30/11 - Carga chegou em 27/11 as 19h50.
01/12 - Di registrada. Canal verde.</t>
  </si>
  <si>
    <r>
      <t>15/01 - Recebido dctos da compradora. Processo enviado ao despachante. ETA SSZ 21/01.
21/01 - Navio esperado para as 09h00. Navio atracou as 09h30.
22/01 - Aguardando entrada do container no terminal.
25/01 - Presença de carga OK. Sistema da Original fora do ar para registro de DI.
26/01 - DI registrada. Canal verde.
27/01 - Inspeção de madeira amanhã a tarde.</t>
    </r>
    <r>
      <rPr>
        <b/>
        <sz val="10"/>
        <rFont val="Arial"/>
        <family val="2"/>
      </rPr>
      <t>Compradora informou que pode ser entregue na fábrica em 01/02.</t>
    </r>
  </si>
  <si>
    <t>615i10</t>
  </si>
  <si>
    <t>DMCQYAT2956705</t>
  </si>
  <si>
    <t>22/10 - Compradora informou sobre nacionalização. Processo com o despachante. DI registrada. Canal amarelo.
23/10 - Desembaraçada.</t>
  </si>
  <si>
    <t>14/10 - Compradora informou sobre nacionalização.
20/10 - Processo com o despachante. DI registrada. Canal amarelo.
22/10 - Fiscal Tozzi.
23/10 - Desembaraçada.</t>
  </si>
  <si>
    <r>
      <t xml:space="preserve">23/07 - Recebida cópia de docs.
24/07 - Processo com o despachante. Ag. ETA SSZ.
27/07 - Docs enviados via DHL tracking 210 0129 662. Ag. Chegada. </t>
    </r>
    <r>
      <rPr>
        <b/>
        <sz val="10"/>
        <rFont val="Arial"/>
        <family val="2"/>
      </rPr>
      <t xml:space="preserve">ETA SSZ 17/08.
</t>
    </r>
    <r>
      <rPr>
        <sz val="10"/>
        <rFont val="Arial"/>
        <family val="2"/>
      </rPr>
      <t>28/07 - Fornecedor enviou um tracking revisado. 210 0129 684.
05/08 - Recebida invoice e PL originais. Enviados no malote.
17/08 - Navio atracado.
18/08 - Ag. entrada do container no terminal. Questionei compradora sobre o BL original.
19/08 - Vendor informou que o BL foi enviado ao agente. BL original em Santos. Ag. desconsolidação.
21/08 - Presença de carga OK. DI registrada. Ag. parametrização.
24/08 - Canal verde.</t>
    </r>
  </si>
  <si>
    <t>E-48P09</t>
  </si>
  <si>
    <t>Monte Sarmiento</t>
  </si>
  <si>
    <t>SZHF48763</t>
  </si>
  <si>
    <t>E-49P09</t>
  </si>
  <si>
    <t>SZHF48765</t>
  </si>
  <si>
    <t>E-50P09</t>
  </si>
  <si>
    <t>4600018685
4600018688
4600018684</t>
  </si>
  <si>
    <t>5001333221
5001333222
5001333223</t>
  </si>
  <si>
    <t>SZHF48762</t>
  </si>
  <si>
    <t>3545i09</t>
  </si>
  <si>
    <t>SZHF48764</t>
  </si>
  <si>
    <t>3546i09</t>
  </si>
  <si>
    <r>
      <t>Vôo flash!</t>
    </r>
    <r>
      <rPr>
        <b/>
        <sz val="10"/>
        <rFont val="Arial"/>
        <family val="2"/>
      </rPr>
      <t xml:space="preserve">
24/11 - Recebida informação do embarque. Compradora autorizou.
25/11 - Enviada ref. Processo com o despachante. Este embarque tem previsão de ser recebido em nosso armazém hoje.
27/11 - Embarque previsto para chegar em VCP dia 01/12. Estamos trabalhando junto a cia aérea para antecipar a chegada deste embarque. 
30/11 - Expeditors conseguiu antecipar a chegada do vôo. MAWB 020-53016983.ETA: 30/11 aprox. 11h00. Carga chegou hoje as 10h10.
01/12 - Di registrada. Canal verde.</t>
    </r>
  </si>
  <si>
    <t>8639i10</t>
  </si>
  <si>
    <t>8640i10</t>
  </si>
  <si>
    <t>8641i10</t>
  </si>
  <si>
    <t>8642i10</t>
  </si>
  <si>
    <t>8643i10</t>
  </si>
  <si>
    <t>8644i10</t>
  </si>
  <si>
    <t>13/10 - Carga foi para perdimento e precisa ser nacionalizada. Solicitada invoice a compradora. Recebida invoice. Draft enviado. DI registrada. Em análise fiscal.
14/10 - Canal verde.</t>
  </si>
  <si>
    <t>S-VMI-4874i09</t>
  </si>
  <si>
    <t>ETA SSZ 08/05. 
12/05 - Container esta ag. inspeçao do M.A. para desova.
14/05 - Avarias. Falei com Cileide, Leonardo e comprador. Desistimos da vistoria. Comprador autorizou o registro.
15/05 - DI registrada. Ag. Parametrização.
18/05 - Canal verde.
19/05 - Ag. inspeção da madeira. Entregue p/ carregamento.
20/05 - Entregue.</t>
  </si>
  <si>
    <t>90i10</t>
  </si>
  <si>
    <t>4600022704
4600022520</t>
  </si>
  <si>
    <t>SMLSAN0912042</t>
  </si>
  <si>
    <r>
      <t xml:space="preserve">25/01 - Recebido dctos originais da compradora.
27/01 - Processo enviado ao despachante. </t>
    </r>
    <r>
      <rPr>
        <b/>
        <sz val="10"/>
        <rFont val="Arial"/>
        <family val="2"/>
      </rPr>
      <t>ETA SSZ 01/02.</t>
    </r>
    <r>
      <rPr>
        <sz val="10"/>
        <rFont val="Arial"/>
        <family val="2"/>
      </rPr>
      <t xml:space="preserve">
28/01 - Dctos originais enviados no malote.
02/02 - Navio atracou em 01/02. Ag. Desconsolidação.
03/02 - Ag. Autorização para desova.
05/02 - Ag. desova pelo terminal. Prazo 48 hrs.
08/02 - Presença de carga OK. Original está com problemas no SISCOMEX.
09/02 - Di registrada. Em análise fiscal.
10/02 - Canal verde.</t>
    </r>
  </si>
  <si>
    <t>1057i10</t>
  </si>
  <si>
    <t>4600024277
4600024312</t>
  </si>
  <si>
    <t>2110047731
2110047732
2110048186
2110048187
2110048188
2110048189
2110048236
2110048237</t>
  </si>
  <si>
    <t>MAKS-1002217</t>
  </si>
  <si>
    <t>Monte Pascoal</t>
  </si>
  <si>
    <t>1060i10</t>
  </si>
  <si>
    <t>2110047733
2110047734
2110047735
2110047736
2110047737
2110047738
2110047739
2110047740
2110047741
2110047742
2110047743
2110047744
2110047745
2110047746</t>
  </si>
  <si>
    <t>MAKS-1002215</t>
  </si>
  <si>
    <t>Northern Prelude</t>
  </si>
  <si>
    <t>AAH0085797</t>
  </si>
  <si>
    <t>28/07 - Recebido docs. Draft enviado. DI registrada. Ag. Parametrização.
29/07 - Canal amarelo. Desembaraçada.</t>
  </si>
  <si>
    <t>S-763i09</t>
  </si>
  <si>
    <t>S-1130i09</t>
  </si>
  <si>
    <t>Q-Edge</t>
  </si>
  <si>
    <t>S-1131i09</t>
  </si>
  <si>
    <t>MICRO STAR</t>
  </si>
  <si>
    <t>4600012305
4600012306</t>
  </si>
  <si>
    <t>P693041
P693040</t>
  </si>
  <si>
    <t>NYK Constellation</t>
  </si>
  <si>
    <t>AAH0087010
AAH0087011
AAH0087012
AAH0087013
AAH0087014
AAH0087015</t>
  </si>
  <si>
    <r>
      <t xml:space="preserve">15/01 - Recebida cópia do BL. 
19/01 - Solicitada invoice a compradora. 
05/02 - Recebida invoice.
08/02 - Processo enviado ao despachante. Dctos originais enviados no malote. </t>
    </r>
    <r>
      <rPr>
        <b/>
        <sz val="10"/>
        <rFont val="Arial"/>
        <family val="2"/>
      </rPr>
      <t xml:space="preserve">ETA SSZ 18/02.
</t>
    </r>
    <r>
      <rPr>
        <sz val="10"/>
        <rFont val="Arial"/>
        <family val="2"/>
      </rPr>
      <t xml:space="preserve">11/02 - LI deferida.
18/02 - Navio atracado.
22/02 - Di registrada. Canal amarelo.
</t>
    </r>
    <r>
      <rPr>
        <b/>
        <sz val="10"/>
        <rFont val="Arial"/>
        <family val="2"/>
      </rPr>
      <t>25/02 - Compradora informou que carga pode ser entregue em 03/02.</t>
    </r>
    <r>
      <rPr>
        <sz val="10"/>
        <rFont val="Arial"/>
        <family val="2"/>
      </rPr>
      <t xml:space="preserve"> Desembaraçada.</t>
    </r>
  </si>
  <si>
    <r>
      <t>RECOF</t>
    </r>
    <r>
      <rPr>
        <sz val="10"/>
        <rFont val="Arial"/>
        <family val="2"/>
      </rPr>
      <t xml:space="preserve">
09/02 - Recebida invoice da compradora informando que é RECOF.
10/02 - Recebido pré alerta. ETA VCP 13/02.
15/02 - Processo enviado ao despachante. Ag. Informação de chegada.
16/02 - Carga chegou em 16/02 as 00h05. 5F. Madeira sujeita a inspeção.  Di registrada. Em análise fiscal.
17/02 - Canal verde.</t>
    </r>
  </si>
  <si>
    <t>AAH0085476</t>
  </si>
  <si>
    <t>S-VMI-2983i09</t>
  </si>
  <si>
    <r>
      <t xml:space="preserve">17/08 - Recebido cópia de docs.
20/08 - Processo com o despachante. Ag. ETA SSZ. Solicitado cadastro de fabricante a compradora. Não será possível emitir LI sem o fabricante. Ag. Informações.
25/08 - ETA SSZ 10/09.
31/08 - BL original enviado no malote.
03/09 - Recebido fabricante. Enviado ao despachante. </t>
    </r>
    <r>
      <rPr>
        <sz val="10"/>
        <color indexed="10"/>
        <rFont val="Arial"/>
        <family val="2"/>
      </rPr>
      <t xml:space="preserve">LI emitida. Ag. deferimento.
</t>
    </r>
    <r>
      <rPr>
        <sz val="10"/>
        <rFont val="Arial"/>
        <family val="2"/>
      </rPr>
      <t>04/09 - Compradora informou que a invoice 1101483082 também está nesse embarque. Despachante avisado.
09/09 - Novo ETA para 14/09.
11/09 - Li deferida.
14/09 - Navio esperado para hoje as 19h00.
15/09 - Navio atrasado. Sem previsão de horário para atracação. Navio atracado.
17/09 - Solicitada NVE a Engenharia.
18/09 - Enviadas NVEs. Di registrada. Ag. parametrização. Canal amarelo.
23/09 - DI distribuída para o fiscal Jose Renato. Desembaraçada.</t>
    </r>
  </si>
  <si>
    <t>29/10 - Navio atracado.
09/11 - Ag. Laudo do M.A para remoção.
10/11 -  Carga será removida em 11/11.
11/11 - Caminhão no terminal. Ag. Carregamento.
12/11 - Presença de carga OK.
13/11 - Compradora solicitou nacionalização.
16/11 - Existe apenas 1 PN na invoice. Questionei compradora se há mais algum a ser acrescentado para não termos problemas de divergência de itens entre físico e documental. Compradora informou que pode seguir com o registro apenas dos PNs que constam na invoice. Di registrada. Em análise fiscal.
17/11 - Canal verde.</t>
  </si>
  <si>
    <t>17/02 - Recebida informação do embarque. MAWB 045-76635381. ETA VCP 20/02.
19/02 - Processo enviado ao despachante.
22/02 - Carga chegou em 20/02 as 18h45. DI registrada. Canal verde.
23/02 - 5F. Madeira condenada. Haverá troca de pallet.</t>
  </si>
  <si>
    <r>
      <t>Carga com seguro.</t>
    </r>
    <r>
      <rPr>
        <sz val="10"/>
        <rFont val="Arial"/>
        <family val="2"/>
      </rPr>
      <t xml:space="preserve">
04/02 - Recebida informação do embarque. Compradora autorizou.
10/02 - Recebida cópia do BL. Enviada ref. Processo com o despachante.
12/02 - Recebida cópia revisada de BL.
15/02 - Enviado ao despachante.</t>
    </r>
    <r>
      <rPr>
        <b/>
        <sz val="10"/>
        <rFont val="Arial"/>
        <family val="2"/>
      </rPr>
      <t xml:space="preserve"> ETA SSZ 08/03.
</t>
    </r>
    <r>
      <rPr>
        <sz val="10"/>
        <rFont val="Arial"/>
        <family val="2"/>
      </rPr>
      <t>19/02 - Maxfreight informou que o</t>
    </r>
    <r>
      <rPr>
        <b/>
        <sz val="10"/>
        <rFont val="Arial"/>
        <family val="2"/>
      </rPr>
      <t xml:space="preserve"> ETA SSZ é 11/03.  </t>
    </r>
    <r>
      <rPr>
        <sz val="10"/>
        <rFont val="Arial"/>
        <family val="2"/>
      </rPr>
      <t>( contrato Foxconn Maersk ).
01/03 - Recebida cópia revisada do BL. Enviado ao despachante.
08/03 - Dctos originais disponíveis na Itatrans a partir de amanhã. Despachante avisado.Seguradora avisada sobre o embarque.
11/03 - Navio atracado.
15/03 - Seguradora liberou para nacionalização.
17/03 - Despachante informou que a NCM 8504 está faltando no BL. Compradora avisada. Ag. instruções. Compradora informou que o BL/mercante devem ser corrigidos. Despachante avisado.
23/03 - O armador já fez a retificação. As retificações para o MB/L foram aprovadas hoje as 10:00 h. Já solicitamos a Itatrans Santos que de entrada no pedido de retificação dos ce's do HB/L.  Esta retificação deverá estar ok amanhã, 24/03. Ainda não recebemos o courier com a documentação correta. Até o final desta semana deveremos receber. Processo OK para registro. Dctos originais disponíveis para troca em Santos em 25/03.
24/03 - Solicitada NVE a Engenharia. DI registrada. Canal vermelho.
25/03 - BL original ainda não está disponível. BL retirado as 16h30. Entrada na RF para desembaraço amanhã de manhã.
26/03 - Fiscal Solange.
29/03 - Ag. distribuição para conferência física.
30/03 - Fiscal Charles.
31/03 - Desembaraçada. Precisei estornar todo o processo no sistema pois a divisão de containers estava errada. Inspeção de madeira hoje a tarde.</t>
    </r>
  </si>
  <si>
    <r>
      <t xml:space="preserve">ETA SSZ 12/11.
</t>
    </r>
    <r>
      <rPr>
        <sz val="10"/>
        <rFont val="Arial"/>
        <family val="2"/>
      </rPr>
      <t>12/11 - Navio atracado as 17h55.
16/11 - Di registrada. Em análise fiscal.
17/11 - Canal verde. Inspeção de madeira amanhã a tarde. Compradora informou que entrega pode ser agendada para a próxima semana.</t>
    </r>
  </si>
  <si>
    <t>AAH0090238
AAH0090239
AAH0090240</t>
  </si>
  <si>
    <t>AAH0089395</t>
  </si>
  <si>
    <t>6339-0442-909.023</t>
  </si>
  <si>
    <t>SBG-5426i09</t>
  </si>
  <si>
    <t>WSZSTS09060604</t>
  </si>
  <si>
    <t>07/08 - Recebido docs. 
10/08 - Draft enviado. Problemas com preço. Ag. Definição entre compras e Aurora.
12/08 - Problema de preço resolvido. Draft reenviado.
13/08 - DI registrada.Ag. Parametrização.
14/08 - Canal amarelo.Desembaraçado.</t>
  </si>
  <si>
    <t>11/08 - Recebido docs. 
13/08 - Draft enviado.DI registrada.Ag. Parametrização.
14/08 - Canal amarelo. Desembaraçado.</t>
  </si>
  <si>
    <t>13/08 - Recebido docs.Draft enviado. DI registrada.Ag. Parametrização.
14/08 - Canal amarelo. Desembaraçado.</t>
  </si>
  <si>
    <t>S-VMI-3468i09</t>
  </si>
  <si>
    <t>ID3-960054_3</t>
  </si>
  <si>
    <t>A-3471i09</t>
  </si>
  <si>
    <t>S-VMI-3466i09</t>
  </si>
  <si>
    <t>AAH0086423</t>
  </si>
  <si>
    <t>MOLU543138848</t>
  </si>
  <si>
    <t>S-VMI-3467i09</t>
  </si>
  <si>
    <t>AAH0086424</t>
  </si>
  <si>
    <t>S-VMI-3469i09</t>
  </si>
  <si>
    <t>ID3-960080_1</t>
  </si>
  <si>
    <t>EGLV142950272690</t>
  </si>
  <si>
    <t>S-VMI-3470i09</t>
  </si>
  <si>
    <t>ID3-940051_8</t>
  </si>
  <si>
    <t>16/04 - Recebida invoice da compradora.
20/04 - Enviada ref. Ao despachante. Ag. Atracação, prevista para 21/04.
24/04 - Navio atrasou. Ag. Atracação prevista para hoje.
25/04 - AG. DESCARGA PRA PROV. DTA.
27/04 - LI deferida.
04/05 - Remoção prevista para hoje.
06/05 - DA registrada. Ag. parametrização.
**carga avariada. Enviado ao Leonardo**
07/05 - Canal amarelo. Distribuido - Fiscal Leal - Desembaraçada – AG. CD
08/05 - CD 02574-09</t>
  </si>
  <si>
    <t>MAX-0912275</t>
  </si>
  <si>
    <t>6698i09</t>
  </si>
  <si>
    <t>595-92379</t>
  </si>
  <si>
    <t>27/08 - Recebido docs.
28/08 - Enviado draft. Di será registrada em 01/09 devido ao fechamento do mês.
01/09 - DI registrada. Em análise fiscal. Canal verde.</t>
  </si>
  <si>
    <t>090831-160_1</t>
  </si>
  <si>
    <t>29/03 - Navio atracou.
08/04 - DTA ag. Parametrização.
13/04 - DTA canal verde. Carga sendo removida ao Libra.
15/04 - DA registrada. Ag. Parametrização. Canal vermelho.
22/04 - Desembaraçada. Ag. CD.
23/04 - CD 02282-09.</t>
  </si>
  <si>
    <t>S-1380i09</t>
  </si>
  <si>
    <t>Golden Bridge</t>
  </si>
  <si>
    <t>S-1382i09</t>
  </si>
  <si>
    <t>S-1411i09</t>
  </si>
  <si>
    <t>E-34P09</t>
  </si>
  <si>
    <t>EBP-9C0916</t>
  </si>
  <si>
    <t>14i10</t>
  </si>
  <si>
    <r>
      <t xml:space="preserve">16/10 - Recebido doctos da compradora.
23/10 - Processo enviado ao despachante. </t>
    </r>
    <r>
      <rPr>
        <b/>
        <sz val="10"/>
        <rFont val="Arial"/>
        <family val="2"/>
      </rPr>
      <t xml:space="preserve">ETA SSZ 01/11.
</t>
    </r>
    <r>
      <rPr>
        <sz val="10"/>
        <rFont val="Arial"/>
        <family val="2"/>
      </rPr>
      <t>26/10 - Dctos originais enviados no malote.
01/11 - Navio atracado. 
02/11 - Ag. Desconsolidação. Terminal Bandeirantes.
05/11 - Desova ao longo do dia.
06/11 - DI registrada. Em análise fiscal.
09/11 - Canal verde.</t>
    </r>
  </si>
  <si>
    <t>29/10 - Navio atracado.
04/11 - Di registrada. Canal verde.
05/11 - Inspeção de madeira amanhã a tarde.
09/11 - Caminhão no terminal ag. Carregamento.</t>
  </si>
  <si>
    <t>Santos
Deicmar</t>
  </si>
  <si>
    <t>A-VMI-4628i09</t>
  </si>
  <si>
    <t>31/08 - Recebida cópia de BL.
02/09 - Enviado a compradora. Autorizado. Processo com o despachante.Ag. ETA SSZ.
04/09 - ETA SSZ 24/09.
21/09 - Dctos originais enviados no malote.
24/09 - Navio atrasou para 26/09.
28/09 - Navio atracou hoje.
30/09 - Solicitada NVE a Engenharia. Enviada NVE ao despachante. A NCM 3921.13.90 não consta no SISCARGA. Solicitada inclusão.
01/10 - Ag. remoção para Deicmar.
02/10 - Container no terminal.
05/10 - Presença de carga OK. Di registrada. Ag. parametrização. Em análise fiscal.
06/10 - Canal verde. Inspeção de madeira agendada para 07/10 a tarde.</t>
  </si>
  <si>
    <t>A-VMI-3279i09</t>
  </si>
  <si>
    <t>S-VMI-3332i09</t>
  </si>
  <si>
    <t>JPC Topseed</t>
  </si>
  <si>
    <t>15/09 - Recebido docs. Item da invoice com preço errado. Ag. Retorno. Recebida invoice correta. Enviado draft. DI registrada. Em análise fiscal.
16/09 - Canal verde.</t>
  </si>
  <si>
    <t>5279i09</t>
  </si>
  <si>
    <t>SZHF49841</t>
  </si>
  <si>
    <t>5302i09</t>
  </si>
  <si>
    <t>4600020631
4600020051
4600020046</t>
  </si>
  <si>
    <t>SZHF49831</t>
  </si>
  <si>
    <t>5283i09</t>
  </si>
  <si>
    <t>SZHF49839</t>
  </si>
  <si>
    <t>29/10 - Navio atracado.
04/11 - Di registrada. Canal verde.
05/11 - Inspeção de madeira hoje a tarde. Trazer para a fábrica amanhã, 06/11.</t>
  </si>
  <si>
    <t>26/11 - Recebida informação do embarque. 
27/11 - Compradora autorizou.
30/11 - Enviada ref. Processo com o despachante. Ag. Dados do vôo.
01/12 - Embarque previsto chegar em MIA dia 03/12.
07/12 - MAWB 404-22218641. Carga chegou hoje as 03h20. DI registrada. Canal verde.</t>
  </si>
  <si>
    <t>GHGI-090107_4
GHGI-090107_5</t>
  </si>
  <si>
    <t>NE-3320i09</t>
  </si>
  <si>
    <t>NE-3322i09</t>
  </si>
  <si>
    <t>NE-3324i09</t>
  </si>
  <si>
    <r>
      <t>Carga com seguro.</t>
    </r>
    <r>
      <rPr>
        <sz val="10"/>
        <rFont val="Arial"/>
        <family val="2"/>
      </rPr>
      <t xml:space="preserve">
28/01 - Recebida informação do embarque. Comprador autorizou. Enviado processo ao despachante. Solicitada NCM ao comprador e confirmação do prazo de pgto (75 dias).
29/01 - Navio: MONTE OLIVIA V.005W
ETS SHA: 01/02
</t>
    </r>
    <r>
      <rPr>
        <b/>
        <sz val="10"/>
        <rFont val="Arial"/>
        <family val="2"/>
      </rPr>
      <t>ETA SSZ: 04/03</t>
    </r>
    <r>
      <rPr>
        <sz val="10"/>
        <rFont val="Arial"/>
        <family val="2"/>
      </rPr>
      <t xml:space="preserve">
QTD: 01x20' + 06x40'. Ag. pré alerta.
01/02 - Enviadas NCMs ao agente de cargas.
03/02 - Recebida cópia do BL. Despachante em cópia.
10/02 - Recebida cópia de BL revisado.
15/02 - Enviado ao despachante.
17/02 - A documentação original estará disponível para retirada na Itatrans Santos a partir de segunda ( 22/02 ). Despachante avisado.
01/03 - Seguradora avisada sobre o embarque.
04/03 - Navio atracou hoje às 07:50h e está operando. Contrato Itatrans e Safmarine (15 dias).
08/03 - Di registrada. Em análise fiscal.
09/03 - Canal verde.
10/03 - Compradora informou que a entrega pode ser feita em 11 - 12 e 15/03.</t>
    </r>
  </si>
  <si>
    <t>11/11 - Recebida informação do embarque.
12/11 - Autorizado.
18/11 - DHL informou que está aguardando chegada dos dctos originais via courier para seguir com o embarque.
19/11 - A origem recebeu os docs originais e está providenciando a reserva.
23/11 - MAWB: 172 75351743 
Voo: 674
ETA: 24/11 - 18h10.
25/11 - Carga chegou a 01h00.
26/11 - DI registrada. Canal verde.</t>
  </si>
  <si>
    <t>S0911-03K</t>
  </si>
  <si>
    <t>ID3-980049_3</t>
  </si>
  <si>
    <t>6516i09</t>
  </si>
  <si>
    <t>17/10 - Navio atracado.
19/10 - Trazer dia 20/10 para a fábrica. DI registrada. Em análise fiscal.
20/10 - Inspeção de mandeira agendada para hoje. Canal verde.
21/10 - Terminal não posicionou o container. Inspeção de madeira agendada para hoje.</t>
  </si>
  <si>
    <t>17/10 - Navio atracado.
20/10 - Trazer para a fábrica em 22/10. DI registrada. Canal verde.
21/10 - Inspeção de madeira agendada para hoje.</t>
  </si>
  <si>
    <t>23/10 - Recebida invoices. 
26/10 - Processo enviado ao despachante.
27/10 - Draft enviado. Di registrada. Em análise fiscal.
28/10 - Canal verde. Enviada GARE para pgto.
29/10 - Enviado comprovante de ICMS ao despachante.</t>
  </si>
  <si>
    <r>
      <t>Carga precisa estar na FBR em 08/12.</t>
    </r>
    <r>
      <rPr>
        <sz val="10"/>
        <rFont val="Arial"/>
        <family val="2"/>
      </rPr>
      <t xml:space="preserve">
01/12 - Recebida informação do embarque. Compradora autorizou. Enviada ref. Processo com o despachante. 
02/12 - Carga será disponibilizada hoje pelo vendor.
03/12 - MAWB: 172  75855920. ETA VCP 05/12.
07/12 - Carga chegou em 06/12 as 05h30. DI registrada. Canal verde.</t>
    </r>
  </si>
  <si>
    <t>26/01 - Recebida informação do embarque. Compradora autorizou.
29/01 - Recebida cópia do HAWB. Enviada ref. Processo com o despachante.
03/02 - MAWB 045-60005934. ETA: 03/02 aprox. 23:00hs.
04/02 - Carga chegou em 03/02 as 23h50. Ag. Compradora informar os fabricantes faltantes.
05/02 - DI registrada. Canal verde.</t>
  </si>
  <si>
    <t>970i10</t>
  </si>
  <si>
    <t>EBP-020043</t>
  </si>
  <si>
    <t>03/02 - Recebida informação do embarque. MAWB 045-76635333. ETA VCP 06/02.
08/02 - Processo enviado ao despachante. Carga chegou em 07/02 as 03h10. Di registrada. Canal verde.</t>
  </si>
  <si>
    <t xml:space="preserve"> Amsterdam Bridge</t>
  </si>
  <si>
    <t>978i10</t>
  </si>
  <si>
    <t>DMCQYAT2978087</t>
  </si>
  <si>
    <t>CWNSSZ100581</t>
  </si>
  <si>
    <r>
      <t xml:space="preserve">11/01 - Recebido invoice e PL da compradora.
12/01 - Processo com o despachante. </t>
    </r>
    <r>
      <rPr>
        <b/>
        <sz val="10"/>
        <rFont val="Arial"/>
        <family val="2"/>
      </rPr>
      <t xml:space="preserve">ETA SSZ 14/01.
</t>
    </r>
    <r>
      <rPr>
        <sz val="10"/>
        <rFont val="Arial"/>
        <family val="2"/>
      </rPr>
      <t>14/01 - Navio atracado a 01h55. Em operação (08h55).
15/01 - Ag. Entrada do container no terminal.
18/01 - Ag. Remoção.
21/01 - Caminhão seguindo para o LibraPort.
22/01 - Presença de carga OK.
28/01 - Compradora informou que precisa da carga na fábrica em 05/02. Despachante avisado.</t>
    </r>
    <r>
      <rPr>
        <b/>
        <sz val="10"/>
        <rFont val="Arial"/>
        <family val="2"/>
      </rPr>
      <t xml:space="preserve"> DI será registrada em 03/02.
</t>
    </r>
    <r>
      <rPr>
        <sz val="10"/>
        <rFont val="Arial"/>
        <family val="2"/>
      </rPr>
      <t>02/02 - Di registrada. Ag. parametrização.
03/02 - Canal verde. Carga será entregue em 05/02.</t>
    </r>
  </si>
  <si>
    <r>
      <t>30/11 - Recebida invoice e PL da compradora.
01/12 - Enviado processo ao despachante. Solicitada</t>
    </r>
    <r>
      <rPr>
        <sz val="10"/>
        <color indexed="10"/>
        <rFont val="Arial"/>
        <family val="2"/>
      </rPr>
      <t xml:space="preserve"> emissão de LI. </t>
    </r>
    <r>
      <rPr>
        <sz val="10"/>
        <rFont val="Arial"/>
        <family val="2"/>
      </rPr>
      <t>Invoice sem valor do frete. Solicitado a compradora.
02/12 - Recebida cópia de BL. Enviado ao despachante.
10/12 - LI deferida.
28/12 - ETA SSZ 03/01/2010.
29/12 - Dctos originais enviados no malote.
04/01 - Navio previsto para hoje, sem horário de atracação. Navio atracado.
05/01 - Despachante informou que o navio é o YM Ningbo, previsto em Santos para 10/01.
11/01 - Navio esperado para hoje as 13h00. Navio esperado para hoje as 15h00, a confirmar.Navio esperado para hoje as 20h30, a confirmar. Navio atracado as 21h30.
12/01 - Ag. entrada do container no terminal.
13/01 - Ag. desconsolidação.
14/01 - Aguardando inspeção do M.A para desova.
15/01 - Notar que consta autorizada pela Receita, porém aguarda liberação do MAPA. A desova desta unidade iniciará as 17:00 hs da data de hoje.
18/01 - Carga desovada. Presença de carga OK. Di registrada. Ag. parametrização. Canal amarelo.
19/01 - Fiscal Maria Antonieta.
20/01 - Desembaraçada.</t>
    </r>
  </si>
  <si>
    <r>
      <t>31/07 - Recebido docs originais. Processo com o despachante.</t>
    </r>
    <r>
      <rPr>
        <b/>
        <sz val="10"/>
        <rFont val="Arial"/>
        <family val="2"/>
      </rPr>
      <t xml:space="preserve"> ETA SSZ 07/08.
</t>
    </r>
    <r>
      <rPr>
        <sz val="10"/>
        <rFont val="Arial"/>
        <family val="2"/>
      </rPr>
      <t xml:space="preserve">07/08 - Navio atrasou </t>
    </r>
    <r>
      <rPr>
        <b/>
        <sz val="10"/>
        <rFont val="Arial"/>
        <family val="2"/>
      </rPr>
      <t xml:space="preserve">ETA para 08/08.
</t>
    </r>
    <r>
      <rPr>
        <sz val="10"/>
        <rFont val="Arial"/>
        <family val="2"/>
      </rPr>
      <t>10/08 - Navio atracou em 09/08 a 00h01. Despachante informou que tem</t>
    </r>
    <r>
      <rPr>
        <sz val="10"/>
        <color indexed="10"/>
        <rFont val="Arial"/>
        <family val="2"/>
      </rPr>
      <t xml:space="preserve"> LI. Emitida e ag. Deferimento.
</t>
    </r>
    <r>
      <rPr>
        <sz val="10"/>
        <rFont val="Arial"/>
        <family val="2"/>
      </rPr>
      <t>13/08 - LI deferida. DI registrada. Canal amarelo.
17/08 - Desembaraçada.</t>
    </r>
  </si>
  <si>
    <t>5UCI790</t>
  </si>
  <si>
    <t>S-VMI-3098i09</t>
  </si>
  <si>
    <t>HS Bach</t>
  </si>
  <si>
    <r>
      <t>27/07 - Recebida cópia de docs. Solicitada</t>
    </r>
    <r>
      <rPr>
        <sz val="10"/>
        <color indexed="10"/>
        <rFont val="Arial"/>
        <family val="2"/>
      </rPr>
      <t xml:space="preserve"> emissão de LI.
</t>
    </r>
    <r>
      <rPr>
        <sz val="10"/>
        <rFont val="Arial"/>
        <family val="2"/>
      </rPr>
      <t xml:space="preserve">28/07 - Solicitado a compradora valor do frete para emitir a LI.
30/07 - Recebida invoice com valor do frete. Enviado ao despachante.
05/08 - Li deferida. Compradora avisada.
17/08 - Recebida cópia de BL. Enviado ao despachante.
20/08 - Ag. agente informar navio de transbordo e ETA SSZ.
26/08 - A carga foi transbordada para o MARE SUPERUM em Singapore previsto em Santos dia </t>
    </r>
    <r>
      <rPr>
        <b/>
        <sz val="10"/>
        <rFont val="Arial"/>
        <family val="2"/>
      </rPr>
      <t xml:space="preserve">08/09.
</t>
    </r>
    <r>
      <rPr>
        <sz val="10"/>
        <rFont val="Arial"/>
        <family val="2"/>
      </rPr>
      <t xml:space="preserve">04/09 - </t>
    </r>
    <r>
      <rPr>
        <b/>
        <sz val="10"/>
        <rFont val="Arial"/>
        <family val="2"/>
      </rPr>
      <t xml:space="preserve">ETA SSZ 07/09.
</t>
    </r>
    <r>
      <rPr>
        <sz val="10"/>
        <rFont val="Arial"/>
        <family val="2"/>
      </rPr>
      <t>08/09 - Navio atracou ontem.
09/09 - Ag. inspeção do M.A para desova. 
11/09 - DI registrada. Ag. parametrização. Canal amarelo.
14/09 - Entrada na RF hoje pela manhã.
15/09 - Ag. distribuição. Madeira liberada. Fiscal Solange.
21/09 - Desembaraçada.</t>
    </r>
  </si>
  <si>
    <t>E-54P09</t>
  </si>
  <si>
    <t>4600019401
4600019402</t>
  </si>
  <si>
    <t>5001359863
5001360570</t>
  </si>
  <si>
    <t>Cathrine Rickmers</t>
  </si>
  <si>
    <t>03/07 - Docs. Recebidos.
07/07 - Ag. ETA VCP.
09/07 - ETA VCP 10/07 as 09h00.
10/07 - Carga chegou as 06h50.
13/07 - Di registrada. Canal verde.</t>
  </si>
  <si>
    <t>25/06- Docs, recebido.
07/07 - Ag. ETA VCP.
09/07 - ETA VCP 10/07 as 09h00.
10/07 - Carga chegou as 06h50.
13/07 - Di registrada. Canal verde.</t>
  </si>
  <si>
    <t>Cooler Master</t>
  </si>
  <si>
    <t>2804i09</t>
  </si>
  <si>
    <t>AAH0087620</t>
  </si>
  <si>
    <t>4210i09</t>
  </si>
  <si>
    <t>08/12 - Compradora enviou dctos informando sobre o embarque.
09/12 - Recebida informação de HAWB da Maxfreight.
11/12 - Enviada ref. Processo com o despachante.
14/12 - Correndo tudo bem ETA VCP 17/12 a noite. Ag. Pré alerta.
16/12 - Essa carga ainda não chegou em MIA. Está prevista para chegar hoje no final da tarde. Sendo assim não conseguiremos entregar a carga a tempo a cia aérea para embarque no voo de amanhã. Sexta só temos voo flash ( MIA / VCP ). Será embarcada para VCP na consolidada de domingo ( ETA VCP 20/12 a noite ou 21/12 pela manhã ). Compradora avisada.
17/12 - ETA VCP 20/12.
18/12 - ETA VCP 19/12 21H00. MAWB 369-3675 1293.
21/12 - Carga chegou em 20/12 as 00h20. DI registrada. Canal verde.</t>
  </si>
  <si>
    <t>6724i09</t>
  </si>
  <si>
    <t>22/09 - Recebido docs. Draft enviado.Di registrada. Canal amarelo.
24/09 - Desembaraçado.</t>
  </si>
  <si>
    <t>S-VMI-4413i09</t>
  </si>
  <si>
    <t>ID3-970024_3</t>
  </si>
  <si>
    <t>S-VMI-4422i09</t>
  </si>
  <si>
    <t>IWJ-930028_4</t>
  </si>
  <si>
    <t>S-VMI-4423i09</t>
  </si>
  <si>
    <t>ID3-970062_2</t>
  </si>
  <si>
    <t>S-VMI-4424i09</t>
  </si>
  <si>
    <t>2200001291_3</t>
  </si>
  <si>
    <t>S-VMI-4432i09</t>
  </si>
  <si>
    <t>AAH0087961</t>
  </si>
  <si>
    <t>MOLU543166843</t>
  </si>
  <si>
    <t>23/09 - Compradora informou sobre a nacionalização.
24/09 - Processo com o despachante. Di registrada. Ag. Parametrização. Canal verde.</t>
  </si>
  <si>
    <t>10/02 - Navio atracado.
04/03 - DA registrada. Canal vermelho.
25/03 - DA retificada.
27/03 - Desembaraçada.
30/03 - CD emitido. Ag. Puxadas.</t>
  </si>
  <si>
    <t>4600015814
4600014457</t>
  </si>
  <si>
    <t>Verde</t>
  </si>
  <si>
    <t>Vermelho</t>
  </si>
  <si>
    <t>Amarelo</t>
  </si>
  <si>
    <t>E-06544/08</t>
  </si>
  <si>
    <t>E-06696/08</t>
  </si>
  <si>
    <t>E-17P08</t>
  </si>
  <si>
    <t>E-19P08</t>
  </si>
  <si>
    <t>E-30P08 (Zerada)</t>
  </si>
  <si>
    <t>E-05849/08 – E-20P09</t>
  </si>
  <si>
    <t>E-6P09</t>
  </si>
  <si>
    <t>In house</t>
  </si>
  <si>
    <t>3802i09</t>
  </si>
  <si>
    <t>17/11 - Recebida informação do embarque. Autorizado TC6.
19/11 - Embarque previsto para chegar em MIA dia 21/11.
24/11 - Questionei Expeditors. MAWB 307-3295 2603. ETA VCP 24/11 - 16h00.
25/11 - Carga chegou em 25/11 a 00h08. DI registrada. Em análise fiscal.
26/11 - Canal verde.</t>
  </si>
  <si>
    <t>5301i09</t>
  </si>
  <si>
    <t>SZHF49938</t>
  </si>
  <si>
    <t>29/10 -  Navio atracado.
03/11 - Di registrada. Canal verde.</t>
  </si>
  <si>
    <t>5305i09</t>
  </si>
  <si>
    <t>5001403676
5001405423</t>
  </si>
  <si>
    <t>SZHF49842</t>
  </si>
  <si>
    <t>5687i09</t>
  </si>
  <si>
    <t>DMCQHKG2154064</t>
  </si>
  <si>
    <t>5688i09</t>
  </si>
  <si>
    <t>DMCQHKG2156534</t>
  </si>
  <si>
    <t>Monte Aconcágua</t>
  </si>
  <si>
    <t>5689i09</t>
  </si>
  <si>
    <r>
      <t>10/02 - Recebida cópia do BL do agente de cargas. Recebida invoice da compradora.
16/02 - Processo enviado ao despachante. Ag. Navio de transbordo e ETA SSZ. Solicitada</t>
    </r>
    <r>
      <rPr>
        <sz val="10"/>
        <color indexed="10"/>
        <rFont val="Arial"/>
        <family val="2"/>
      </rPr>
      <t xml:space="preserve"> emissão de LI.
</t>
    </r>
    <r>
      <rPr>
        <sz val="10"/>
        <rFont val="Arial"/>
        <family val="2"/>
      </rPr>
      <t>17/02 - ETA SSZ 18/03.
11/03 - Agente de cargas informou que o processo vai atrasar. Navio Monte Azul ETA SSZ 01/04. 
17/03 - Cobrei dctos originais da compradora. Conforme informação do armador Safmarine, o porto de Tanjung Pelepas está congestionando, não obtendo liberação para as cargas, que desta forma ficam aguardando transbordo.
Para este caso,  carga foi liberada para embarcar somente no navio da semana seguinte, o Monte Azul, que possui previsão de chegada no dia 01/04/2010.
18/03 - Invoice e PL originais enviados no malote.
23/03 - DAMCO China informou que o BL original será enviado diretamente a DAMCO Brasil.
24/03 - Agente de cargas foi questionado sobre BL original.
25/03 - Cobrei DAMCO. Agente informou que o BL estará disponível no Brasil e OK para retirada amanhã, 26/03 a partir das 10h30. Despachante avisado.
29/03 - BL original com o despachante.
01/04 - Navio atracado.
05/04 - Ag. entrada do container no terminal.
07/04 - Aguardando a entrada do container no terminal.
08/04 - Aguardando a entrada do container no terminal.
09/04 - Presença de carga OK.
12/04 - Di registrada. Canal amarelo.
13/04 - Fiscal Nilva.
14/04 - Desembaraçada. 
15/04 - Inspeção de madeira em 16/04.</t>
    </r>
  </si>
  <si>
    <t>29/10 - Navio atracado.
09/11 - Processo OK para remoção.
10/11 - Remoção sendo feita hoje.
11/11 - Presença de carga OK.
21/12 - Compradora solicitou nacionalização.
28/12 - Despachante avisado. DI registrada. Canal verde.</t>
  </si>
  <si>
    <t>21/12 - Compradora solicitou nacionalização.
28/12 - Processo enviado ao despachante.DI registrada. Canal verde.</t>
  </si>
  <si>
    <t>6840i09</t>
  </si>
  <si>
    <t>4600022760
4600022514</t>
  </si>
  <si>
    <t>SZHF51794</t>
  </si>
  <si>
    <t>6841i09</t>
  </si>
  <si>
    <t>4600022514
4600022510</t>
  </si>
  <si>
    <t>14/01 - Recebido dctos da compradora.
18/01 - Recebido dctos do despachante, retirados na Fedex. Enviada ref. Carga chegou em 15/01 as 16h50.  DI registrada. Canal verde.</t>
  </si>
  <si>
    <r>
      <t>23/12 - Recebida cópia de BL do agente de cargas.
28/12 - Enviado a compradora solicitando cópia da invoice. Invoice recebida.
29/12 - Processo enviado ao despachante. Solicitada PO lines a compradora.</t>
    </r>
    <r>
      <rPr>
        <b/>
        <sz val="10"/>
        <rFont val="Arial"/>
        <family val="2"/>
      </rPr>
      <t xml:space="preserve"> ETA SSZ 18/01/2010.
</t>
    </r>
    <r>
      <rPr>
        <sz val="10"/>
        <rFont val="Arial"/>
        <family val="2"/>
      </rPr>
      <t>13/01 - Dctos originais enviados no malote.
18/01 - Navio previsto para hoje as 13h00.
19/01 - Navio atracou ontem as 16h25. Aguardando entrada do container no terminal. 
20/01 - Presença de carga OK. Ag. PO lines.
22/01 - Di registrada. Canal verde. Inspeção de madeira em 25/01.</t>
    </r>
  </si>
  <si>
    <t>29/01 - Recebida informação do embarque.
02/02 - Compradora autorizou.
05/02 - Embarque chegou em MIA e esta em processo de validação.Enviada ref.  Processo com o despachante.
08/02 - ETA: 09/02 aprox. 17:00hs.
09/02 - CIA aérea adiantou o vôo e a carga chegou hoje as 05h50. Divergência de peso. Ag. comprovante de pesagem da Expeditors.
10/02 - Divergência de peso liberada.DI registrada. Canal verde.
11/02 - Comprador informou que a carga pode ser entregue em 24/02.</t>
  </si>
  <si>
    <r>
      <t xml:space="preserve">09/10 - Recebida informação do embarque.
28/10 - Compradora enviou invoice.
30/10 - Processo com o despachante. </t>
    </r>
    <r>
      <rPr>
        <b/>
        <sz val="10"/>
        <rFont val="Arial"/>
        <family val="2"/>
      </rPr>
      <t>ETA SSZ 05/11</t>
    </r>
    <r>
      <rPr>
        <sz val="10"/>
        <rFont val="Arial"/>
        <family val="2"/>
      </rPr>
      <t xml:space="preserve">. Solicitada </t>
    </r>
    <r>
      <rPr>
        <sz val="10"/>
        <color indexed="10"/>
        <rFont val="Arial"/>
        <family val="2"/>
      </rPr>
      <t xml:space="preserve">emissão de LI.
</t>
    </r>
    <r>
      <rPr>
        <sz val="10"/>
        <rFont val="Arial"/>
        <family val="2"/>
      </rPr>
      <t>05/11 - Navio atracado as 08h00.
30/10 - BL original enviado no malote.
09/11 - Ag. Desconsolidação.
10/11 - Invoice e PL originais enviados no malote. DI registrada. Ag. parametrização.
11/11 - Canal amarelo.
13/11 - Distribuído para o fiscal Potiguara. Desembaraçada.
16/11 - Inspeção de madeira hoje a tarde. Compradora informou que pode ser entregue na fábrica em 19/11.</t>
    </r>
  </si>
  <si>
    <t>SBG-5777i09</t>
  </si>
  <si>
    <t>AAH0090244
AAH0090245
AAH0090246
AAH0090247</t>
  </si>
  <si>
    <r>
      <t xml:space="preserve">01/10 - Recebido docs
02/10 - Enviada ref. Ao despachante. </t>
    </r>
    <r>
      <rPr>
        <b/>
        <sz val="10"/>
        <rFont val="Arial"/>
        <family val="2"/>
      </rPr>
      <t xml:space="preserve">ETA SSZ 02/10.
</t>
    </r>
    <r>
      <rPr>
        <sz val="10"/>
        <rFont val="Arial"/>
        <family val="2"/>
      </rPr>
      <t>04/10 - Navio atracado.
13/10 - Remoção prevista para hoje.
15/10 - DA registrada. Canal amarelo.
16/10 - Fiscal Tozzi. Desembaraçada. CD 05797-09</t>
    </r>
  </si>
  <si>
    <t>D2009100</t>
  </si>
  <si>
    <t>4937i09</t>
  </si>
  <si>
    <t>S0909-04K</t>
  </si>
  <si>
    <t>21/08 - Navio atracado. Ag. Entrada do container no terminal.
24/08 - Presença de carga OK. DI registrada. Ag. Parametrização. Canal verde.</t>
  </si>
  <si>
    <r>
      <t>03/09 - Recebida informação do embarque. 
04/09 - Compradora autorizou.
05/09 - Enviada ref. Processo com o despachante.
16/09 -</t>
    </r>
    <r>
      <rPr>
        <b/>
        <sz val="10"/>
        <rFont val="Arial"/>
        <family val="2"/>
      </rPr>
      <t xml:space="preserve"> ETA SSZ 11/10.
13/10 - Navio esperado para hoje as 19h00.
</t>
    </r>
    <r>
      <rPr>
        <sz val="10"/>
        <rFont val="Arial"/>
        <family val="2"/>
      </rPr>
      <t>14/10 - Navio atracou em 13/10 as 19h05.
15/10 - Ag. inspeção de madeira para desova.
19/10 - Di registrada. Canal verde. BL original em Santos.</t>
    </r>
  </si>
  <si>
    <t>28/08 - Recebido docs. DA ainda não está OK para registro de DI. Será registrada em 01/09 devido ao fechamento do mês.
01/09 - DI registrada. Canal verde. Nfe não foi emitida devido a problemas no dpto. fiscal.
03/09 - Carga será armazenada na TSA para ser entregue em 09/09.</t>
  </si>
  <si>
    <t>SZHF47647</t>
  </si>
  <si>
    <t>20/08 - Recebido docs. Comprador autorizou.
24/08 - Enviada ref. Ao despachante.
28/08 - Embarque tem previsão de chegar em MIA dia 30/08.
02/09 - MAWB 404-2181 7294. ETA VCP 03/09 as 07h00.
03/09 - Carga chegou em 02/09 as 23h55. DI registrada. Em análise fiscal.
04/09 - Canal verde.</t>
  </si>
  <si>
    <t>4600012238
4600012313
4600012335
4600012348
4600012955</t>
  </si>
  <si>
    <t>CPC</t>
  </si>
  <si>
    <t>CMA CGM La Boussole</t>
  </si>
  <si>
    <t>SZ1444263</t>
  </si>
  <si>
    <t>08/1480295-2</t>
  </si>
  <si>
    <t>21/05 - Inf. Ref. Enviei docs.
04/06 - Recebi BL. Previsto p/ chegar dia 03/07 em Santos.
01/07 - Solicitei ao comprador o BL original, pois só recebi Invoice e PL.
06/07 - Ag. Presença de carga. Solicitei registro da DI. DI registrada. Ag. parametrização.
07/07 - Canal verde. Inspeção de madeira.</t>
  </si>
  <si>
    <t>2200001002_6</t>
  </si>
  <si>
    <t>16/09 - Compradora informou sobre a nacionalização.
21/09 - Processo com o despachante. Di registrada.
22/09 - Canal amarelo.Fiscal Tozzi. Desembaraçada.</t>
  </si>
  <si>
    <t>5127i09</t>
  </si>
  <si>
    <t>EBP-9A0094</t>
  </si>
  <si>
    <t>21/05 - Recebi docs. Draft enviado. Di registrada. 
22/05 - Canal vermelho.
25/05 - Desembaraçada. Entregue.</t>
  </si>
  <si>
    <t>S-VMI-3262i09</t>
  </si>
  <si>
    <t>AAH0086059</t>
  </si>
  <si>
    <t>14/10 - Recebida invoices.
16/10 - Processo enviado ao despachante.
19/10 - Draft enviado. DI registrada. Canal verde. Enviada GARE para pgto.
20/10 - Solicitada emissão de Nfe. Enviado comprovante de pgto de ICMS as 17h30.</t>
  </si>
  <si>
    <r>
      <t xml:space="preserve">25/11 - Recebida invoice da compradora. Solicitada cópia de BL.
10/12 - Recebida cópia do BL.
14/12 - Processo enviado ao despachante. </t>
    </r>
    <r>
      <rPr>
        <b/>
        <sz val="10"/>
        <rFont val="Arial"/>
        <family val="2"/>
      </rPr>
      <t xml:space="preserve">ETA SSZ 11/01/2010.
</t>
    </r>
    <r>
      <rPr>
        <sz val="10"/>
        <rFont val="Arial"/>
        <family val="2"/>
      </rPr>
      <t xml:space="preserve">28/12 - BL original enviado no malote.
29/12 - Despachante informou que o navio está previsto para </t>
    </r>
    <r>
      <rPr>
        <b/>
        <sz val="10"/>
        <rFont val="Arial"/>
        <family val="2"/>
      </rPr>
      <t xml:space="preserve">31/12.
</t>
    </r>
    <r>
      <rPr>
        <sz val="10"/>
        <rFont val="Arial"/>
        <family val="2"/>
      </rPr>
      <t>04/01 - Navio atracado em 03/01. Verificando descarga.
05/01 - Aguardando inspeção do M.A para posterior desova.
06/01 - Ag. desova.
07/01 - Desovado, sem avarias. Presença de carga OK. DI registrada. Canal verde. Compradora informou que deve ser entregue no sábado.</t>
    </r>
  </si>
  <si>
    <r>
      <t>Remoção, sem entreposto.</t>
    </r>
    <r>
      <rPr>
        <sz val="10"/>
        <rFont val="Arial"/>
        <family val="2"/>
      </rPr>
      <t xml:space="preserve">
27/11 - Recebido dctos.
01/12 - Processo enviado ao despachante.</t>
    </r>
    <r>
      <rPr>
        <b/>
        <sz val="10"/>
        <rFont val="Arial"/>
        <family val="2"/>
      </rPr>
      <t xml:space="preserve">ETA SSZ 03/12.
</t>
    </r>
    <r>
      <rPr>
        <sz val="10"/>
        <rFont val="Arial"/>
        <family val="2"/>
      </rPr>
      <t>02/12 - Navio atracado no final da tarde.
08/12 - Remoção será feita amanhã.
09/12 - Caminhão seguindo para o Libra.
10/12 - DTA com presença ok.
21/12 - Compradora solicitou nacionalização.
28/12 - Despachante avisado. DI registrada. Canal verde.</t>
    </r>
  </si>
  <si>
    <t>28/09 - Recebido BL do agente.
29/09 - Recebida invoice da compradora. Processo com o despachante.
05/10 - Navio Maersk Dominica. ETA SSZ 29/10 as 21h00.
20/10 - Dctos originais enviados no malote.
29/10 - Navio atracou as 07h00.
03/11 - Ag. Inspeção e autorização da RF para desova.
04/11 - Ag. Inspeção e autorização da RF para desova.
05/11 - Ag. desova no Tecondi. Desova ao longo do dia. Despachante informou que uma NCM foi lançada erroneamente no SISCARGA. Já fizemos contato com a DAMCO. Milton ciente.
06/11 - Será necessária correção do BL/ Mercante.
10/11 - Ag. autorização da origem para correção do MBL. Armador já seguiu com a correção. Ag. regularização do Mercante.
11/11 - Di registrada. Ag. parametrização.
12/11 - Canal verde.</t>
  </si>
  <si>
    <t>EBP-9B0106</t>
  </si>
  <si>
    <t>Keyovation</t>
  </si>
  <si>
    <t>IVC29778</t>
  </si>
  <si>
    <t>06/10 - Compradora informou sobre a nacionalização. 
07/10 - Processo com o despachante.
08/10 - Di registrada. Canal amarelo.
09/10 - Mercadoria distribuída para o fiscal Madruga. Em análise.  Desembaraçada.</t>
  </si>
  <si>
    <t>873i10</t>
  </si>
  <si>
    <t>4600023336
4600023337</t>
  </si>
  <si>
    <t>5001504485
5001506754</t>
  </si>
  <si>
    <t>875i10</t>
  </si>
  <si>
    <t>4600023332
4600023338</t>
  </si>
  <si>
    <t>5001504510
5001504511</t>
  </si>
  <si>
    <t>16/09 - Compradora informou sobre a nacionalização.
21/09 - Processo com o despachante. Di registrada.
22/09 - Canal amarelo. Fiscal Tozzi.  Desembaraçada.</t>
  </si>
  <si>
    <t>E-53P09</t>
  </si>
  <si>
    <t>Monte Olivia</t>
  </si>
  <si>
    <t>SZHF49189</t>
  </si>
  <si>
    <t>4318i09</t>
  </si>
  <si>
    <t>4600019425
4600019426</t>
  </si>
  <si>
    <t>5001360789
5001360355</t>
  </si>
  <si>
    <t>SZHF49190</t>
  </si>
  <si>
    <t>4319i09</t>
  </si>
  <si>
    <t>4600019403
4600019398</t>
  </si>
  <si>
    <t>5001360732
5001360774</t>
  </si>
  <si>
    <r>
      <t xml:space="preserve">24/02 - Recebido dctos da compradora depois do horário.
26/02 - Processo enviado ao despachante. Solicitada </t>
    </r>
    <r>
      <rPr>
        <sz val="10"/>
        <color indexed="10"/>
        <rFont val="Arial"/>
        <family val="2"/>
      </rPr>
      <t xml:space="preserve">emissão de LI </t>
    </r>
    <r>
      <rPr>
        <sz val="10"/>
        <rFont val="Arial"/>
        <family val="2"/>
      </rPr>
      <t>e cópia de BL a compradora.
17/03 - Cobrei BL da compradora. Recebida cópia de BL.
23/03 - Enviada cópia de BL ao despachante. Ag. navio de transbordo e ETA SSZ.</t>
    </r>
    <r>
      <rPr>
        <b/>
        <sz val="10"/>
        <rFont val="Arial"/>
        <family val="2"/>
      </rPr>
      <t xml:space="preserve"> 
</t>
    </r>
    <r>
      <rPr>
        <sz val="10"/>
        <rFont val="Arial"/>
        <family val="2"/>
      </rPr>
      <t xml:space="preserve">29/03 - </t>
    </r>
    <r>
      <rPr>
        <b/>
        <sz val="10"/>
        <rFont val="Arial"/>
        <family val="2"/>
      </rPr>
      <t xml:space="preserve">ETA SSZ 06/04.
</t>
    </r>
    <r>
      <rPr>
        <sz val="10"/>
        <rFont val="Arial"/>
        <family val="2"/>
      </rPr>
      <t>30/03 - Dctos originais enviados no malote.
05/04 - Navio atracado. Ag. entrada do container no terminal.
07/04 - Aguardando a entrada do container no terminal.
08/04 - Di registrada. Ag. parametrização. Canal amarelo.
12/04 - Fiscal Solange.
13/04 - Desembaraçada.</t>
    </r>
  </si>
  <si>
    <t>ETA SSZ 21/05
29/04 - Processo enviado ao despachante.
13/05 - AG. DESCARGA DO NAVIO
19/05 - Registro autorizado.DI registrada. Ag. Parametrização.
20/05 - Canal verde.
22/05 - Entregue.</t>
  </si>
  <si>
    <r>
      <t>29/12 - Recebido invoice e PL da compradora.
30/12 - Processo enviado ao despachante solicitando</t>
    </r>
    <r>
      <rPr>
        <sz val="10"/>
        <color indexed="10"/>
        <rFont val="Arial"/>
        <family val="2"/>
      </rPr>
      <t xml:space="preserve"> emissão de LI.
</t>
    </r>
    <r>
      <rPr>
        <sz val="10"/>
        <rFont val="Arial"/>
        <family val="2"/>
      </rPr>
      <t>31/12 - LI deferida.
04/01 - Compradora foi avisada que a LI foi deferida. Solicitada cópia de BL. Compradora informou as seguintes datas. Ag. cópia do BL.
ETD 29/01
ETA Santos 24/02.
05/02 - Recebida cópia de BL.
08/02 - Enviada cópia ao despachante.</t>
    </r>
    <r>
      <rPr>
        <b/>
        <sz val="10"/>
        <rFont val="Arial"/>
        <family val="2"/>
      </rPr>
      <t xml:space="preserve"> ETA SSZ 20/02.
</t>
    </r>
    <r>
      <rPr>
        <sz val="10"/>
        <rFont val="Arial"/>
        <family val="2"/>
      </rPr>
      <t>09/02 - Frete da invoice está divergente do BL. Pedi para comprador enviar invoice revisada. Haverá necessidade de LI sub. Recebida invoice revisada. Despachante em cópia.
17/02 - Recebido dctos originais com o valor da invoice inicial (USD 31.320,00). O mercante está de acordo com as invoices originais, portanto não haverá necessidade de LI sub (cancelada).
18/02 - Dctos originais enviados a Santos.
19/02 - Navio esperado para hoje as 20h00.
20/02 - Navio atracado.
22/02 - Di registrada. Canal amarelo.
23/02 - Despachante informou que a fatura está apenas carimbada e não será aceita pela RF.
24/02 - Solicitada nova invoice ao comprador. Enviada invoice no malote.
25/02 - Fiscal Álvaro.
26/02 - Desembaraçada.
01/03 - Inspeção de madeira amanhã a tarde.
03/03 - Caminhão encontra-se na fila do terminal, porém a entrada está bloqueada devido a uma greve. Sem previsão de regularização.
10/03 - Lavagem de container autorizada.</t>
    </r>
  </si>
  <si>
    <t>21/09 - Recebido docs.
22/09 - Processo enviado ao despachante. Di registrada. Em análise fiscal. Enviado GARE para pgto. 
23/09 - Canal verde. Enviado comprovante ao despachante. Enviada NF ao despachante.</t>
  </si>
  <si>
    <t>4416i09</t>
  </si>
  <si>
    <t>6095i09</t>
  </si>
  <si>
    <t xml:space="preserve">4600021441 4600020322 4600020423 4600020777 4600020776 </t>
  </si>
  <si>
    <t>5001433849 5001433860</t>
  </si>
  <si>
    <t>SZHF51224</t>
  </si>
  <si>
    <t>MONTE ROSA</t>
  </si>
  <si>
    <t>6097i09</t>
  </si>
  <si>
    <t>SZHF51227</t>
  </si>
  <si>
    <t>6098i09</t>
  </si>
  <si>
    <t>SZHF51230</t>
  </si>
  <si>
    <t>6099i09</t>
  </si>
  <si>
    <t>SZHF51229</t>
  </si>
  <si>
    <t>6130i09</t>
  </si>
  <si>
    <t>4600021441 4600020046</t>
  </si>
  <si>
    <t>SZHF51237</t>
  </si>
  <si>
    <t>E-63P09</t>
  </si>
  <si>
    <t>PA742759</t>
  </si>
  <si>
    <r>
      <t xml:space="preserve">08/07 - Recebida informação do embarque.
13/07 - Comprador autorizou. Processo com o despachante.Ag. ETA SSZ e cópia de BL.
28/07 - Cobrei Expeditors. </t>
    </r>
    <r>
      <rPr>
        <b/>
        <sz val="10"/>
        <rFont val="Arial"/>
        <family val="2"/>
      </rPr>
      <t>ETA SSZ 25/08.</t>
    </r>
    <r>
      <rPr>
        <sz val="10"/>
        <rFont val="Arial"/>
        <family val="2"/>
      </rPr>
      <t xml:space="preserve"> Ag. Cópia de BL.
04/08 - Recebida cópia de BL. Enviado a Santos.
07/08 - Recebida invoice original. Enviada a Santos.
13/08 - </t>
    </r>
    <r>
      <rPr>
        <b/>
        <sz val="10"/>
        <rFont val="Arial"/>
        <family val="2"/>
      </rPr>
      <t xml:space="preserve">Necessidade FOX 31/08.
</t>
    </r>
    <r>
      <rPr>
        <sz val="10"/>
        <rFont val="Arial"/>
        <family val="2"/>
      </rPr>
      <t>26/08 - Navio atracou em 24/08. Ag. desconsolidação. Carga está sendo desovada (09h20). DI registrada.
27/08 - Canal verde.</t>
    </r>
  </si>
  <si>
    <t>4600023123
4600023124</t>
  </si>
  <si>
    <t>5001493742
5001493748</t>
  </si>
  <si>
    <t>SZHF51984</t>
  </si>
  <si>
    <t>16/07-Rec. Docs, enviado draft. DI registrada, ag parametrização. 
In house.</t>
  </si>
  <si>
    <t>867660755926</t>
  </si>
  <si>
    <t>ETA SSZ 25/05
25/05 - Ag. atracação do navio.
26/06 - Navio atracado. Ag. Presença.
27/05 - Ag. Presença. Presença OK.
29/05 - Solicitado emissão de LI, emitida (09/0988360-0) ag. deferimento.
01/06 - Ag. Deferimento da LI.
02/06 - Ag. Deferimento da LI. Banco informou que está com atrasos/ acumulo e está demorando 72 horas.
05/06 - Cobrei Original. LI ainda não foi deferida.
08/06 - LI deferida. DI registrada. Canal vermelho.
09/06 - Ag. distribuição.
10/06 - DI desembaraçada.
15/06 - Inspeção de madeira.
16/06 - Entregue.</t>
  </si>
  <si>
    <t>E-11P10</t>
  </si>
  <si>
    <t>A-3367i09</t>
  </si>
  <si>
    <t>U.S. Laggage</t>
  </si>
  <si>
    <t>Fátima</t>
  </si>
  <si>
    <t>YF09Y021-19</t>
  </si>
  <si>
    <t>A-3375i09</t>
  </si>
  <si>
    <t>Liteon</t>
  </si>
  <si>
    <t>CKD20090807</t>
  </si>
  <si>
    <r>
      <t>Desembaraço em SSZ por conta da Foxconn.</t>
    </r>
    <r>
      <rPr>
        <sz val="9"/>
        <rFont val="Arial"/>
        <family val="2"/>
      </rPr>
      <t xml:space="preserve">
04/09 - HP providenciou endosso do BL. Despachante deu aceite via sistema.
10/09 - Dctos enviados a Santos. Entrada na RF para regularização e posterior registro de DI.  Recebido protocolo de desbloqueio as 15h55.
11/09 - Recebido invoices.
12/09 - Enviada invoices ao despachante.
15/09 - Processo OK na RF. Ag. presença de carga. Di registrada. Canal vermelho. Questionei HP sobre faturas originais para entrada na RF. Enviada GARE para pgto. Ag. comprovante. 14h40. Solicitada emissão de NF.  Recebida NF. Enviado ao despachante.
17/09 - DI distribuída para o fiscal Paulo R. Guimarães.
18/09 - DI liberada no exame documental e encaminhada para armazém. Estamos requerendo posicionamento do container para conferência na 2ª. feira.
21/09 - DI distribuída para o Fiscal Valença. Mercadoria conferida. Ag. liberação no sistema. Madeira prevista para hoje a tarde. Desembaraçada.</t>
    </r>
  </si>
  <si>
    <t>4358i09</t>
  </si>
  <si>
    <t>S-VMI-4224i09</t>
  </si>
  <si>
    <t>ID3-960080_4</t>
  </si>
  <si>
    <t>11/01 - Recebida informação do embarque, porém sem cópia de dctos. Compradora autorizou.
14/01 - Recebida cópia dos dctos.
18/01 - Enviada ref. Processo com o despachante. Ag. Confirmação do booking.
03/02 - Recebida cópia de BL. Enviada ao despachante. ETA SSZ 19/02.
08/02 - Solicitada NVE a Engenharia. Divergência de fabricantes. Questionei compradora. Fabricantes OK. Enviada NVE ao despachante.
11/02 - Expeditors informou que os dctos originais serão enviados diretamente a Foxconn.
18/02 - Navio atracado.
22/02 - Ag. Entrada do container no terminal. Ag. desconsolidação.
23/02 - Cobrei dctos originais da compradora. Dctos originais enviados no malote.
24/02 - Ag. inspeção do M.A. para posterior desova.
25/02 - Presença de carga OK. DI registrada. Ag. parametrização.
26/02 - Em análise fiscal. Canal verde. Inspeção de madeira hoje a tarde. Compradora informou que carga pode ser entregue em 05/03.
02/03 - Compradora informou que carga deve ser entregue em 04/03.</t>
  </si>
  <si>
    <t>5QR2576</t>
  </si>
  <si>
    <t>ABG-3198i09</t>
  </si>
  <si>
    <t>AAH0085922</t>
  </si>
  <si>
    <t>5QR2619</t>
  </si>
  <si>
    <t>01/09 - Recebido docs.
02/09 - Enviado draft. DI registrada. Em análise fiscal.
03/09 - Canal verde.</t>
  </si>
  <si>
    <t>02/09 - Recebido docs. Enviado draft. DI registrada. Em análise fiscal.
03/09 - Canal verde.</t>
  </si>
  <si>
    <t>16/07 - Recebido docs.
17/07 - DI registrada. Ag. Parametrização. Canal amarelo.
20/07 - Desembaraçada.</t>
  </si>
  <si>
    <t>2925i09</t>
  </si>
  <si>
    <r>
      <t>Carga precisa estar na FBR em 11/12.</t>
    </r>
    <r>
      <rPr>
        <sz val="10"/>
        <rFont val="Arial"/>
        <family val="2"/>
      </rPr>
      <t xml:space="preserve">
26/11 - Recebida informação do embarque. Compradora autorizou.
30/11 - Enviada ref. Processo com o despachante. Ag. Dados do vôo.
02/12 - Embarque previsto chegar em MIA dia 06/12. Recebida da compradora a invoice GPRO20091123CKD com valor diferente. Enviado ao despachante.
08/12 - Cobrei agente de cargas. Embarque previsto para ser validado hoje. Ag. detalhes de vôo.
09/12 - MAWB 404-22218490. ETA: 10/12 aprox. 17:00hs.
10/12 - Carga chegou as 05h33.
11/12 - Di registrada. Canal verde.</t>
    </r>
  </si>
  <si>
    <t>29/10 - Navio atracado.
04/11 - Di registrada. Canal verde.
05/11 - Inspeção de madeira amanhã a tarde. Comprador informou que carga pode ser entregue em 13/11.
13/11 - Caminhão no terminal ag. Carregamento.</t>
  </si>
  <si>
    <t>DGG032249</t>
  </si>
  <si>
    <r>
      <t xml:space="preserve">23/09 - Compradora informou sobre a nacionalização. </t>
    </r>
    <r>
      <rPr>
        <b/>
        <sz val="10"/>
        <rFont val="Arial"/>
        <family val="2"/>
      </rPr>
      <t>Carga deve ser entregue na fábrica em 01/10.</t>
    </r>
    <r>
      <rPr>
        <sz val="10"/>
        <rFont val="Arial"/>
        <family val="2"/>
      </rPr>
      <t xml:space="preserve">
28/09 - Processo com o despachante. Di registrada. Canal verde.
01/10 - Carga deve ser entregue na Foxconn em 02/10.</t>
    </r>
  </si>
  <si>
    <t>S0911-08K</t>
  </si>
  <si>
    <t>MASZ-512725</t>
  </si>
  <si>
    <t>6152i09</t>
  </si>
  <si>
    <t>S0911-15K</t>
  </si>
  <si>
    <t>09/1675298-9</t>
  </si>
  <si>
    <t>6155i09</t>
  </si>
  <si>
    <t>S0911-12K</t>
  </si>
  <si>
    <t>6159i09</t>
  </si>
  <si>
    <t>4103161527/4103144210/410314207/4103161522</t>
  </si>
  <si>
    <t>DMCQYAT2921673</t>
  </si>
  <si>
    <r>
      <t xml:space="preserve">04/12 - Recebido dctos.Processo enviado ao despachante. </t>
    </r>
    <r>
      <rPr>
        <b/>
        <sz val="10"/>
        <rFont val="Arial"/>
        <family val="2"/>
      </rPr>
      <t xml:space="preserve">ETA SSZ 10/12.
</t>
    </r>
    <r>
      <rPr>
        <sz val="10"/>
        <rFont val="Arial"/>
        <family val="2"/>
      </rPr>
      <t>10/12 - Navio atracou as 08h00.
11/12 - Presença de carga OK.
14/12 - DI registrada. Canal verde. Inspeção de madeira amanhã a tarde.
16/12 - Documentação no registro veículo aguardando chamada para carregamento.</t>
    </r>
  </si>
  <si>
    <r>
      <t xml:space="preserve">01/10 - Compradora informou sobre a nacionalização. </t>
    </r>
    <r>
      <rPr>
        <b/>
        <sz val="10"/>
        <rFont val="Arial"/>
        <family val="2"/>
      </rPr>
      <t xml:space="preserve">Registro de DI deve ser em 05/10. 
</t>
    </r>
    <r>
      <rPr>
        <sz val="10"/>
        <rFont val="Arial"/>
        <family val="2"/>
      </rPr>
      <t>05/10 - Processo com o despachante. Di registrada. Canal amarelo. 
06/10 - Fiscal Tozzi. Em análise. Desembaraçado.</t>
    </r>
  </si>
  <si>
    <t>Ag. Booking.
08/05 - NAVIO:  CAP SAN LORENZO
HBL  :    238067
Embarque:  04/05
Chegada prevista:  20/05
25/05 - PRESENCA OK.
26/06 - DI registrada. Canal verde. 
27/05 - Inspeção da madeira.
28/05 - Entregue.</t>
  </si>
  <si>
    <t>S-1803i09</t>
  </si>
  <si>
    <t>S-1813i09</t>
  </si>
  <si>
    <t>22/05 - Recebi docs. Draft enviado. DI registrada. Ag. Parametrização. Canal verde. Entregue.</t>
  </si>
  <si>
    <t>S-VMI-3388i09</t>
  </si>
  <si>
    <t>2200000357_9</t>
  </si>
  <si>
    <t>S-VMI-3390i09</t>
  </si>
  <si>
    <r>
      <t>11/02 - Recebido dctos da compradora.
16/02 - Processo enviado ao despachante. Solicitada</t>
    </r>
    <r>
      <rPr>
        <sz val="10"/>
        <color indexed="10"/>
        <rFont val="Arial"/>
        <family val="2"/>
      </rPr>
      <t xml:space="preserve"> emissão de LI. </t>
    </r>
    <r>
      <rPr>
        <sz val="10"/>
        <rFont val="Arial"/>
        <family val="2"/>
      </rPr>
      <t>Aguardando navio de transbordo e ETA SSZ.
17/02 -</t>
    </r>
    <r>
      <rPr>
        <b/>
        <sz val="10"/>
        <rFont val="Arial"/>
        <family val="2"/>
      </rPr>
      <t xml:space="preserve"> ETA SSZ 28/02.
</t>
    </r>
    <r>
      <rPr>
        <sz val="10"/>
        <rFont val="Arial"/>
        <family val="2"/>
      </rPr>
      <t>23/02 -</t>
    </r>
    <r>
      <rPr>
        <b/>
        <sz val="10"/>
        <rFont val="Arial"/>
        <family val="2"/>
      </rPr>
      <t xml:space="preserve"> ETA SSZ 01/03.
</t>
    </r>
    <r>
      <rPr>
        <sz val="10"/>
        <rFont val="Arial"/>
        <family val="2"/>
      </rPr>
      <t>02/03 - Navio atracado.
03/03 - Ag. Entrada do container no terminal. Dctos originais enviados no malote.
08/03 - Di registrada. Canal amarelo.
09/03 - Fiscal Solange.
10/03 - Desembaraçada. Inspeção de madeira em 11/03.</t>
    </r>
  </si>
  <si>
    <r>
      <t xml:space="preserve">14/07 - Recebido invoice e PL do comprador.
15/07 - Recebida cópia de BL. Processo com o despachante. </t>
    </r>
    <r>
      <rPr>
        <b/>
        <sz val="10"/>
        <rFont val="Arial"/>
        <family val="2"/>
      </rPr>
      <t>ETA SSZ 06/08.</t>
    </r>
    <r>
      <rPr>
        <sz val="10"/>
        <rFont val="Arial"/>
        <family val="2"/>
      </rPr>
      <t xml:space="preserve">
22/07 - Vários itens não estão puxando fabricante. Pedi ajuda a compradora.
29/07 - Recebido docs originais. Enviados a Santos.
06/08 - Navio atrasou</t>
    </r>
    <r>
      <rPr>
        <b/>
        <sz val="10"/>
        <rFont val="Arial"/>
        <family val="2"/>
      </rPr>
      <t xml:space="preserve"> ETA para 08/08.
</t>
    </r>
    <r>
      <rPr>
        <sz val="10"/>
        <rFont val="Arial"/>
        <family val="2"/>
      </rPr>
      <t>10/08 - Navio atracou em 09/08 a 00h01. Recebi linhas de PO. Fabricantes corretos.
11/08 - Solicitada NVE de 2 itens a Engenharia.
12/08 - Recebida NVE. Enviado ao despachante. Problemas com descrição longa. Questionei Engenharia e Storillo.
13/08 - Problema com descrição solucionado. DI registrada. Em análise fiscal. Ag. canal verde.</t>
    </r>
  </si>
  <si>
    <t>5052i09</t>
  </si>
  <si>
    <t>CNV-980033</t>
  </si>
  <si>
    <t>SZHF49937</t>
  </si>
  <si>
    <t>09/1412519-7</t>
  </si>
  <si>
    <t>09/1412901-0</t>
  </si>
  <si>
    <t>01/09 - Recebido docs. Ag.correção do preço unitário para providenciar o draft. Preço corrigido. Draft enviado.
01/09 - DI registrada. Ag. Parametrização. Canal amarelo. Desembaraçado. Ag. Nfe. Nfe não foi emitida devido a problemas no dpto. fiscal.</t>
  </si>
  <si>
    <t>3803i09</t>
  </si>
  <si>
    <t>SZHF48969</t>
  </si>
  <si>
    <t>3831i09</t>
  </si>
  <si>
    <t>SZHF48970</t>
  </si>
  <si>
    <t>3833i09</t>
  </si>
  <si>
    <t>SZHF48980</t>
  </si>
  <si>
    <t>A-3958i09</t>
  </si>
  <si>
    <r>
      <t xml:space="preserve">21/01 - Recebida informação do embarque. Compradora autorizou.
27/01 - Enviada ref. Processo enviado ao despachante. Ag. Confirmação do booking e ETA SSZ.
10/02 - Recebida cópia do BL e dctos com peso bruto revisado. Despachante em cópia. </t>
    </r>
    <r>
      <rPr>
        <b/>
        <sz val="10"/>
        <rFont val="Arial"/>
        <family val="2"/>
      </rPr>
      <t xml:space="preserve">ETA SSZ 28/02.
</t>
    </r>
    <r>
      <rPr>
        <sz val="10"/>
        <rFont val="Arial"/>
        <family val="2"/>
      </rPr>
      <t xml:space="preserve">23/02 - </t>
    </r>
    <r>
      <rPr>
        <b/>
        <sz val="10"/>
        <rFont val="Arial"/>
        <family val="2"/>
      </rPr>
      <t xml:space="preserve">ETA SSZ 01/03.
</t>
    </r>
    <r>
      <rPr>
        <sz val="10"/>
        <rFont val="Arial"/>
        <family val="2"/>
      </rPr>
      <t>02/03 - Navio atracado.
03/03 - Ag. entrada do container no terminal.
08/03 - Ag. Inspeção do M.A. Para desova. Di registrada. Em análise fiscal.
09/03 - Canal verde.</t>
    </r>
  </si>
  <si>
    <r>
      <t>16/09 - Recebido BL.
23/09 - Enviada ref. Ao despachante. Ag. ETA SSZ e cópia da invoice da compradora.
25/09  -</t>
    </r>
    <r>
      <rPr>
        <b/>
        <sz val="10"/>
        <rFont val="Arial"/>
        <family val="2"/>
      </rPr>
      <t xml:space="preserve">ETA SSZ 03/10.
</t>
    </r>
    <r>
      <rPr>
        <sz val="10"/>
        <rFont val="Arial"/>
        <family val="2"/>
      </rPr>
      <t>05/10 - Navio atracou em 04/10. Ag. Entrada do container no terminal.
08/10 - Recebida cópia de invoice. Enviado ao despachante. Ag. PO lines.
09/10 - Recebida PO lines. Preço divergente.
13/10 - Preço correto. Draft enviado. Solicitada NVE a Engenharia. A NCM 3921.13.90 não consta no mercante.
14/10 - Invoice e PL originais enviados no malote. BL original em Santos. Enviada NVE ao despachante. Solicitada inclusão de NCM no BL. Despachante ciente.
20/10 - Autorizada troca de NCM, sem correção de BL. Despachante avisado. Di registrada. Em análise fiscal. Canal verde as 18h00.
21/10 - Caminhão ag. carregamento.</t>
    </r>
  </si>
  <si>
    <r>
      <t>21/08 - Recebido docs da compradora. Autorizado.
25/08 - Enviada ref. Ao despachante. Ag. Dados do vôo.
03/09 - Carga com previsão de chegada para hoje no armazém da Nobel. Ag. Pré alerta.
05/09 - Questionei agente de cargas.
08/09 - O caminhão da coleta teve problemas mecânicos. Carga será entregue no armazém da Nobel hoje. Ag. pré alerta.
10/09 -</t>
    </r>
    <r>
      <rPr>
        <b/>
        <sz val="9"/>
        <rFont val="Arial"/>
        <family val="2"/>
      </rPr>
      <t xml:space="preserve"> </t>
    </r>
    <r>
      <rPr>
        <sz val="9"/>
        <rFont val="Arial"/>
        <family val="2"/>
      </rPr>
      <t>Carga chegou hoje as 18h20.
11/09 - Mantra visado as 04h07. DI registrada.
14/09 - Canal verde.</t>
    </r>
  </si>
  <si>
    <t>6498i09</t>
  </si>
  <si>
    <t>PA803251</t>
  </si>
  <si>
    <t>5UEH430</t>
  </si>
  <si>
    <t>06/08 - Recebido docs. 
07/08 - Recebido docs revisados. Draft enviado. DI registrada. Canal amarelo.
10/08 - Desembaraçada.</t>
  </si>
  <si>
    <t>6339-0442-908.017</t>
  </si>
  <si>
    <t>09WT222</t>
  </si>
  <si>
    <t>1030i10</t>
  </si>
  <si>
    <t>100-010454</t>
  </si>
  <si>
    <t>100-010461</t>
  </si>
  <si>
    <r>
      <t xml:space="preserve">19/08 - Recebida informação do embarque. Comprador autorizou. Avisei Expeditors. Processo com o despachante. Ag. ETA SSZ.
25/08 - </t>
    </r>
    <r>
      <rPr>
        <b/>
        <sz val="10"/>
        <rFont val="Arial"/>
        <family val="2"/>
      </rPr>
      <t xml:space="preserve">ETA Santos: 20/09.
</t>
    </r>
    <r>
      <rPr>
        <sz val="10"/>
        <rFont val="Arial"/>
        <family val="2"/>
      </rPr>
      <t xml:space="preserve">HBL#614608101 
co-loader: Shipco 
vessel: NYK Galaxy v.102W 
Closing 08/21 1700 
ETD HKG: 08/27
15/09 - Novo </t>
    </r>
    <r>
      <rPr>
        <b/>
        <sz val="10"/>
        <rFont val="Arial"/>
        <family val="2"/>
      </rPr>
      <t xml:space="preserve">ETA Santos: 24/09.
</t>
    </r>
    <r>
      <rPr>
        <sz val="10"/>
        <rFont val="Arial"/>
        <family val="2"/>
      </rPr>
      <t>21/09 - Navio atracado.
24/09 - Di registrada. Canal verde.
25/09 - Cobrei dctos originais do comprador. Recebido BL original. Enviado a Santos via malote.
29/09 - Caminhão tem previsão de chegar a Foxconn as 13h00.</t>
    </r>
  </si>
  <si>
    <t>11/09 - Recebido docs. 
12/09 - Enviado draft.
14/09 - Di registrada. Canal amarelo.
15/09 - Desembaraçado.</t>
  </si>
  <si>
    <t>NE-3940i09</t>
  </si>
  <si>
    <t>24/11 - Recebida informação do embarque. Compradora autorizou.
25/11 - Enviada ref. Processo com o despachante.
30/11 - Carga em MIA ag. liberação da alfândega americana. Sendo liberada a tempo será embarcada no voo de amanhã, ETA VCP 01/12 à noite. Ag. pré alerta.
01/12 - ETA VCP 03/12 08h00. MAWB 404-2237 0843. 
03/12 - Carga chegou as 08h40.
04/12 - Di registrada. Canal verde.</t>
  </si>
  <si>
    <r>
      <t xml:space="preserve">21/01 - Recebida cópia do BL do agente de cargas.
27/01 - Solicitada invoice a compradora.
10/02 - Solicitada invoice a compradora.
12/02 - Recebido dctos originais.
16/02 - Processo enviado ao despachante. </t>
    </r>
    <r>
      <rPr>
        <b/>
        <sz val="10"/>
        <rFont val="Arial"/>
        <family val="2"/>
      </rPr>
      <t xml:space="preserve">ETA SSZ 25/02.
</t>
    </r>
    <r>
      <rPr>
        <sz val="10"/>
        <rFont val="Arial"/>
        <family val="2"/>
      </rPr>
      <t>17/02 - Dctos originais enviados no malote.
25/02 -</t>
    </r>
    <r>
      <rPr>
        <b/>
        <sz val="10"/>
        <rFont val="Arial"/>
        <family val="2"/>
      </rPr>
      <t xml:space="preserve"> Navio esperado para 26/02 a 01h00.
</t>
    </r>
    <r>
      <rPr>
        <sz val="10"/>
        <rFont val="Arial"/>
        <family val="2"/>
      </rPr>
      <t xml:space="preserve">26/02 - Navio atracado.
03/03 - Ag. inspeção do M.A. para posterior desova.
08/03 - DI registrada. Em análise fiscal.
09/03 - Canal verde. </t>
    </r>
    <r>
      <rPr>
        <b/>
        <sz val="10"/>
        <rFont val="Arial"/>
        <family val="2"/>
      </rPr>
      <t>Compradora informou que carga pode ser entregue em 15/03.</t>
    </r>
  </si>
  <si>
    <r>
      <t>11/02 - Recebida invoice da compradora.
16/02 - Processo enviado ao despachante. Solicitada</t>
    </r>
    <r>
      <rPr>
        <sz val="10"/>
        <color indexed="10"/>
        <rFont val="Arial"/>
        <family val="2"/>
      </rPr>
      <t xml:space="preserve"> emissão de LI. </t>
    </r>
    <r>
      <rPr>
        <sz val="10"/>
        <rFont val="Arial"/>
        <family val="2"/>
      </rPr>
      <t>Solicitada cópia de BL a compradora.
26/02 - LI deferida. Compradora avisada. Solicitada cópia do BL.
28/02 - Recebida cópia de BL do vendor. 
01/03 - A NCM 7320.90.00 está faltando no BL. Solicitada inclusão ao vendor e a DAMCO. Cópia de BL enviada ao despachante.</t>
    </r>
    <r>
      <rPr>
        <b/>
        <sz val="10"/>
        <rFont val="Arial"/>
        <family val="2"/>
      </rPr>
      <t xml:space="preserve"> ETA SSZ 01/04.
</t>
    </r>
    <r>
      <rPr>
        <sz val="10"/>
        <rFont val="Arial"/>
        <family val="2"/>
      </rPr>
      <t>03/03 - Recebido BL correto. Despachante em cópia.
17/03 - Cobrei dctos originais da compradora.
18/03 - Invoice e PL originais enviados no malote.
01/04 - BL original enviado no malote. Navio atracado.
05/04 - Ag. entrada do container no terminal.
07/04 - Aguardando a entrada do container no terminal.
08/04 - Aguardando a entrada do container no terminal.
09/04 - Di registrada. Canal amarelo.
12/04 - Fiscal Maria Antonieta.
13/04 - Desembaraçada.</t>
    </r>
  </si>
  <si>
    <t>4600018911
4600018912
4600018913
4600018914</t>
  </si>
  <si>
    <t>5001305832
5001306966
5001306967
5001306968</t>
  </si>
  <si>
    <t>SZHF48333</t>
  </si>
  <si>
    <t>Canal</t>
  </si>
  <si>
    <t>NE-1573i09</t>
  </si>
  <si>
    <t>E-24P08</t>
  </si>
  <si>
    <t>06/05 - Compradora solicitou registro de DI. DI registrada. Ag. Parametrização.
07/05 - Canal verde. Entregue.</t>
  </si>
  <si>
    <t>S-1622i09</t>
  </si>
  <si>
    <t>E-36P09</t>
  </si>
  <si>
    <t>4600017036
4600017038
4600016399</t>
  </si>
  <si>
    <t>BPC
CPC</t>
  </si>
  <si>
    <t>5001246416
5001246417
5001246137
5001246038</t>
  </si>
  <si>
    <t>Rio de La Plata</t>
  </si>
  <si>
    <t>STS91109027</t>
  </si>
  <si>
    <t>6701i09</t>
  </si>
  <si>
    <t>5001468187
5001468188</t>
  </si>
  <si>
    <t>SZHF51623</t>
  </si>
  <si>
    <r>
      <t xml:space="preserve">19/10 - Recebido dctos.
22/10 - Processo enviado ao despachante. Navio atracado.
</t>
    </r>
    <r>
      <rPr>
        <b/>
        <sz val="10"/>
        <rFont val="Arial"/>
        <family val="2"/>
      </rPr>
      <t xml:space="preserve">27/10 - Compradora informou que DI deverá ser registrada em Santos. Despachante avisado. Entregar na fábrica em 04/11. </t>
    </r>
    <r>
      <rPr>
        <sz val="10"/>
        <rFont val="Arial"/>
        <family val="2"/>
      </rPr>
      <t>DI registrada. Ag. parametrização</t>
    </r>
    <r>
      <rPr>
        <b/>
        <sz val="10"/>
        <rFont val="Arial"/>
        <family val="2"/>
      </rPr>
      <t xml:space="preserve">.
</t>
    </r>
    <r>
      <rPr>
        <sz val="10"/>
        <rFont val="Arial"/>
        <family val="2"/>
      </rPr>
      <t>28/10 - Canal verde. Madeira agendada para hoje a tarde.
04/11 - Documentação já se encontra no registro, veículo aguardando chamada para carregamento. Caminhão carregado, seguindo viagem 14h10.</t>
    </r>
  </si>
  <si>
    <t>5290i09</t>
  </si>
  <si>
    <t>4600020046
4600020051
4600020978</t>
  </si>
  <si>
    <t>4600022757
4600022928</t>
  </si>
  <si>
    <t>5001490745
5001490747</t>
  </si>
  <si>
    <t>SZHF51883</t>
  </si>
  <si>
    <t>SZHF47031</t>
  </si>
  <si>
    <t>NE-1543i09</t>
  </si>
  <si>
    <t>17/12 - Recebida invoice da compradora.
18/12 - Recebida cópia de BL do despachante.
22/12 - Enviada ref. Processo com o despachante. Ag. Compradora informar se as NCMs estão corretas no BL. ETA SSZ 10/01/2010.
04/01 - Recebida PO lines da compradora.
05/01 - Despachante solicitou NVE.
06/01 - Solicitada NVE a Engenharia. Enviada NVE ao despachante.
08/01 - Dctos originais enviados no malote.
11/01 - Navio esperado para hoje as 13h00. Navio esperado para hoje as 15h00, a confirmar. Navio esperado para hoje as 20h30, a confirmar. Navio atracado as 21h30.
12/01 - Ag. entrada do container no terminal. Término da operação. Ag. Tecondi liberar o container para trânsito para a Deicmar.
13/01 - Ag. entrada do container na Deicmar. Container a caminho da Deicmar (11h20). Presença de carga OK. DI registrada. Em análise fiscal.
14/01 - Canal verde.</t>
  </si>
  <si>
    <t>232i10</t>
  </si>
  <si>
    <t>4600022582
4600022584</t>
  </si>
  <si>
    <t>CKD20100108</t>
  </si>
  <si>
    <r>
      <t xml:space="preserve">26/01 - Recebido dctos do agente. MAWB 045-75162076. </t>
    </r>
    <r>
      <rPr>
        <b/>
        <sz val="10"/>
        <rFont val="Arial"/>
        <family val="2"/>
      </rPr>
      <t>ETA VCP 28/01.</t>
    </r>
    <r>
      <rPr>
        <sz val="10"/>
        <rFont val="Arial"/>
        <family val="2"/>
      </rPr>
      <t xml:space="preserve">
27/01 - Processo enviado ao despachante.
29/01 - Carga chegou em 28/01 as 22h15. DI registrada. Ag. Parametrização. Canal verde.</t>
    </r>
  </si>
  <si>
    <t>752i10</t>
  </si>
  <si>
    <t>Liteon0119</t>
  </si>
  <si>
    <t>CSAV Laraquete</t>
  </si>
  <si>
    <t>757i10</t>
  </si>
  <si>
    <t>Z040191792</t>
  </si>
  <si>
    <t>768i10</t>
  </si>
  <si>
    <t>4600023234
4600023497
4600024221</t>
  </si>
  <si>
    <t>40770379
40770856
40770811</t>
  </si>
  <si>
    <t>100-010439</t>
  </si>
  <si>
    <t>09FXBR99</t>
  </si>
  <si>
    <t>6525i09</t>
  </si>
  <si>
    <t>DMCQHKG2162788</t>
  </si>
  <si>
    <t>6535i09</t>
  </si>
  <si>
    <t>Inventec</t>
  </si>
  <si>
    <t>4600020330
4600021254</t>
  </si>
  <si>
    <t>40760191
40760193</t>
  </si>
  <si>
    <t>100-010318</t>
  </si>
  <si>
    <t>5979i09</t>
  </si>
  <si>
    <t>100-010321</t>
  </si>
  <si>
    <t>H822629671
H822633339
H822633340
H822633341
H822633342
H822633343
H822633344
H822633346</t>
  </si>
  <si>
    <t>MAX0912234</t>
  </si>
  <si>
    <t>Monte Alegre</t>
  </si>
  <si>
    <t>SZHF51876</t>
  </si>
  <si>
    <t>NE-6826i09</t>
  </si>
  <si>
    <t>6827i09</t>
  </si>
  <si>
    <t>CKD20091214</t>
  </si>
  <si>
    <t>6830i09</t>
  </si>
  <si>
    <t>DGG032566</t>
  </si>
  <si>
    <t>31/08 - Processo com o despachante. Invoice e PL originais enviados no malote. ETA SSZ 09/09.
09/09 - Navio atracado. Ag. Entrada do container no terminal.
11/09 - DI registrada. Ag. Parametrização.
14/09 - Canal verde.</t>
  </si>
  <si>
    <t>S-VMI-4163i09</t>
  </si>
  <si>
    <t>AUR/SSZ/001/09_4</t>
  </si>
  <si>
    <t>ABG-4164i09</t>
  </si>
  <si>
    <t>AAH0087436</t>
  </si>
  <si>
    <t>5QR2900</t>
  </si>
  <si>
    <t>NE-3941i09</t>
  </si>
  <si>
    <t>NE-3942i09</t>
  </si>
  <si>
    <t>4600019250
4600019492</t>
  </si>
  <si>
    <t>P760725
P760745</t>
  </si>
  <si>
    <t>KC-9367</t>
  </si>
  <si>
    <t>Maruba Simmons</t>
  </si>
  <si>
    <t>SZ1480999</t>
  </si>
  <si>
    <t>DA Channel</t>
  </si>
  <si>
    <t>Navio previsto p/ 12/06.
02/06 - Recebi docs. Inf. ref. Previsão de chegada em Santos dia 07/06.
10/06 - Original providenciando DTA p/ remoção.
12/06 - LI deferida.
22/06 - Repesagem OK - Leonardo instruiu p/ prosseguir. (Carga dentro dos 10%). 
23/06 - Emitindo DTA. Ag. parametrização.
25/06 - Será removido hoje.
26/06 - Presença de carga OK.  Ag. Autorização para registro de DI. 
09/09 - Solicitado registro de DI para 11/09.
11/09 - DI registrada. Canal amarelo.
15/09 - Desembaraçada.</t>
  </si>
  <si>
    <t>S-VMI-4206i09</t>
  </si>
  <si>
    <t>4600020468
4600020471</t>
  </si>
  <si>
    <t>ID3-970047-1</t>
  </si>
  <si>
    <t>EGLV142950274030</t>
  </si>
  <si>
    <t>07/10 -  Recebido dctos. Draft enviado.
08/10 - Di registrada. Ag. Parametrização.
09/10 - Canal amarelo. Desembaraçada.</t>
  </si>
  <si>
    <t>08/10 -  Recebido dctos. Draft enviado. DI registrada. Canal amarelo.
09/10 - Desembaraçada.</t>
  </si>
  <si>
    <t>08/10 -  Recebido dctos. Draft enviado. DI registrada. Ag. parametrização.
09/10 - Canal amarelo. Desembaraçada.</t>
  </si>
  <si>
    <t>Ag. Presença de carga.
06/05 - Di registrada. 
07/05 - Canal verde. Enviamos NF p/ Santos.
09/05 - Entregue.</t>
  </si>
  <si>
    <t>317i10</t>
  </si>
  <si>
    <t>Fusion</t>
  </si>
  <si>
    <t>436011254336</t>
  </si>
  <si>
    <t>20/10 - Recebida invoices.
22/10 - Processo enviado ao despachante. Draft enviado.
23/10 - DI registrada. Canal verde. Enviado ICMS para pagamento.
26/10 - Solicitada emissão de NF.  Enviado comprovante de pgto de ICMS ao despachante.</t>
  </si>
  <si>
    <t>CSAV Rauten</t>
  </si>
  <si>
    <t>06/08 - Recebido docs. Enviado draft. DI registrada. Canal verde.</t>
  </si>
  <si>
    <t>A-VMI-4759i09</t>
  </si>
  <si>
    <t>AAH0088609</t>
  </si>
  <si>
    <t>A-VMI-4770i09</t>
  </si>
  <si>
    <t>AAH0088608</t>
  </si>
  <si>
    <t>6660i09</t>
  </si>
  <si>
    <t>ISZX091214-1</t>
  </si>
  <si>
    <t>869135076566</t>
  </si>
  <si>
    <t>6662i09</t>
  </si>
  <si>
    <t>H822639258
H822639259
H822639260
H822639261
H822639262
H822639263
H822639264</t>
  </si>
  <si>
    <t>MAX-0912258</t>
  </si>
  <si>
    <t>16/11 - Recebida informação do embarque. ETA VCP 18/11
18/11 - DI registrada. Canal verde.</t>
  </si>
  <si>
    <t>4978i09</t>
  </si>
  <si>
    <t>5167i09</t>
  </si>
  <si>
    <t>5694i09</t>
  </si>
  <si>
    <t>Y. C Cable</t>
  </si>
  <si>
    <t>S-1538i09</t>
  </si>
  <si>
    <t>S-1537i09</t>
  </si>
  <si>
    <t>Behavior</t>
  </si>
  <si>
    <t>4076i09</t>
  </si>
  <si>
    <t>SZHF49175</t>
  </si>
  <si>
    <t>E-52P09</t>
  </si>
  <si>
    <t>SZHF49082</t>
  </si>
  <si>
    <t>5001405426
5001405427
5001405429
5001405430</t>
  </si>
  <si>
    <t>SZHF49840</t>
  </si>
  <si>
    <t>20/01 - Recebida informação do embarque. Compradora autorizou.
22/01 - Enviada ref. Processo com o despachante.
25/01 - MAWB: 020-22230434. carga chegou as 11h10. Di registrada. Canal verde.</t>
  </si>
  <si>
    <t>569i10</t>
  </si>
  <si>
    <t>CKD20091222</t>
  </si>
  <si>
    <t>DMCQYAT2969207</t>
  </si>
  <si>
    <t>10/08 - Recebida informação do embarque. Compradora autorizou.
11/08 - Enviada ref. Processo com o despachante.
17/08 - Carga estava prevista para chegar a MIA em 15/08. Ag. Confirmação. MAWB 549-20734652. ETA: 17/08        aprox. 23:50hs.
18/08 - Carga chegou hoje as 02h00. DI registrada.
19/08 - Canal verde.</t>
  </si>
  <si>
    <t>06/08 - Recebido docs. Draft enviado.
07/08 - DI registrada. Canal amarelo.</t>
  </si>
  <si>
    <t>30/07 - Autorizado. Inf. Ref.Recebi fatura e PL.
03/08 - Recebi AWB.
06/08 - Incoterm errado na invoice. Previsto p/ chegar amanhã em VCP aprox 17:00hs.
10/08 - Carga chegou em 07/08 as 10h10. DI registrada. 
11/08 - Canal verde.</t>
  </si>
  <si>
    <t>03/12 - Recebida informação do embarque. Compradora autorizou. Enviada ref. Processo com o despachante. 
07/12 - MAWB 020-21761703. ETA VCP 08/12 as 07h00.
08/12 - Carga chegou em 08/12 as 02h50.Di registrada. Canal verde.</t>
  </si>
  <si>
    <t>6404i09</t>
  </si>
  <si>
    <t>17/09 - Recebido docs. 
18/09 - Divergência de preço entre PO e Invoice. Ag. Retorno compras. Draft enviado.  Di registrada. Canal amarelo.
22/09 - Desembaraçada.</t>
  </si>
  <si>
    <t>20/01 - Recebda cópia de BL da compradora.
25/01 - Recebido dctos originais. Navio atracou as 05h30.
26/01 - Processo enviado ao despachante.
27/01 - Ag. Desconsolidação.
28/01 - Ag. Inspeção do M.A. Para desova.
29/01 - Ag. Inspeção do M.A. Para desova.
01/02 - Presença de carga OK. DI registrada. Canal verde.</t>
  </si>
  <si>
    <t>4600020047
4600021252
4600021873
4600021249
4600021248</t>
  </si>
  <si>
    <t>5001421764
5001421680
5001422151
5001421681
5001425482</t>
  </si>
  <si>
    <t>SZHF51128</t>
  </si>
  <si>
    <t>5848i09</t>
  </si>
  <si>
    <t>2200000357_8</t>
  </si>
  <si>
    <t>SZYATSTS090303</t>
  </si>
  <si>
    <t>S-VMI-3005i09</t>
  </si>
  <si>
    <t>2200001002_1</t>
  </si>
  <si>
    <t>SZYATSTS090501</t>
  </si>
  <si>
    <t>22/07 - Recebido docs. Enviado draft ao Aurora.
23/07 - Di registrada. Canal amarelo.</t>
  </si>
  <si>
    <t>23/07 - Recebido docs. Enviado draft ao Aurora. Di registrada. Canal amarelo.</t>
  </si>
  <si>
    <r>
      <t xml:space="preserve">30/04 - Solicitada coleta a Expeditors. Ag. Status.
08/05 - Andressa solicitou remoção. 
</t>
    </r>
    <r>
      <rPr>
        <b/>
        <sz val="10"/>
        <rFont val="Arial"/>
        <family val="2"/>
      </rPr>
      <t xml:space="preserve">Necessidade FOX 29/06.
</t>
    </r>
    <r>
      <rPr>
        <sz val="10"/>
        <rFont val="Arial"/>
        <family val="2"/>
      </rPr>
      <t>05/06 - Navio previsto p/ chegar hoje em Santos. Andressa solicitou o desembaraço em Santos. 
10/06 - DI registrada. Ag. Parametrização.
12/06 - Canal verde.
15/06 - Inspeção da madeira.
16/06 - Entregue.</t>
    </r>
  </si>
  <si>
    <t>AAH0086867</t>
  </si>
  <si>
    <t>NE-3772i09</t>
  </si>
  <si>
    <t>A-3781i09</t>
  </si>
  <si>
    <t>S0908-13K</t>
  </si>
  <si>
    <t>ATEHK9060224</t>
  </si>
  <si>
    <t>28 dias</t>
  </si>
  <si>
    <r>
      <t>30/09 - Recebido dctos da compradora.
05/10 - Processo com o despachante. Ag. ETA SSZ.
06/10 -</t>
    </r>
    <r>
      <rPr>
        <b/>
        <sz val="10"/>
        <rFont val="Arial"/>
        <family val="2"/>
      </rPr>
      <t xml:space="preserve"> ETA SSZ 29/10 as 21h00.
</t>
    </r>
    <r>
      <rPr>
        <sz val="10"/>
        <rFont val="Arial"/>
        <family val="2"/>
      </rPr>
      <t>28/10 - Dctos originais enviados no malote.
29/10 - Navio atracou as 07h00.
30/10 - Container no terminal.
03/11 - Ag. Inspeção e autorização da RF para desova.
04/11 - Ag. Inspeção e autorização da RF para desova.
05/11 - Carga desovada, sem avarias. DI registrada. Em análise fiscal.
06/11 - Canal verde. 
09/11 - Caminhão no terminal. Ag. carregamento.</t>
    </r>
  </si>
  <si>
    <r>
      <t xml:space="preserve">ETA SSZ 12/11.
</t>
    </r>
    <r>
      <rPr>
        <sz val="10"/>
        <rFont val="Arial"/>
        <family val="2"/>
      </rPr>
      <t>12/11 - Navio atracado as 17h55.
17/11 - Di registrada. Canal vermelho.
18/11 - Distribuído para a fiscal Solange.
23/11 - Distribuído para o fiscal Floris na conferência física. 
24/11 - Conferência física agendada para hoje. Desembaraçada. Inspeção de madeira hoje a tarde.
25/11 - Container carregado com sucesso, veículo seguindo direto ao cliente.</t>
    </r>
  </si>
  <si>
    <t>6339-0438-907-018</t>
  </si>
  <si>
    <t>7 dias</t>
  </si>
  <si>
    <t>10/0634496-0</t>
  </si>
  <si>
    <t>28/08 - Recebido docs. Compradora informou que DI pode ser registrada na terça, 01/09 devido ao fechamento do mês.
01/09 - DI registrada. Ag. Parametrização. Nfe não foi emitida devido a problemas no dpto. fiscal.
02/09 - Canal amarelo.</t>
  </si>
  <si>
    <t>100-010484</t>
  </si>
  <si>
    <t>SMLSAN0912077</t>
  </si>
  <si>
    <r>
      <t xml:space="preserve">21/10 - Recebido dctos do vendor.
23/10 - Processo enviado ao despachante. </t>
    </r>
    <r>
      <rPr>
        <b/>
        <sz val="10"/>
        <rFont val="Arial"/>
        <family val="2"/>
      </rPr>
      <t>ETA SSZ 08/11.</t>
    </r>
    <r>
      <rPr>
        <sz val="10"/>
        <rFont val="Arial"/>
        <family val="2"/>
      </rPr>
      <t xml:space="preserve"> Solicitada </t>
    </r>
    <r>
      <rPr>
        <sz val="10"/>
        <color indexed="10"/>
        <rFont val="Arial"/>
        <family val="2"/>
      </rPr>
      <t xml:space="preserve">emissão de LI.
</t>
    </r>
    <r>
      <rPr>
        <sz val="10"/>
        <rFont val="Arial"/>
        <family val="2"/>
      </rPr>
      <t xml:space="preserve">26/10 - Dctos originais enviados via DHL. Tracking 330 8092 071.
30/10 - LI deferida.
05/11 - Dctos originais enviados no malote.
09/11 - Navio previsto para hoje, sem horário. Navio atracado as 06h30.
10/11 - Container no terminal. Despachante informou que PN da invoice está divergente da PO.
11/11 - Compradora arrumou a PO conforme invoice (alternate).
12/11 - Valores do BL estão divergentes com o mercante. Questionando agente de cargas. Ag. retorno.
16/11 - As taxas foram lançadas erradas no Mercante, pois são prepaid. Correção será de 7 dias úteis. Questionei qual o impacto se o registro acontecer sem correção do mercante. Mercante será corrigido. Compradora ciente.
18/11 - Retificação feita no Sistema. Em aproximadamente 4h úteis estará ok.
19/11 - Processo deferido. DI registrada. Canal amarelo.
24/11 - Ag. troca de BL por parte da DHL. DHL informou que os novos BLs originais serão disponibilizados ainda hoje.
25/11 - Despachante está retirando o BL agora pela manhã. Bl retirado e dada entrada na RF para desembaraço.
26/11 - Distribuído para o fiscal Renato. </t>
    </r>
    <r>
      <rPr>
        <b/>
        <sz val="10"/>
        <rFont val="Arial"/>
        <family val="2"/>
      </rPr>
      <t>Compradora informou que pode ser entregue na week 50.
27/11 - Desembaraçada.  Carga será entregue em 01/11 pois já está em período de demurrage.
01/12 - Documentação no registro, veículo aguardando chamada para carregamento.</t>
    </r>
  </si>
  <si>
    <t>10/12 - Expeditors informou sobre o embarque. MAWB 023-3214 0135. Carga chegou em 09/12 as 17h00. Processo com o despachante. Di registrada. Em análise fiscal.
11/12 - Canal verde.</t>
  </si>
  <si>
    <t>11/09 - Recebido docs.
18/09 - Enviada ref. Ao despachante. ETA SSZ 20/09.
21/09 - Navio atracou em 19/09.
22/09 - DI registrada. Em análise fiscal.
23/09 - Canal verde. Inspeção de madeira agendada para 24/09 a tarde.
25/09 - Caminhão ag. Carregamento na Deicmar. terminal lotado, sem previsão.</t>
  </si>
  <si>
    <t>SBG-4465i09</t>
  </si>
  <si>
    <t>6339-0442-908.026</t>
  </si>
  <si>
    <t>SZHF49592</t>
  </si>
  <si>
    <t xml:space="preserve">10/06 - Recebi invoices no fim da tarde.
12/06 - Inf. Ref. Navio previsto p/ chegar dia 21/06 em Santos.
23/06 - Presença de carga OK. 
24/06 - Priscila solicitou o registro na segunda feira dia 29/06.
26/06 - Priscila solicitou o registro hoje. DI registrada. Ag. parametrização. Enviado NF p/ Santos. Canal verde.
29/06 - Inspeção de madeira.
30/06 - Entregue. </t>
  </si>
  <si>
    <r>
      <t xml:space="preserve">23/09 - Recebido dctos da compradora.
29/09 - Processo enviado ao despachante. Solicitada </t>
    </r>
    <r>
      <rPr>
        <sz val="10"/>
        <color indexed="10"/>
        <rFont val="Arial"/>
        <family val="2"/>
      </rPr>
      <t xml:space="preserve">emissão de LI.
</t>
    </r>
    <r>
      <rPr>
        <sz val="10"/>
        <rFont val="Arial"/>
        <family val="2"/>
      </rPr>
      <t>09/10 - LI deferida. Compradora avisada.
20/10 - Dctos originais enviados a Santos.
22/10 - ETA SSZ 05/11 as 08h00.
05/11 - Navio atracado as 08h00. Container saiu da Libra para a Deicmar - 17h00.
06/11 - Di registrada. Canal amarelo.
09/11 - Distribuído para fiscal Solange – Em análise.
10/11 - Desembaraçada.
12/11 - Veículo já se encontra dentro do Terminal aguardando para carregamento (08h00).
30/11 - Cobrança de demurrage será absorvida pela TSA devido a demora na devoulução do container.</t>
    </r>
  </si>
  <si>
    <t>6171i09</t>
  </si>
  <si>
    <t>4600022454
4600022394</t>
  </si>
  <si>
    <t>CKD20091120
GPRO20091123CKD</t>
  </si>
  <si>
    <r>
      <t xml:space="preserve">23/09 - Compradora informou sobre a nacionalização. </t>
    </r>
    <r>
      <rPr>
        <b/>
        <sz val="10"/>
        <rFont val="Arial"/>
        <family val="2"/>
      </rPr>
      <t>Carga deve ser entregue na fábrica em 01/10.</t>
    </r>
    <r>
      <rPr>
        <sz val="10"/>
        <rFont val="Arial"/>
        <family val="2"/>
      </rPr>
      <t xml:space="preserve">
28/09 - Processo com o despachante. Di registrada. Canal amarelo.
29/09 - DI  distribuída para o fiscal Tozzi. Desembaraçada.
30/09 - Compradora pediu para entregar a carga ainda hoje.</t>
    </r>
  </si>
  <si>
    <t>DMCQYAT2841792</t>
  </si>
  <si>
    <t>04/06 - Recebi docs.
Navio previsto p/ 13/07.
18/06 - Recebi BL. Navio previsto p/ chegar dia 10/07.
14/07 - Navio atracou em 13/07. Ag. Desconsolidação. Despachante informou que não tem BL original. Solicitei ao comprador.
15/07 - Recebido docs originais. enviados no malote. DI registrada. Canal verde.</t>
  </si>
  <si>
    <t>AAH0087692</t>
  </si>
  <si>
    <t>ABG-4279i09</t>
  </si>
  <si>
    <t>AAH0087676</t>
  </si>
  <si>
    <t>5QR3030</t>
  </si>
  <si>
    <t>09/1303395-7</t>
  </si>
  <si>
    <t>SBG-4533i09</t>
  </si>
  <si>
    <t>AAH0088129
AAH0088130
AAH0088131
AAH0088132
AAH0088133</t>
  </si>
  <si>
    <r>
      <t xml:space="preserve">30/09 - Compradora enviou invoice.
05/10 - Enviado OK do BL ao agente. Processo com o despachante. Ag. Invoices corretas. </t>
    </r>
    <r>
      <rPr>
        <b/>
        <sz val="10"/>
        <rFont val="Arial"/>
        <family val="2"/>
      </rPr>
      <t xml:space="preserve">ETA SSZ 13/10.
</t>
    </r>
    <r>
      <rPr>
        <sz val="10"/>
        <rFont val="Arial"/>
        <family val="2"/>
      </rPr>
      <t>08/10 - Dctos originais enviados no malote.
13/10 - Navio esperado para hoje as 19h00.
14/10 - Navio atracou em 13/10 as 19h05.
16/10 - Di registrada. Ag. parametrização. Em análise fiscal.
19/10 - Canal verde. Inspeção de madeira para hoje a tarde.
20/10 - Em função de horário, o carregamento foi agendado para 21/10. Estou tentando antecipar.</t>
    </r>
  </si>
  <si>
    <t>E-7P10</t>
  </si>
  <si>
    <t>5001632288
5001632290</t>
  </si>
  <si>
    <t>19/01 - Recebida informação do embarque.
20/01 - Comprador autorizou.
21/01 - Enviada ref. Processo com o despachante.
25/01 - MAWB 045-59992402. Carga chegou em 24/01 as 17h20. DI registrada. Canal verde.</t>
  </si>
  <si>
    <t>05/01 - Compradora solicitou nacionalização. Processo enviado ao despachante.
06/01 - Di registrada. Canal vermelho. Fiscal Carlos.
07/01 - Conferência física agendada para hoje. Fiscal pediu retificação de DI para inclusão de alguns PNs que foram encontrados em conferência física.
08/01 - Enviado a compradora. Ag. retorno.
11/01 - Compradora enviou a Engenharia.
13/01 - Cobrei compras/Engenharia.
19/01 - Cobrei compradora.
02/02 - Compradora informou que pode incluir o código na DI. DI retificada.
03/02 - Desembaraçada.</t>
  </si>
  <si>
    <r>
      <t xml:space="preserve">27/11 - Recebido dctos.
01/12 - Processo enviado ao despachante. Solicitada </t>
    </r>
    <r>
      <rPr>
        <sz val="10"/>
        <color indexed="10"/>
        <rFont val="Arial"/>
        <family val="2"/>
      </rPr>
      <t>emissão de LI</t>
    </r>
    <r>
      <rPr>
        <sz val="10"/>
        <rFont val="Arial"/>
        <family val="2"/>
      </rPr>
      <t>. ETA SSZ 03/12.
02/12 - Navio atracado no final da tarde.
04/12 - Presença de carga OK.
09/12 - LI deferida.DI registrada. Canal amarelo.
11/12 - Distribuído para o fiscal Paulo R. Guimarães. Desembaraçada. Inspeção de madeira segunda 14/12 a tarde.
15/12 - Documentação no registro veículo aguardando chamada para carregamento.</t>
    </r>
  </si>
  <si>
    <t>11/09 - Recebido docs. Enviado draft. DI registrada. Ag. Parametrização.
14/09 - Canal vermelho. Desembaraçada.</t>
  </si>
  <si>
    <t>Hon Hai</t>
  </si>
  <si>
    <t>2521i09</t>
  </si>
  <si>
    <t>ID3-950056_2</t>
  </si>
  <si>
    <t>EGLV142950269591</t>
  </si>
  <si>
    <t>S-VMI-2988I09</t>
  </si>
  <si>
    <t>Primax</t>
  </si>
  <si>
    <t>SBG-4970i09</t>
  </si>
  <si>
    <t>AAH0088819</t>
  </si>
  <si>
    <t>SBG-4971i09</t>
  </si>
  <si>
    <t>AAH0088820</t>
  </si>
  <si>
    <t>31/03 - Solicitada LI.
06/04 - LI deferida.
08/04 - Navio esperado para 18/04.
18/04 - Navio atracou.
23/04 - DTA canal verde. Ag. Inspeção de madeira.
28/04 - Carga no Libra. Ag. Presença de carga.
04/05 - DA registrada. Ag. Parametrização.
05/05 - Canal amarelo.
05/05 - DA desembaraçada. CD 02535-09.
24/07 - Emitindo nova LI pois a antiga venceu.</t>
  </si>
  <si>
    <t>ID3-990018
ID3-990019</t>
  </si>
  <si>
    <t>DMCQSGH1095629</t>
  </si>
  <si>
    <t>4666i09</t>
  </si>
  <si>
    <t>KC-9450</t>
  </si>
  <si>
    <t>4668i09</t>
  </si>
  <si>
    <t>ZIH2009090103</t>
  </si>
  <si>
    <t>945i10</t>
  </si>
  <si>
    <t>4600023497
4600023500</t>
  </si>
  <si>
    <t>5UDF455</t>
  </si>
  <si>
    <t>A-3818i09</t>
  </si>
  <si>
    <r>
      <t xml:space="preserve">10/02 - Recebida cópia do BL do agente de cargas.
16/02 - Recebida invoice original. Processo enviado ao despachante. </t>
    </r>
    <r>
      <rPr>
        <b/>
        <sz val="10"/>
        <rFont val="Arial"/>
        <family val="2"/>
      </rPr>
      <t xml:space="preserve">ETA SSZ 04/03.
</t>
    </r>
    <r>
      <rPr>
        <sz val="10"/>
        <rFont val="Arial"/>
        <family val="2"/>
      </rPr>
      <t xml:space="preserve">17/02 - Invoice original enviada no malote.
04/03 - Navio atracou hoje às 07:50h e está operando.
09/03 - BL original enviado no malote. DI registrada. Canal verde. </t>
    </r>
    <r>
      <rPr>
        <b/>
        <sz val="10"/>
        <rFont val="Arial"/>
        <family val="2"/>
      </rPr>
      <t>Compradora informou que carga pode ser entregue em 17/03.</t>
    </r>
  </si>
  <si>
    <t>10/1225428-5</t>
  </si>
  <si>
    <t>10/1227774-9</t>
  </si>
  <si>
    <r>
      <t xml:space="preserve">Carga com seguro.
</t>
    </r>
    <r>
      <rPr>
        <sz val="10"/>
        <rFont val="Arial"/>
        <family val="2"/>
      </rPr>
      <t xml:space="preserve">11/02 - Recebida informação do embarque. Compradora autorizou. Recebida invoices com condição de pgto correta (75 dias).
12/02 - Recebido booking. </t>
    </r>
    <r>
      <rPr>
        <b/>
        <sz val="10"/>
        <rFont val="Arial"/>
        <family val="2"/>
      </rPr>
      <t>ETA SSZ 18/03.</t>
    </r>
    <r>
      <rPr>
        <sz val="10"/>
        <rFont val="Arial"/>
        <family val="2"/>
      </rPr>
      <t xml:space="preserve">
19/02 - Processo enviado ao despachante. Enviadas invoices corretas ao despachante.
22/02 - Compradora informou que pode ser emitido apenas 1 BL para todas as invoices (S-1234i10). Ag. retorno da Maxfreight. Provavelmente esse processo deixará de existir.
23/02 - As invoices dessa BL pertencem agora ao S-1233i10.</t>
    </r>
  </si>
  <si>
    <t>2110059108
2110059107
2110058880
2110058881
2110058884
2110059503
2110059507</t>
  </si>
  <si>
    <t>DGG035409</t>
  </si>
  <si>
    <t>DGG035406</t>
  </si>
  <si>
    <t>26/08 - Recebido docs. PO diferente da invoice. Questionei compras. Invoice está errada. Ag. Correta. Recebida invoice correta. Draft enviado.
27/08 - DI registrada. Ag. Parametrização. Canal amarelo.
28/08 - NF enviada via motoboy. Desembaraçado.</t>
  </si>
  <si>
    <t>AAH0089713</t>
  </si>
  <si>
    <t>6339-0442-908.023</t>
  </si>
  <si>
    <t>5616i09</t>
  </si>
  <si>
    <t>A-3627i09</t>
  </si>
  <si>
    <t>Logitech</t>
  </si>
  <si>
    <t>3549i09</t>
  </si>
  <si>
    <t>SZHF48770</t>
  </si>
  <si>
    <t>S-VMI-3632i09</t>
  </si>
  <si>
    <t>AAH0086624</t>
  </si>
  <si>
    <t>S-VMI-3633i09</t>
  </si>
  <si>
    <t>AUR/SSZ/001/09_3</t>
  </si>
  <si>
    <r>
      <t xml:space="preserve">22/09 - Recebida informação do embarque.
24/09 - Comprador autorizou.
29/09 - Enviada ref. Processo com o despachante. </t>
    </r>
    <r>
      <rPr>
        <b/>
        <sz val="10"/>
        <rFont val="Arial"/>
        <family val="2"/>
      </rPr>
      <t xml:space="preserve">ETA SSZ 25/10.
</t>
    </r>
    <r>
      <rPr>
        <sz val="10"/>
        <rFont val="Arial"/>
        <family val="2"/>
      </rPr>
      <t>06/10 - Recebida cópia de BL. Enviado ao despachante.
19/10 - Dctos originais enviados no malote.
26/10 - Navio esperado para hoje.
27/10 - Navio atracou ontem. Carga no terminal ag. desconsolidação.
28/10 - Ag. inspeção do M.A para desova.
30/10 - Presença de carga OK. DI registrada. Canal verde.
03/11 - Caminhão no terminal ag. carregamento. Caminhão seguindo para a FBR. 13h40.</t>
    </r>
  </si>
  <si>
    <t>18/09 - Recebido docs. Draft enviado.
21/09 - DI registrada. Canal amarelo.
22/09 - Desembaraçada.</t>
  </si>
  <si>
    <t>S-VMI-4385i09</t>
  </si>
  <si>
    <t>2200001291_2</t>
  </si>
  <si>
    <t>S-VMI-4386i09</t>
  </si>
  <si>
    <t>S-1533i09</t>
  </si>
  <si>
    <r>
      <t xml:space="preserve">17/12 - Recebido dctos da compradora.
21/12 - Processo enviado ao despachante. Solicitada cópia de BL a compradora.
07/01 - Recebido dctos originais. Enviados a Santos. </t>
    </r>
    <r>
      <rPr>
        <b/>
        <sz val="10"/>
        <rFont val="Arial"/>
        <family val="2"/>
      </rPr>
      <t xml:space="preserve">ETA SSZ 18/01.
</t>
    </r>
    <r>
      <rPr>
        <sz val="10"/>
        <rFont val="Arial"/>
        <family val="2"/>
      </rPr>
      <t>18/01 - Navio previsto para hoje as 13h00.
19/01 - Navio atracou ontem as 16h25. Aguardando entrada do container no terminal. 
20/01 - Agdo entrada do container no terminal.
21/01 - Ag. inspeção do M.A para desova.
22/01 - Agdo. desova pelo terminal que deve ocorrer no final de semana.
25/01 - Presença de carga OK. Sistema da Original fora do ar para registro de DI.
26/01 - Di registrada. Em análise fiscal.
27/01 - Canal verde.</t>
    </r>
  </si>
  <si>
    <r>
      <t xml:space="preserve">26/11 - Recebido dctos da compradora.
30/11 - Processo com o despachante. Solicitada </t>
    </r>
    <r>
      <rPr>
        <sz val="10"/>
        <color indexed="10"/>
        <rFont val="Arial"/>
        <family val="2"/>
      </rPr>
      <t xml:space="preserve">emissão de LI.
</t>
    </r>
    <r>
      <rPr>
        <sz val="10"/>
        <rFont val="Arial"/>
        <family val="2"/>
      </rPr>
      <t xml:space="preserve">03/12 - LI deferida. Compradora avisada.
04/12 - Compradora informou que o embarque tem ETD para 15/12. Ag. Cópia de BL.
23/12 - Recebida cópia de BL da compradora.
29/12 - Dctos originais enviados no malote. Cópia de BL enviado ao despachante via e-mail. </t>
    </r>
    <r>
      <rPr>
        <b/>
        <sz val="10"/>
        <rFont val="Arial"/>
        <family val="2"/>
      </rPr>
      <t xml:space="preserve">ETA SSZ 03/01/2010.
</t>
    </r>
    <r>
      <rPr>
        <sz val="10"/>
        <rFont val="Arial"/>
        <family val="2"/>
      </rPr>
      <t>04/01 - Navio previsto para hoje, sem horário de atracação. Navio atracado.
11/01 - Aguardando o fiscal do M.A autorizar a desova.
12/01 - Aguardando o fiscal do M.A autorizar a desova. Autorizado. Ag. desova.
13/01 - Presença de carga OK. DI registrada. Ag. parametrização. Canal amarelo.
14/01 - Fiscal Adil.
15/01 - Desembaraçada.
19/01 - Documentação já se encontra no registro, veículo aguardando chamada para carregamento.</t>
    </r>
  </si>
  <si>
    <r>
      <t>Remoção</t>
    </r>
    <r>
      <rPr>
        <sz val="10"/>
        <rFont val="Arial"/>
        <family val="2"/>
      </rPr>
      <t xml:space="preserve">
11/12 - Recebido dctos da compradora.
14/12 - Processo enviado ao despachante. Solicitada </t>
    </r>
    <r>
      <rPr>
        <sz val="10"/>
        <color indexed="10"/>
        <rFont val="Arial"/>
        <family val="2"/>
      </rPr>
      <t>emissão de LI.</t>
    </r>
    <r>
      <rPr>
        <sz val="10"/>
        <rFont val="Arial"/>
        <family val="2"/>
      </rPr>
      <t xml:space="preserve"> </t>
    </r>
    <r>
      <rPr>
        <b/>
        <sz val="10"/>
        <rFont val="Arial"/>
        <family val="2"/>
      </rPr>
      <t xml:space="preserve">ETA SSZ 24/12.
</t>
    </r>
    <r>
      <rPr>
        <sz val="10"/>
        <rFont val="Arial"/>
        <family val="2"/>
      </rPr>
      <t>18/12 - LI deferida.
24/12 - Navio atracado.
04/01 - Carga sendo removida para o LibraPort.
05/01 - DTA com presença de carga ok.
07/01 - DI registrada. Canal amarelo.
08/01 - Fiscal Madruga. Desembaraçada.</t>
    </r>
  </si>
  <si>
    <t>SBG-4365I09</t>
  </si>
  <si>
    <t>AAH0087857
AAH0087859
AAH0087861
AAH0087862
AAH0087864
AAH0087866</t>
  </si>
  <si>
    <t>6339-0438-907.018</t>
  </si>
  <si>
    <t>09/1463194-7</t>
  </si>
  <si>
    <r>
      <t xml:space="preserve">11/09 - Recebido docs.
18/09 - Enviada ref. Ao despachante. </t>
    </r>
    <r>
      <rPr>
        <b/>
        <sz val="10"/>
        <rFont val="Arial"/>
        <family val="2"/>
      </rPr>
      <t xml:space="preserve">ETA SSZ 20/09.
</t>
    </r>
    <r>
      <rPr>
        <sz val="10"/>
        <rFont val="Arial"/>
        <family val="2"/>
      </rPr>
      <t>21/09 - Navio atracou em 19/09.
25/09 - DA registrada. Em análise fiscal.
28/09 - Canal verde. CD 05483-09</t>
    </r>
  </si>
  <si>
    <t>5165i09</t>
  </si>
  <si>
    <t>P768219</t>
  </si>
  <si>
    <t>ULSSHZ13458</t>
  </si>
  <si>
    <t>Vessel</t>
  </si>
  <si>
    <t>Kota Layang</t>
  </si>
  <si>
    <t>NYK Busan</t>
  </si>
  <si>
    <t>Amsterdam Bridge</t>
  </si>
  <si>
    <t>30/12 - Recebida PO da compradora solicitando coleta. Enviado ao Expeditors.
04/01 - Recebido dctos. Embarque autorizado. Processo enviado ao despachante.
06/01 - Embarque previsto chegar em MIA dia 08/01. 
11/01 - MAWB 369-36797740. ETA: 12/01 aprox. 17:00hs.
13/01 - Carga chegou em 12/01 as 10h35. DI registrada. Canal verde.</t>
  </si>
  <si>
    <r>
      <t xml:space="preserve">22/01 - Recebida invoice da compradora.
28/01 - Solicitado valor do frete e cópia do BL para </t>
    </r>
    <r>
      <rPr>
        <sz val="10"/>
        <color indexed="10"/>
        <rFont val="Arial"/>
        <family val="2"/>
      </rPr>
      <t xml:space="preserve">emissão de LI. </t>
    </r>
    <r>
      <rPr>
        <sz val="10"/>
        <rFont val="Arial"/>
        <family val="2"/>
      </rPr>
      <t xml:space="preserve">Processo enviado ao despachante.
08/02 - Cobrei compradora a respeito do frete.
11/02 - LI deferida.
22/02 - Navio atracado.
23/02 - Recebida cópia de BL do despachante. Solicitado dctos originais a compradora.
24/02 - Despachante informou que DHL colocou a data de chegada errada no mercante, impossibilitando o registro da DI. Ag. posição da DHL.
25/02 - DHL informou que o erro foi da RF e que o armador informou que não há prazo para regularização. Cobrei urgência. DHL informou que dependa da fiscalização e que está em contato direto com eles.
01/03 - Solicitado dctos originais a compradora. Mercante OK. DI registrada. Canal amarelo.
03/03 - Dctos originais enviados no malote.
</t>
    </r>
    <r>
      <rPr>
        <b/>
        <sz val="10"/>
        <rFont val="Arial"/>
        <family val="2"/>
      </rPr>
      <t xml:space="preserve">04/03 - Compradora informou que carga deve ser entregue assim que desembaraçar.
</t>
    </r>
    <r>
      <rPr>
        <sz val="10"/>
        <rFont val="Arial"/>
        <family val="2"/>
      </rPr>
      <t>08/03 - Desembaraçada.</t>
    </r>
  </si>
  <si>
    <t>96883RO</t>
  </si>
  <si>
    <t>29/01 - Recebida informação do embarque. 
01/02 - Carga chegou hoje as 05h00. Processo enviado ao despachante. DI registrada. Em análise fiscal.
02/02 - Canal verde.</t>
  </si>
  <si>
    <t>10/08 - Compradora solicitou registro de DI. Draft enviado.
11/08 - DI registrada. Canal amarelo. DI distribuída para o fiscal Tozzi – Em analise.
12/08 - Desembaraçada.</t>
  </si>
  <si>
    <t>5748i09</t>
  </si>
  <si>
    <t>CNV-990022</t>
  </si>
  <si>
    <t>Antigo E-16P08
27/04 - Devido a DA E-16P08 estar errada no sistema, a mesma foi cancelada e todos os itens transferidos para esse processo.</t>
  </si>
  <si>
    <t>E-1P09</t>
  </si>
  <si>
    <t>5 dias</t>
  </si>
  <si>
    <r>
      <t xml:space="preserve">11/12 - Recebido dctos da compradora.
14/12 - Processo enviado ao despachante.Solicitada </t>
    </r>
    <r>
      <rPr>
        <sz val="10"/>
        <color indexed="10"/>
        <rFont val="Arial"/>
        <family val="2"/>
      </rPr>
      <t>emissão de LI.</t>
    </r>
    <r>
      <rPr>
        <sz val="10"/>
        <rFont val="Arial"/>
        <family val="2"/>
      </rPr>
      <t xml:space="preserve"> </t>
    </r>
    <r>
      <rPr>
        <b/>
        <sz val="10"/>
        <rFont val="Arial"/>
        <family val="2"/>
      </rPr>
      <t xml:space="preserve">ETA SSZ 24/12.
</t>
    </r>
    <r>
      <rPr>
        <sz val="10"/>
        <rFont val="Arial"/>
        <family val="2"/>
      </rPr>
      <t>18/12 - LI deferida.
24/12 - Navio atracado.
28/12 - Presença de carga OK. 
29/12 - DI registrada. Canal amarelo.
30/12 - Fiscal Solange.
04/01 - Despacho em exigência. Despachante já está cumprindo. Desembaraçado.
05/01 - Compradora informou que entrega deve ser agendada para 08/01.</t>
    </r>
  </si>
  <si>
    <t>AAH0087776</t>
  </si>
  <si>
    <r>
      <t xml:space="preserve">31/07 - Recebido docs originais. Processo com o despachante. </t>
    </r>
    <r>
      <rPr>
        <b/>
        <sz val="10"/>
        <rFont val="Arial"/>
        <family val="2"/>
      </rPr>
      <t xml:space="preserve">ETA SSZ 07/08.
</t>
    </r>
    <r>
      <rPr>
        <sz val="10"/>
        <rFont val="Arial"/>
        <family val="2"/>
      </rPr>
      <t>07/08 - Navio atrasou</t>
    </r>
    <r>
      <rPr>
        <b/>
        <sz val="10"/>
        <rFont val="Arial"/>
        <family val="2"/>
      </rPr>
      <t xml:space="preserve"> ETA para 08/08.
</t>
    </r>
    <r>
      <rPr>
        <sz val="10"/>
        <rFont val="Arial"/>
        <family val="2"/>
      </rPr>
      <t>10/08 - Navio atracou em 09/08 a 00h00.
12/08 - Carga sendo removida hoje.
14/08 - Presença de carga OK.  Ag. Autorização para registro de DI.
28/09 - Di registrada. Ag. parametrização. Canal verde.</t>
    </r>
  </si>
  <si>
    <t>E-32P08</t>
  </si>
  <si>
    <t>NE-4434I08</t>
  </si>
  <si>
    <t>E-33P08</t>
  </si>
  <si>
    <t>NE-4435I08</t>
  </si>
  <si>
    <t>6912i09</t>
  </si>
  <si>
    <t>EBP-9C0658</t>
  </si>
  <si>
    <r>
      <t xml:space="preserve">16/11 - Recebido dctos.
17/11 - Processo enviado ao despachante. </t>
    </r>
    <r>
      <rPr>
        <b/>
        <sz val="10"/>
        <rFont val="Arial"/>
        <family val="2"/>
      </rPr>
      <t xml:space="preserve">ETA SSZ 19/11.
</t>
    </r>
    <r>
      <rPr>
        <sz val="10"/>
        <rFont val="Arial"/>
        <family val="2"/>
      </rPr>
      <t>19/11 - Navio atracou as 07h00.
23/11 - Presença de carga OK no final do dia.
24/11 - DI registrada. Canal verde. Inspeção de madeira amanhã a tarde.</t>
    </r>
    <r>
      <rPr>
        <b/>
        <sz val="10"/>
        <rFont val="Arial"/>
        <family val="2"/>
      </rPr>
      <t xml:space="preserve"> Compradora informou que a carga pode ser entregue em 01/12.
26/11 - Compradora informou que precisa puxar a carga antes de 01/12. Despachante/transportadora avisados. Ag. retorno. TSA informou que o carregamento será efetuado amanhã as 07h00.
</t>
    </r>
    <r>
      <rPr>
        <sz val="10"/>
        <rFont val="Arial"/>
        <family val="2"/>
      </rPr>
      <t>27/11 - Documentação já se encontra no registro do Terminal, veículo aguardando chamada para carregamento.</t>
    </r>
  </si>
  <si>
    <t>6339-0442-908.014</t>
  </si>
  <si>
    <r>
      <t>29/09 - Recebido dctos da compradora.
30/09 - Processo enviado ao despachante.</t>
    </r>
    <r>
      <rPr>
        <b/>
        <sz val="10"/>
        <rFont val="Arial"/>
        <family val="2"/>
      </rPr>
      <t xml:space="preserve"> ETA SSZ 14/10.</t>
    </r>
    <r>
      <rPr>
        <sz val="10"/>
        <rFont val="Arial"/>
        <family val="2"/>
      </rPr>
      <t xml:space="preserve"> Solicitada</t>
    </r>
    <r>
      <rPr>
        <sz val="10"/>
        <color indexed="10"/>
        <rFont val="Arial"/>
        <family val="2"/>
      </rPr>
      <t xml:space="preserve"> emissão de LI.
</t>
    </r>
    <r>
      <rPr>
        <sz val="10"/>
        <rFont val="Arial"/>
        <family val="2"/>
      </rPr>
      <t>02/10 - Dctos originais enviados no malote.
09/10 - LI deferida.
14/10 -</t>
    </r>
    <r>
      <rPr>
        <b/>
        <sz val="10"/>
        <rFont val="Arial"/>
        <family val="2"/>
      </rPr>
      <t xml:space="preserve"> Navio esperado para amanhã, 15/10.
</t>
    </r>
    <r>
      <rPr>
        <sz val="10"/>
        <rFont val="Arial"/>
        <family val="2"/>
      </rPr>
      <t>16/10 - Navio na barra. Ag. atracação.
17/10 - Navio atracado.
20/10 - Ag. desconsolidação.
21/10 - Agdo autorização da RF para inspeção e desova.
22/10 - Desovado. DI registrada. Canal amarelo.
27/10 - Distribuído para fiscal Maria Antonieta, em análise.
29/10 - Fiscal fez a seguinte exigência: COMPROVAR O BENEFICIO DA SUSPENSAO DO IPI, ANEXANDO A LEGISLACAO INVOCADA. Despachante já está cumprindo.
30/10 - Desembaraçado.
04/11 - 11h45 caminhão carregado, seguindo para a empresa.</t>
    </r>
  </si>
  <si>
    <t>21/08 - Navio atracado. Ag. Entrada do container no terminal.
24/08 - Presença de carga OK. Solicitada NVE a Engenharia.
26/08 - Recebido NVE. Enviado a Engenharia. DI registrada.
27/08 - Canal verde.</t>
  </si>
  <si>
    <t>E-05P10</t>
  </si>
  <si>
    <t>13/08 - Recebido docs.
14/08 - Draft enviado. DI registrada. Canal amarelo.
17/08 - Desembaraçada.</t>
  </si>
  <si>
    <t>01/09 - Recebido docs. 
02/09 - Autorizado. Processo com o despachante.
08/09 - ETA MIA: 08/09.
11/09 - MAWB: 549-2073 5831. ETA VCP: 11/09 as 18h00. Solicitei a compradora invoice com os fabricantes. Ag. Correta.
14/09 - Carga chegou em 11/09 as 18h40. Mantra visado em 12/09 as 03h08.
15/09 - Recebida invoice com os fabricantes. Enviado ao despachante.
16/09 - DI registrada. Ag. parametrização. Canal verde.</t>
  </si>
  <si>
    <t>738i10</t>
  </si>
  <si>
    <t>B815353</t>
  </si>
  <si>
    <t>4600022296
4600022287
4600022289
4600022285</t>
  </si>
  <si>
    <t>SZHF51608</t>
  </si>
  <si>
    <t>6517i09</t>
  </si>
  <si>
    <t>SZHF51611</t>
  </si>
  <si>
    <t>6518i09</t>
  </si>
  <si>
    <t>SZHF51610</t>
  </si>
  <si>
    <t>6519I09</t>
  </si>
  <si>
    <t>4600022299
4600022290
4600022295
4600022294
4600022292</t>
  </si>
  <si>
    <t>5001466294
5001466295</t>
  </si>
  <si>
    <t>SZHF51609</t>
  </si>
  <si>
    <r>
      <t>29/10 - Navio atracado. 
04/11 - Despachante informou sobre divergência de NCMs.
05/11 - NCMs do PO estão erradas. Enviado ao despachante as corretas. Solicitado a compras correção no PO.
06/11 -</t>
    </r>
    <r>
      <rPr>
        <sz val="10"/>
        <color indexed="10"/>
        <rFont val="Arial"/>
        <family val="2"/>
      </rPr>
      <t xml:space="preserve"> LI emitida. Ag. Deferimento.
</t>
    </r>
    <r>
      <rPr>
        <sz val="10"/>
        <rFont val="Arial"/>
        <family val="2"/>
      </rPr>
      <t>10/11 - Compras precisa na fábrica em 16/11.
13/11 - Di registrada. Canal vermelho.
17/11 - Distribuído para o fiscal Potiguara.
18/11 - Ag. distribuição para conferência física.
23/11 - Distribuído para o fiscal Flavio Costa – Ag. agendamento para conferencia física. Despachante informou que está prevista para hoje. Desembaraçada.
24/11 - Inspeção de madeira agendada para hoje a tarde.
25/11 - Container carregado com sucesso, veículo seguindo direto ao cliente.</t>
    </r>
  </si>
  <si>
    <t>carga solta</t>
  </si>
  <si>
    <t>10 dias</t>
  </si>
  <si>
    <t>6201i09</t>
  </si>
  <si>
    <t>P799606</t>
  </si>
  <si>
    <t>26/06 - Recebi invoices.
29/06 - Inf. Ref.
30/06 - Previsto p/ chegar dia 10/07 em Santos.
10/07 - Navio atracado.
14/07 - Carga sendo removida hoje.
15/07 - Carga no Libra. Ag. Presença.
16/07 - Presença de carga OK.  Ag. Autorização para registro de DI.
03/09 - Compradora solicitou registro de DI.
04/09 - DI registrada. Canal vermelho.
09/09 - Conferência física hoje a tarde. Desembaraçada.</t>
  </si>
  <si>
    <t>A-VMI-4236i09</t>
  </si>
  <si>
    <t>11/12 - Recebido pré alerta. ETA VCP 11/12 17h00. MAWB 023-2551 8253.
14/12 - Carga chegou em 11/12 as 17h13. Processo enviado ao despachante. Di registrada. Canal verde.
05/01 - Haverá denúncia espontânea para inclusão de 2 itens que vieram via courier. O processo complementar do PWCE é A-34i10. Enviado ao despachante. Ag. protocolo. Solicitada cópia do livro 6 ao dpto. fiscal.
07/01 - Enviados DARFs para pgto.
08/01 - Enviados protocolos ao despachante.
12/01 - Recebido protocolo de retificação. Enviado ao WH. Solicitada emissão de NFE.</t>
  </si>
  <si>
    <t>169i10</t>
  </si>
  <si>
    <t>SZHF51881</t>
  </si>
  <si>
    <t>170I10</t>
  </si>
  <si>
    <t>SZHF51882</t>
  </si>
  <si>
    <t>171I10</t>
  </si>
  <si>
    <t>17/07 - Recebidas invoices.
21/07 - Enviados docs originais a SSZ. Enviadas refs. ETA SSZ 24/07.
25/07 - Navio atracado.
29/07 - Despachante informou que a NCM 7318.15.00 não está no BL. Solicitada correção junto ao Libra. Compradora avisada.
30/07 - LI deferida.
03/08 - DA registrada.Ag. parametrização.Canal amarelo.
05/08 - DA Desembaraçada. CD 04297-09.</t>
  </si>
  <si>
    <t>AAH0085840</t>
  </si>
  <si>
    <t>A-VMI-3142i09</t>
  </si>
  <si>
    <t>A-VMI-3143i09</t>
  </si>
  <si>
    <t>AAH0085841</t>
  </si>
  <si>
    <t>3144i09</t>
  </si>
  <si>
    <t>EBP-970858</t>
  </si>
  <si>
    <t>364i10</t>
  </si>
  <si>
    <t>100-010412</t>
  </si>
  <si>
    <t>365i10</t>
  </si>
  <si>
    <t>100-010414</t>
  </si>
  <si>
    <r>
      <t xml:space="preserve">26/11 - Recebida informação do embarque. Compradora autorizou.
30/11 - Enviada ref. Solicitada </t>
    </r>
    <r>
      <rPr>
        <sz val="10"/>
        <color indexed="10"/>
        <rFont val="Arial"/>
        <family val="2"/>
      </rPr>
      <t xml:space="preserve">emissão de LI.
</t>
    </r>
    <r>
      <rPr>
        <sz val="10"/>
        <rFont val="Arial"/>
        <family val="2"/>
      </rPr>
      <t>01/12 - ETA MIA 02/12. Correndo tudo bem será embarcada para VCP no voo do dia 03/12, ETA VCP 03/12 a noite. Ag. Confirmação.
02/12 - ETA MIA 03/12 ( o voo para MIA atrasou ).Correndo tudo bem será embarcada para VCP no voo do dia 05/12, ETA VCP 05/12 a noite. Ag. confirmação.
04/12 - MAWB 369-3675 1245. ETA VCP 05/12 15H00.
07/12 - Carga chegou em 05/12 as 16h00. Ag. deferimento da LI. Madeira sujeita a inspeção (5F).
08/12 - LI deferida. DI registrada. Canal amarelo.
09/12 - Fiscal Jorge.
10/12 - Desembaraçada.</t>
    </r>
  </si>
  <si>
    <t>16/12 - Recebida informação do embarque.
21/12 - Processo com o despachante. MAWB 045-75161951. Carga chegou em 20/12 as 07h00. DI registrada. Em análise fiscal.
22/12 - Canal verde.</t>
  </si>
  <si>
    <t>6746i09</t>
  </si>
  <si>
    <t>Starcom Global</t>
  </si>
  <si>
    <r>
      <t xml:space="preserve">21/10 - Recebido dctos do vendor.
23/10 - Processo enviado ao despachante. </t>
    </r>
    <r>
      <rPr>
        <b/>
        <sz val="10"/>
        <rFont val="Arial"/>
        <family val="2"/>
      </rPr>
      <t>ETA SSZ 08/11.</t>
    </r>
    <r>
      <rPr>
        <sz val="10"/>
        <rFont val="Arial"/>
        <family val="2"/>
      </rPr>
      <t xml:space="preserve"> Solicitada </t>
    </r>
    <r>
      <rPr>
        <sz val="10"/>
        <color indexed="10"/>
        <rFont val="Arial"/>
        <family val="2"/>
      </rPr>
      <t xml:space="preserve">emissão de LI.
</t>
    </r>
    <r>
      <rPr>
        <sz val="10"/>
        <rFont val="Arial"/>
        <family val="2"/>
      </rPr>
      <t xml:space="preserve">26/10 - Dctos originais enviados via DHL. Tracking 330 8092 071.
30/10 - LI deferida.
05/11 - Dctos originais enviados no malote.
09/11 - Navio previsto para hoje, sem horário. Navio atracado as 06h30.
10/11 - Container no terminal. Despachante informou que PN da invoice está divergente da PO.
11/11 - Compradora arrumou a PO conforme invoice (alternate).
12/11 - Valores do BL estão divergentes com o mercante. Questionando agente de cargas. Ag. retorno. Agente informou que o Siscarga/ BL estão corretos.
13/11 - Di registrada. Canal amarelo.
17/11 -  Distribuído para a fiscal Nilva.
18/11 - Fiscal fez exigência do benefício de IPI. Despachante já está cumprindo.
24/11 - Fiscal fez exigência do ATO DECLARATORIO EXECUTIVO QUE HABILITOU A EMPRESA  A USUFRUIR DA SUSPENSAO DO IPI DE FABRICACAO DE UNIDADES DE PROCESSAMENTO DE DADOS. Questionei dpto fiscal, e o despachante já está apresentando o que eles tem em mãos.
26/11 - Dpto fiscal enviou uma documentação, mas não é suficiente. Ag. novo retorno. Dpto. fiscal retornou. Despachante informado. </t>
    </r>
    <r>
      <rPr>
        <b/>
        <sz val="10"/>
        <rFont val="Arial"/>
        <family val="2"/>
      </rPr>
      <t>Compradora informou que pode ser entregue na próxima semana.</t>
    </r>
    <r>
      <rPr>
        <sz val="10"/>
        <rFont val="Arial"/>
        <family val="2"/>
      </rPr>
      <t xml:space="preserve"> Fiscal solicitou certidões negativas. ag. retorno do dpto. fiscal. Luciana Barros enviou ao despachante, conforme solicitado.
27/11 - Desembaraçada. Carga será entregue em 01/11 pois já está em período de demurrage.
01/12 - Veículo no Terminal aguardando chamada para carregamento.</t>
    </r>
  </si>
  <si>
    <r>
      <t xml:space="preserve">Ag. autorizacao do M.A para carregamento.
</t>
    </r>
    <r>
      <rPr>
        <b/>
        <sz val="10"/>
        <rFont val="Arial"/>
        <family val="2"/>
      </rPr>
      <t xml:space="preserve">Necessidade FOX 12/05.
</t>
    </r>
    <r>
      <rPr>
        <sz val="10"/>
        <rFont val="Arial"/>
        <family val="2"/>
      </rPr>
      <t>07/05 - Carga está sendo removida hoje.
11/05 - Avarias. Libraport enviou fotos. Instrução p/ autorizar o registro.
12/05 - DI registrada. Ag. Parametrização.
13/05 - Canal verde. Entregue.</t>
    </r>
  </si>
  <si>
    <t>NE-2002i09</t>
  </si>
  <si>
    <t>06/05 - Recebido docs.
07/05 - Draft enviado. DI registrada.
08/05 - Canal amarelo.
11/05 - Ag. Conferência.. 
12/05 - Entregue.</t>
  </si>
  <si>
    <t>EBP-980663</t>
  </si>
  <si>
    <t>WSZSTS09080860</t>
  </si>
  <si>
    <t>4211i09</t>
  </si>
  <si>
    <t>EBP-980452</t>
  </si>
  <si>
    <t>WSZSTS09080612</t>
  </si>
  <si>
    <t>HP Samsung</t>
  </si>
  <si>
    <t>17/10 - Navio atracado.
22/10 - Remoção prevista para hoje.
23/10 - Presença de carga OK. DA registrada. Canal amarelo.
26/10 - LI deferida.
28/10 - Fiscal Madruga.
29/10 - Desembaraçada. CD 06016-09.</t>
  </si>
  <si>
    <t>Navio previsto p/ 12/06.
02/06 - Recebi docs. Inf. Ref. Previsão de chegada em Santos dia 07/06.
05/06 - Ag. PO da invoice da Camila. 
08/06 - Recebi linhas do embarque. 
09/06 - DI registrada. Ag. Parametrização.
10/06 - Canal verde.
15/06 - Inspeção da madeira.
16/06 - Entregue.</t>
  </si>
  <si>
    <t>DMCQHKG2119931</t>
  </si>
  <si>
    <t>S-2209i09</t>
  </si>
  <si>
    <t>NE-2284i09</t>
  </si>
  <si>
    <t>KCE - Chicony</t>
  </si>
  <si>
    <t>22/01 - Recebida informação do embarque. Compradora autorizou.
25/01 - Recebida cópia de HAWB. Carga prevista para chegar hoje em MIA.
27/01 - Enviada ref. Processo com o despachante.
28/01 - Carga em MIA, aguardando validação da aduana. Dctos originais serão enviados a Foxconn. Dctos originais recebidos.
29/01 - MAWB 549 2082 1850. ETA VCP 29/01.
01/02 - Carga chegou em 29/01 as 19h55.  DI registrada. Canal verde.</t>
  </si>
  <si>
    <t>21/01 - Recebida informação do embarque. 
27/01 - Compradora autorizou.Enviada ref. Processo com o despachante.
29/01 - MAWB 549-20806542. ETA: 29/01 aprox. 20:00hs.
01/02 - Carga chegou em 29/01 as 19h55. DI registrada. Canal verde.</t>
  </si>
  <si>
    <r>
      <t xml:space="preserve">29/01 - Recebida informação do embarque. Compradora informou que a invoice está errada. Recebida invoice correta. Autorizado. 
01/02 - Expeditors informou que o processo foi separado em 2 HAWBs devido ao volume da carga. Compradora informou que pode prosseguir.
04/02 - Embarque tem previsão de chegar em MIA dia 07/02.
05/02 - Enviada ref. Processo com o despachante. Solicitada </t>
    </r>
    <r>
      <rPr>
        <sz val="10"/>
        <color indexed="10"/>
        <rFont val="Arial"/>
        <family val="2"/>
      </rPr>
      <t xml:space="preserve">emissão de LI.
</t>
    </r>
    <r>
      <rPr>
        <sz val="10"/>
        <rFont val="Arial"/>
        <family val="2"/>
      </rPr>
      <t>12/02 - MAWB 549-20834995. ETA: 12/02 aprox. 17:00hs.
15/02 - Carga chegou em 12/02 as 16h50.
17/02 - Li deferida. Despachante informou que não vieram os dctos originais com a carga. DI registrada. Canal amarelo.
18/02 - Solicitado dctos originais a compradora. Enviados via motoboy.
22/02 - Fiscal José Carlos. 
23/02 - Desembaraçada.</t>
    </r>
  </si>
  <si>
    <t>DGG034392</t>
  </si>
  <si>
    <r>
      <t xml:space="preserve">16/09 - Recebido docs da compradora.
23/09 - Enviada ref. Ao despachante. Ag. ETA SSZ. Solicitada </t>
    </r>
    <r>
      <rPr>
        <sz val="10"/>
        <color indexed="10"/>
        <rFont val="Arial"/>
        <family val="2"/>
      </rPr>
      <t xml:space="preserve">emissão de LI.
</t>
    </r>
    <r>
      <rPr>
        <b/>
        <sz val="10"/>
        <rFont val="Arial"/>
        <family val="2"/>
      </rPr>
      <t xml:space="preserve">25/09  -ETA SSZ 03/10.
</t>
    </r>
    <r>
      <rPr>
        <sz val="10"/>
        <rFont val="Arial"/>
        <family val="2"/>
      </rPr>
      <t>29/09 - Navio atracado.
02/10 - Solicitada invoice e PL originais a compradora.
05/10 - Invoice e PL originais enviados no malote.
06/10 - Di registrada. Canal amarelo.
08/10 - DI ag. distribuição. Di distribuída para o fiscal ADIL.
09/10 - Desembaraçada. Inspeção de madeira agendada para terça-feira, 13/10.
14/10 - Compradora solicitou entrega para 16/10.
15/10 - Compradora solicitou entrega. Carregamento agendado para amanhã de manhã.
16/10 - Caminhão no terminal ag. chamada para carregamento.</t>
    </r>
  </si>
  <si>
    <r>
      <t xml:space="preserve">17/02 - Recebido dctos da compradora. </t>
    </r>
    <r>
      <rPr>
        <b/>
        <sz val="10"/>
        <rFont val="Arial"/>
        <family val="2"/>
      </rPr>
      <t>ETA SSZ 18/02</t>
    </r>
    <r>
      <rPr>
        <sz val="10"/>
        <rFont val="Arial"/>
        <family val="2"/>
      </rPr>
      <t xml:space="preserve">.
18/02 - Processo enviado ao despachante. Navio atracado.
22/02 - Di registrada. Em análise fiscal.
23/02 - Canal verde. </t>
    </r>
    <r>
      <rPr>
        <b/>
        <sz val="10"/>
        <rFont val="Arial"/>
        <family val="2"/>
      </rPr>
      <t>Compradora informou que carga pode ser entregue em 04/03.</t>
    </r>
  </si>
  <si>
    <r>
      <t xml:space="preserve">16/06 - Felipe autorizou embarque. Ag. Booking.
09/07 - Cobrei BL da Expeditors.
</t>
    </r>
    <r>
      <rPr>
        <b/>
        <sz val="10"/>
        <rFont val="Arial"/>
        <family val="2"/>
      </rPr>
      <t xml:space="preserve">ETA SSZ 05/08.
</t>
    </r>
    <r>
      <rPr>
        <sz val="10"/>
        <rFont val="Arial"/>
        <family val="2"/>
      </rPr>
      <t>03/08 - Docs originais enviados via DHL 847 3002 171. Ag. Chegada.
05/08 - Di registrada. Em análise fiscal.
06/08 - Canal verde. Ag. BL original, em trânsito pela DHL. Daniel da Expeditors informou que o BL estará chegando amanhã no fim da tarde.</t>
    </r>
  </si>
  <si>
    <t>04/08 - Recebido docs. Draft enviado.
05/08 - Di registrada. Canal amarelo.</t>
  </si>
  <si>
    <t>SBG-5984i09</t>
  </si>
  <si>
    <t>AAH0090578</t>
  </si>
  <si>
    <t>6339-0442-910.012</t>
  </si>
  <si>
    <t>12/11 - Recebida informação do embarque. Compradora autorizou.
13/11 - Enviada ref. Ao despachante. ETA SSZ 13/12.
18/11 - Agente informou sobre problemas com o navio, o que gerou atraso na saída. Ag. Novas informações e ETA SSZ. Compradora ciente.
23/11 - Navio ainda não foi reparado. Questionei Expeditors sobre as ações que serão tomadas para não atrasar o embarque. Expeditors informou que está trabalhando para solucionar o problema.
24/11 - Problema resolvido, carga confirmada a bordo hoje, 24/11. ETA SSZ 13/12.
30/11 - Expeditors informou que devido ao mal tempo em HK o ETA foi alterado para 17/12.
03/12 - Recebido PO lines.
11/12 - Dctos originais enviados no malote. Solicitei prioridade junto ao despachante/terminal.
14/12 - Despachante informou que navio atrasou e está esperado para 16/12.
16/12 - Despachante informou que navio está esperado para amanhã as 07h00. Despachante informou que falta NCM no BL. Solicitei inclusão a Expeditors.
17/12 - Navio esperado para hoje as 10h00. Navio atracado.
18/12 - Container no terminal. Desistência da avaria.
22/12 - Processo OK. DI registrada. Ag. parametrização.
23/12 - Canal vermelho.
28/12 - DI registrada com fabricantes errados. Invoice foi refeita.
29/12 - Fiscal Álvaro.
30/12 - Desembaraçada. Inspeção de madeira hoje a tarde.</t>
  </si>
  <si>
    <t>07/07 - Recebidas invoices.
09/07 - Enviados docs originais a SSZ.
13/07 - Enviadas refs. ETA SSZ 18/07.
20/07 - Navio atracou em 18/07. Ag. Descarga e desova.
27/07 - DA registrada. Canal amarelo.
29/07 - Fiscal Leal. Em análise. Desembaraçada. CD 04101-09</t>
  </si>
  <si>
    <t>09/0978599-0</t>
  </si>
  <si>
    <t>09/0978332-7</t>
  </si>
  <si>
    <t>A-VMI-3714i09</t>
  </si>
  <si>
    <t>A-VMI-3715i09</t>
  </si>
  <si>
    <t>AAH0086790</t>
  </si>
  <si>
    <t>AAH0086791</t>
  </si>
  <si>
    <t>A-VMI-3716i09</t>
  </si>
  <si>
    <t>AAH0086789</t>
  </si>
  <si>
    <t>A-VMI-3718i09</t>
  </si>
  <si>
    <t>AAH0086792</t>
  </si>
  <si>
    <r>
      <t xml:space="preserve">16/11 - Recebido dctos.
17/11 - Processo enviado ao despachante. </t>
    </r>
    <r>
      <rPr>
        <b/>
        <sz val="10"/>
        <rFont val="Arial"/>
        <family val="2"/>
      </rPr>
      <t xml:space="preserve">ETA SSZ 19/11.
</t>
    </r>
    <r>
      <rPr>
        <sz val="10"/>
        <rFont val="Arial"/>
        <family val="2"/>
      </rPr>
      <t>26/11 - Remoção sendo feita hoje para o Libra.
27/11 - Presença de carga OK. DA registrada. Em análise fiscal.
30/11 - Canal verde. CD 06700-09.</t>
    </r>
  </si>
  <si>
    <t>6174i09</t>
  </si>
  <si>
    <t>LWIX000025-09</t>
  </si>
  <si>
    <t>16/07 - Recebido docs.
17/07 - Invoice com PN errado. Ag. Correção.
20/07 - Recebida invoice correta. Enviado draft. DI registrada.
21/07 - Desembaraçada.
22/07 - DI retificada pois foi registrada sem o PN Foxconn.</t>
  </si>
  <si>
    <t>S-1785I09</t>
  </si>
  <si>
    <t>E-6696/2008-NE-922I09</t>
  </si>
  <si>
    <r>
      <t>URGENTE!!</t>
    </r>
    <r>
      <rPr>
        <sz val="10"/>
        <rFont val="Arial"/>
        <family val="2"/>
      </rPr>
      <t xml:space="preserve">
07/07 - Recebido docs. Autorizado. TC6. Processo com o despachante.
10/08 - ATD/HKG: 8/9 00:19
ATA/LAX: 8/9 10:16.
Ag. ETA VCP.Não conseguimos liberação da alfândega americana a tempo para o voo de hoje ( 10/08 - LAX / VCP ).
Segue abaixo mensagem enviada pela Maxfreight LAX.
A maneira mais rápida de embarcarmos esta carga para VCP é aguardar o próximo voo direto de LAX para VCP, que será no dia 13/08 ( MAWB 045-5937 4394 FLIGHT M7-6839/13.08.2009 - ETA VCP 14/08 pela manhã ).
Será cobrada tarifa normal da FBR devido ao aumento do t/time.
13/08 - ETA VCP 14/08 08:05 h.MAWB 045-5937 4394. Vôo atrasou para as 10h00. Ag. confirmação de pouso.
14/08 - Carga chegou as 09h40.
17/08 - DI registrada. Ag. parametrização. Canal verde.</t>
    </r>
  </si>
  <si>
    <t>20/07 - Compradora solicitou registro de DI. Processo com o despachante.  Di registrada.</t>
  </si>
  <si>
    <t>05/02 - Recebida informação do embarque. Compradora autorizou.
11/02 - Enviada ref. Processo enviado ao despachante.
12/02 - MAWB 404-2260 6555. ETA VCP 15/02 08:00.
15/02 - Carga chegou em 14/02 as 09h16.  Di registrada. Em análise fiscal.
17/02 - Canal verde.</t>
  </si>
  <si>
    <r>
      <t xml:space="preserve">18/09 - Recebido docs.Compradora autorizou.
21/09 - Agente infoemou que houve atraso no embarque devido a um acidente que ocorreu com o caminhão. Ag. Booking. Processo com o despachante.
29/09 - Cobrei agente de cargas.
30/09 - Recebido BL.
05/10 - Enviado BL ao despachante. </t>
    </r>
    <r>
      <rPr>
        <b/>
        <sz val="10"/>
        <rFont val="Arial"/>
        <family val="2"/>
      </rPr>
      <t xml:space="preserve">ETA SSZ 14/10.
</t>
    </r>
    <r>
      <rPr>
        <sz val="10"/>
        <rFont val="Arial"/>
        <family val="2"/>
      </rPr>
      <t>19/10 - Navio atracado.
20/10 - Presença de carga OK. Di registrada. Em análise fiscal.
21/10 - Canal verde.
22/10 - Veículo no terminal. Ag. carregamento. Veículo carregado e seguindo viagem as 10h15.</t>
    </r>
  </si>
  <si>
    <r>
      <t xml:space="preserve">17/12 - Recebida informação do embarque.
18/12 - Compradora autorizou. 
21/12 - Processo com o despachante. Ag. ETA SSZ.
21/12 - </t>
    </r>
    <r>
      <rPr>
        <b/>
        <sz val="10"/>
        <rFont val="Arial"/>
        <family val="2"/>
      </rPr>
      <t>ETA SSZ 24/01/10.</t>
    </r>
    <r>
      <rPr>
        <sz val="10"/>
        <rFont val="Arial"/>
        <family val="2"/>
      </rPr>
      <t xml:space="preserve"> Ag. Cópia do BL.
07/01 - Recebida cópia do BL. Despachante em cópia.
19/01 - </t>
    </r>
    <r>
      <rPr>
        <b/>
        <sz val="10"/>
        <rFont val="Arial"/>
        <family val="2"/>
      </rPr>
      <t xml:space="preserve">Navio previsto para 25/01.
</t>
    </r>
    <r>
      <rPr>
        <sz val="10"/>
        <rFont val="Arial"/>
        <family val="2"/>
      </rPr>
      <t>25/01 - Navio atracou as 05h30.
27/01 - Ag. Desconsolidação.
28/01 - Ag. Inspeção do M.A. Para desova.
29/01 - Ag. Inspeção do M.A. Para desova.
01/02 - Presença de carga OK.  DI registrada. Canal verde.</t>
    </r>
  </si>
  <si>
    <r>
      <t xml:space="preserve">22/01 - Recebido dctos da compradora.
26/01 - Processo enviado ao despachante. </t>
    </r>
    <r>
      <rPr>
        <b/>
        <sz val="10"/>
        <rFont val="Arial"/>
        <family val="2"/>
      </rPr>
      <t xml:space="preserve">ETA SSZ 28/01.
</t>
    </r>
    <r>
      <rPr>
        <sz val="10"/>
        <rFont val="Arial"/>
        <family val="2"/>
      </rPr>
      <t xml:space="preserve">28/01 - Navio atracou as 08h30.
29/01 - Desistência de avaria.
01/02 - Presença de carga OK. DI registrada. Canal verde. </t>
    </r>
    <r>
      <rPr>
        <b/>
        <sz val="10"/>
        <rFont val="Arial"/>
        <family val="2"/>
      </rPr>
      <t>Compradora informou que pode ser entregue em 05/02.</t>
    </r>
  </si>
  <si>
    <r>
      <t xml:space="preserve">12/01 - Recebido dctos originais da compradora. Enviados a Santos. Processo com o despachante. Ag. Navio de transbordo e ETA SSZ . Navio Aliança Mauá. </t>
    </r>
    <r>
      <rPr>
        <b/>
        <sz val="10"/>
        <rFont val="Arial"/>
        <family val="2"/>
      </rPr>
      <t xml:space="preserve">ETA SSZ 28/01.
</t>
    </r>
    <r>
      <rPr>
        <sz val="10"/>
        <rFont val="Arial"/>
        <family val="2"/>
      </rPr>
      <t>18/01 - Recebido PL revisado. Enviado ao despachante.
28/01 - Navio atracou as 08h30.
29/01 - Ag. Entrada do container no terminal.
01/02 - Presença de carga OK. DI registrada. Canal verde.</t>
    </r>
  </si>
  <si>
    <r>
      <t>15/10 - Compradora enviou dctos para emissão de LI. Solicitado ao despachante.</t>
    </r>
    <r>
      <rPr>
        <sz val="10"/>
        <color indexed="10"/>
        <rFont val="Arial"/>
        <family val="2"/>
      </rPr>
      <t xml:space="preserve"> Ag. Deferimento.
</t>
    </r>
    <r>
      <rPr>
        <sz val="10"/>
        <rFont val="Arial"/>
        <family val="2"/>
      </rPr>
      <t xml:space="preserve">21/10 - LI deferida. Compradora avisada. Ag. Cópia de BL. </t>
    </r>
    <r>
      <rPr>
        <b/>
        <sz val="10"/>
        <rFont val="Arial"/>
        <family val="2"/>
      </rPr>
      <t xml:space="preserve">ETA SSZ 23/11.
</t>
    </r>
    <r>
      <rPr>
        <sz val="10"/>
        <rFont val="Arial"/>
        <family val="2"/>
      </rPr>
      <t xml:space="preserve">30/10 - </t>
    </r>
    <r>
      <rPr>
        <b/>
        <sz val="10"/>
        <rFont val="Arial"/>
        <family val="2"/>
      </rPr>
      <t xml:space="preserve">Novo ETA SSZ 26/11.
</t>
    </r>
    <r>
      <rPr>
        <sz val="10"/>
        <rFont val="Arial"/>
        <family val="2"/>
      </rPr>
      <t>05/11 - Dctos originais enviados no malote.
26/11 - Navio previsto para as 10h00. Agente de cargas informou que o navio seguirá para Buenos Aires antes de descarregar em Santos. Ag. novo ETA SSZ. Compradora avisada.
30/11 - Questionei agente de cargas sobre ETA SSZ. Agente de cargas informou que ainda não tem ETA SSZ.
01/12 - Navio chegou a Argentina em 30/11. Previsão de embarque a Santos para a próxima semana. Ag. confirmação.
09/12 - Agente de cargas informou que ainda não tem confirmação de estufagem em Buenos Aires. Ag. novo fup. Mercadoria prevista sair de Buenos Aires em 12/Dez e prevista chegar em Santos em 17/Dez no navio "HS SMETANA".
16/12 - Agente informou que navio está esperado para 18/12.
21/12 - Questionei agente de cargas sobre a atracação do navio. Atracação 18/Dez = 20:15Hrs.
22/12 - Ag. desconsolidação.
28/12 - Ag. desova. Desova autorizada. Inspeção de madeira agendada para amanhã.
29/12 - Inspeção de madeira OK. Ag. início da desova.
30/12 - Unidade desovada, carga sem avarias. Presença de carga OK. DI registrada. Ag. parametrização. Canal amarelo. Fiscal Solange.
31/12 - Desembaraçada.</t>
    </r>
  </si>
  <si>
    <t>3834i09</t>
  </si>
  <si>
    <t>4600019490
4600019022</t>
  </si>
  <si>
    <t>5001351365
5001351366</t>
  </si>
  <si>
    <t>SZHF48972</t>
  </si>
  <si>
    <t>Atracou em 02/05.Ag. Descarga.
06/05 - DI registrada. Ag. Parametrização. 
07/05 - Canal vermelho. Enviei invoice original p/ Santos. Motoboy chegou em Santos às 13hs.
08/05 - Conferência documental hoje. Física prevista p/ segunda-feira.
11/05 - Ag. Conferência física. Desembaraçada. Entregue.</t>
  </si>
  <si>
    <t>NE-1641i09</t>
  </si>
  <si>
    <t>NE-1677i09</t>
  </si>
  <si>
    <t>NE-1678i09</t>
  </si>
  <si>
    <t>E-18P08</t>
  </si>
  <si>
    <t>E-30P08</t>
  </si>
  <si>
    <t>14/05 - Ainda temos saldo nessa DA - aguardamos solicitação de puxada do comprador</t>
  </si>
  <si>
    <t>NE-1725i09</t>
  </si>
  <si>
    <t>NE-1712i09</t>
  </si>
  <si>
    <t>3071i09</t>
  </si>
  <si>
    <t>SBG</t>
  </si>
  <si>
    <t>A-VMI-3273i09</t>
  </si>
  <si>
    <t>A-VMI-3274i09</t>
  </si>
  <si>
    <t>A-VMI-3275i09</t>
  </si>
  <si>
    <t>A-VMI-3276i09</t>
  </si>
  <si>
    <t>A-VMI-3277i09</t>
  </si>
  <si>
    <t>A-VMI-3278i09</t>
  </si>
  <si>
    <t>23/04 - Recebido docs. Enviado ao despachante. ETA 16/05.
22/05 - PRESENÇA OK.
27/05 - Reynaldo autorizou registro. Problema com endereço fabricante. Solicitei p/ Reynaldo um endereço da China, pois na Invoice estava Taiwan.
28/05 - DI registrada. Ag. parametrização. Canal verde.
29/05 - ENTREGUE PARA CARREGAMENTO - PREV. FOXCONN 30/05
01/06 - Entregue em 30/06.</t>
  </si>
  <si>
    <t>S-VMI-3877i09</t>
  </si>
  <si>
    <t>AAH0087044
AAH0087045</t>
  </si>
  <si>
    <t>S-VMI-3878i09</t>
  </si>
  <si>
    <t>AAH0087046</t>
  </si>
  <si>
    <t>S-VMI-3879i09</t>
  </si>
  <si>
    <t>AAH0087056</t>
  </si>
  <si>
    <t>25/11 - Solicitada coleta.
30/11 - Enviada ref. Processo com o despachante. Ag. Dados do vôo.
03/12 - Recebida cópia de HAWB.
07/12 - MAWB 020-21761703. ETA: 08/12 aprox. 07:00hs.
08/12 - Carga chegou em 08/12 as 02h50. Di registrada. Canal verde.</t>
  </si>
  <si>
    <t>SBG-5427i09</t>
  </si>
  <si>
    <t>AAH0089457
AAH0089460</t>
  </si>
  <si>
    <t>SBG-5437i09</t>
  </si>
  <si>
    <t>AAH0089461</t>
  </si>
  <si>
    <t>4600020048
4600020047
4600020630
4600020056</t>
  </si>
  <si>
    <t>KSZ/SE-0910009</t>
  </si>
  <si>
    <t>Monte Rosa</t>
  </si>
  <si>
    <t xml:space="preserve">KOTA LATIF </t>
  </si>
  <si>
    <t>14/08 - Recebido docs. Draft enviado. DI registrada. Canal amarelo.
17/08 - Desembaraçado.</t>
  </si>
  <si>
    <t>SEL09074299</t>
  </si>
  <si>
    <t>Ag. Autorização para registro de DI.
**carga avariada. Enviado ao Leonardo**
21/07 - Compradora solicitou registro de DI. DI registrada.</t>
  </si>
  <si>
    <t>04/12 - Recebida informação do embarque. Enviada ref. Processo com o despachante. MAWB 023-3391 9605. ETA VCP 04/12 - 17h13.
07/12 - Carga chegou em 04/12 as 17h15. DI registrada. Canal verde.</t>
  </si>
  <si>
    <t>6310i09</t>
  </si>
  <si>
    <t>G9I105022</t>
  </si>
  <si>
    <t>17/09 - Recebido docs. Draft enviado.
18/09 - Di registrada. Canal verde.</t>
  </si>
  <si>
    <t>DMCQHKG2148773</t>
  </si>
  <si>
    <r>
      <t>29/10 - Navio atracado.
30/10 - Solicitada</t>
    </r>
    <r>
      <rPr>
        <sz val="10"/>
        <color indexed="10"/>
        <rFont val="Arial"/>
        <family val="2"/>
      </rPr>
      <t xml:space="preserve"> emissão de LI.</t>
    </r>
    <r>
      <rPr>
        <sz val="10"/>
        <rFont val="Arial"/>
        <family val="2"/>
      </rPr>
      <t xml:space="preserve"> Ag. Deferimento.
06/11 - Li deferida.
09/11 - Solicitada inclusão de NCM (8414/8518/8544) no Siscarga. Ag. Correção.
11/11 - Di registrada. Canal amarelo.
13/11 - Distribuído para o fiscal Álvaro. Desembaraçada.
16/11 - Inspeção de madeira hoje a tarde. Caminhão será carregado as 07h00 de 18/11 devido a janela disponível.
18/11 - Veículo no terminal ag. carregamento.</t>
    </r>
  </si>
  <si>
    <t>12/08 - Recebida informação do embarque.
13/08 -  Autorizado. Processo com o despachante.
18/08 - Carga chegou hoje as 05h30. Di registrada. Canal verde.</t>
  </si>
  <si>
    <t>14/08 - Recebida informação do embarque. ETA VCP 17/08.
17/08 - Ag. Confirmação de chegada. Processo com o despachante.
19/08 - ETA VCP hoje as 18h00.
20/08 - Carga chegou em 19/08 as 17h20. DI registrada. Canal verde.</t>
  </si>
  <si>
    <t>08/1285794-6</t>
  </si>
  <si>
    <t>SZ1442469</t>
  </si>
  <si>
    <t>10/09 - Recebido cópia de BL.
11/09 - BL OK. Ag. Invoice. Processo com o despachante. Ag. ETA SSZ.
14/09 - ETA SSZ 01/10.
15/09 - Recebida proforma da compradora.
23/09 - Enviado ao despachante. Solicitei cópia da invoice.
30/09 - Novo ETA para 02/10.
02/10 - BL + PL originais enviados no malote. Solicitei invoice original a compradora.
05/10 - Navio atracou em 04/10. Ag. entrada do container no terminal.
06/10 - Ag. desconsolidação.
07/10 - Di registrada. Ag. parametrização.
08/10 - Canal verde.Transportadora será a Fassina, porém a mesma não atende o PGR Foxconn. ag. retorno da Segurança.
09/10 - Transporte será feito com a TSA. Inspeção de madeira hoje a tarde. Carga deve ser entregue 13/10 as 06h00.</t>
  </si>
  <si>
    <t>05/06 - Recebi fatura. Inf. Ref.
Navio previsto p/ 03/07.
23/06 - Ag. nova Po de compras.
25/06 - Recebi PO. Draft enviado.
03/07 - Navio esta na barra, aguardando atracação.
06/07 - Ag. Presença de carga. Di registrada.</t>
  </si>
  <si>
    <t>1233i10</t>
  </si>
  <si>
    <t>MAKS-1002244</t>
  </si>
  <si>
    <t>1234i10</t>
  </si>
  <si>
    <t>2110059107
2110058880
2110058881
2110058884
2110059503
2110059507</t>
  </si>
  <si>
    <t>MAKS-1002245</t>
  </si>
  <si>
    <t>1236i10</t>
  </si>
  <si>
    <t>MAKS-1002254</t>
  </si>
  <si>
    <t>13/01 - Recebida informação do embarque. Compradora autorizou.
14/01 - Enviada ref. Processo com o despachante.
15/01 - Expeditors informou que a carga ainda não chegou ao armazém.
18/01 - Embarque chegou em MIA dia 17/01 e esta em processo de validação. Recebida cópia de HAWB. Enviado ao despachante.
20/01 - MAWB 369-36841324. ETA 20/01 aprox. 17:30hs.
21/01 - Carga chegou em 20/01 as 18h10. DI registrada. Canal verde. 5F - madeira sujeita a inspeção. Madeira liberada.
26/01 - Pasta enviada a custos.</t>
  </si>
  <si>
    <t>578i10</t>
  </si>
  <si>
    <t>4600022699
4600023007</t>
  </si>
  <si>
    <t>SMLSAN0912101</t>
  </si>
  <si>
    <t>15/01 - Recebida informação do embarque. Compradora autorizou.
18/01 - Enviada ref. Processo com o despachante.
19/01 - Embarque previsto chegar em MIA dia 22/01.
25/01 - MAWB 549-20812691. ETA: 25/01 aprox. 23:00hs.
26/01 - Carga chegou em 25/01 as 22h30. DI registrada. Canal verde.</t>
  </si>
  <si>
    <r>
      <t>**Carga parte lote com o S-4762i10**</t>
    </r>
    <r>
      <rPr>
        <sz val="10"/>
        <rFont val="Arial"/>
        <family val="2"/>
      </rPr>
      <t xml:space="preserve">
21/06 - Recebido dctos da compradora. ETA SSZ 24/06.
24/06 - Processo enviado ao despachante. Navio atracou as 04h15. Ag. entrada do container no terminal. Invoice e PL originais enviados no malote.
25/06 - Aguardando descarga do container no terminal.
28/06 - A invoice 5001638213 (S-4762i10) era para ser desembaraço em SSZ mas é parte lote desse entreposto, portanto será removida também (sem entreposto).
29/06 - Despachante informou que há divergência de peso entre BL e PL. Questionei compradora sobre possível falta de fatura.
Packing - 5399,40 kgs
BL - 6701,70 kgs
30/06 - Compradora informou que o PL 5001647100 estava com peso errado. Enviado PL correto ao despachante.
13/07 - Remoção programada para amanhã.
14/07 - Despachante informou que a NCM 8471 não consta no BL. Solicitada inclusão.
16/07 - NCM 8471 já foi incluso no CE mercante.
20/07 - DA registrada.
21/07 - Canal verde.
30/07 - CD 05074-10</t>
    </r>
  </si>
  <si>
    <t>20/07 - Compradora solicitou registro de DI. Processo com o despachante. Di registrada.
21/07 - Ag. Distribuição.
22/07 - Fiscal Tozzi. Em análise. Desembaraçado.</t>
  </si>
  <si>
    <t>09/0912912-0</t>
  </si>
  <si>
    <t>09/0913012-9</t>
  </si>
  <si>
    <t>26/06 - Recebi invoices.
29/06 - Inf. Ref. Solicitei LI.
30/06 - Previsto p/ chegar dia 10/07 em Santos.
06/07 - LI deferida.
16/07 - DA registrada. Ag. Parametrização.
17/07 - Canal amarelo.Fiscal Tozzi.
20/07 - Desembaraçada. CD 03900-09. Ag. Puxadas.</t>
  </si>
  <si>
    <t>ID3-980049_2</t>
  </si>
  <si>
    <t>S-VMI-4711i09</t>
  </si>
  <si>
    <t>2200001552_2</t>
  </si>
  <si>
    <t>S-VMI-4712i09</t>
  </si>
  <si>
    <t>4600021134
4600021132</t>
  </si>
  <si>
    <t>GHGI-090728002_2</t>
  </si>
  <si>
    <t>24/09 - Draft enviado. DI registrada. Canal amarelo.
28/09 - Desembaraçada.</t>
  </si>
  <si>
    <t>09/1262436-6</t>
  </si>
  <si>
    <t>26/03 - DA registrada. Canal amarelo.
30/03 - DA desembaraçada.CD emitido. Ag. Puxadas.</t>
  </si>
  <si>
    <t>09/0377530-6</t>
  </si>
  <si>
    <t>S-1037i09</t>
  </si>
  <si>
    <t>10/1173699-5</t>
  </si>
  <si>
    <t>31/07 - Recebido docs. Enviada ref. DI será registrada em 03/08 devido ao fechamento do mês.
03/08 - DI registrada. Ag. Parametrização. NF emitida errada. Ag. Carta de correção.
04/08 - Recebida carta de correção. Warehouse avisado.Desembaraçado.</t>
  </si>
  <si>
    <t>31/07 - Recebido docs. Enviada ref. DI será registrada em 03/08 devido ao fechamento do mês.
03/08 - DI registrada. Ag. Parametrização.
04/08 - Desembaraçado.</t>
  </si>
  <si>
    <t>02/06 - Docs e Draft enviado.
03/06 - Ag. Desembaraço da DA p/ registro. DA desembaraçada. DI registrada. Ag. Parametrização.
04/06 - Canal verde. Entregue.</t>
  </si>
  <si>
    <t>S-2036i09</t>
  </si>
  <si>
    <t>NE-2024i09</t>
  </si>
  <si>
    <t>S-2025i09</t>
  </si>
  <si>
    <t>06/10 - Navio atracou em 04/10. Ag. Presença de carga para registrar a DTA.
13/10 - Remoção prevista para hoje.
27/11 - Compradora solicitou nacionalização. Despachante avisado. DI registrada. Canal verde.</t>
  </si>
  <si>
    <t>HON HAI</t>
  </si>
  <si>
    <t>BPC</t>
  </si>
  <si>
    <t>3665i09</t>
  </si>
  <si>
    <t>KC-9374</t>
  </si>
  <si>
    <t>23/07 - Recebido docs no final do dia.
24/07 - Enviado draft ao Aurora. Di registrada. Ag. Parametrização.
27/07 - Desembaraçado.</t>
  </si>
  <si>
    <t>09/0961825-3</t>
  </si>
  <si>
    <t>09/0961974-8</t>
  </si>
  <si>
    <t>09/0961501-7</t>
  </si>
  <si>
    <t>6480i09</t>
  </si>
  <si>
    <t>S0907-02K</t>
  </si>
  <si>
    <t>3032i09</t>
  </si>
  <si>
    <t>S0907-12K</t>
  </si>
  <si>
    <t>21/07- Recebida invoice da compradora.
22/07 - Processo com o despachante. Ag. Registro. DI registrada.
23/07 - Canal amarelo.
24/07 - Desembaraçado.</t>
  </si>
  <si>
    <r>
      <t xml:space="preserve">11/09 - Recebido docs.
18/09 - Enviada ref. Ao despachante. </t>
    </r>
    <r>
      <rPr>
        <b/>
        <sz val="10"/>
        <rFont val="Arial"/>
        <family val="2"/>
      </rPr>
      <t xml:space="preserve">ETA SSZ 20/09.
</t>
    </r>
    <r>
      <rPr>
        <sz val="10"/>
        <rFont val="Arial"/>
        <family val="2"/>
      </rPr>
      <t xml:space="preserve">21/09 - Navio atracou em 19/09. Solicitada </t>
    </r>
    <r>
      <rPr>
        <sz val="10"/>
        <color indexed="10"/>
        <rFont val="Arial"/>
        <family val="2"/>
      </rPr>
      <t xml:space="preserve">emissão de LI.
</t>
    </r>
    <r>
      <rPr>
        <sz val="10"/>
        <rFont val="Arial"/>
        <family val="2"/>
      </rPr>
      <t>23/09 - LI deferida. Di registrada. Ag. Parametrização. Canal amarelo.
25/09 - DI distribuída para o fiscal Potiguara.
29/09 - Desembaraçada. Inspeção de madeira agendada para 01/10.</t>
    </r>
  </si>
  <si>
    <t>S-VMI-4578i09</t>
  </si>
  <si>
    <t>ID3-970024_4</t>
  </si>
  <si>
    <t>BSHEA0909093</t>
  </si>
  <si>
    <t>4587i09</t>
  </si>
  <si>
    <t>4120247637
4120247623
4120247778
4120247626</t>
  </si>
  <si>
    <t>S-VMI-4585i09</t>
  </si>
  <si>
    <t>IWJ-930028_5</t>
  </si>
  <si>
    <t>4589i09</t>
  </si>
  <si>
    <t>5001643957
5001645109
5001642909
5001647100
5001642807</t>
  </si>
  <si>
    <t>1303i10</t>
  </si>
  <si>
    <t>16/11 - Recebida informação do embarque.
17/11 - Compradora autorizou.
18/11 - Enviada ref. Processo com o despachante.
23/11 - Recebido pré alerta. Carga chegou em 22/11 as 21h15. DI registrada. Em análise fiscal.
24/11 - Canal verde.</t>
  </si>
  <si>
    <t>27/10 - Compradora solicitou nacionalização. Processo enviado ao despachante. Di registrada. Canal amarelo.
28/10 - Distribuída para o fiscal Leal. Desembaraçada.</t>
  </si>
  <si>
    <t>05/01 - Recebida informação do embarque. Autorizado. Processo com o despachante.
11/01 - ETA VCP 13/01 a noite. Ag. Pré alerta.
12/01 - MAWB 404-2248 0006. ETA VCP 13/01 23H00.
13/01 - Maxfreight informou que a carga não voou. Novo ETA 14/01 as 08h00.
14/01 - Vôo atrasou. Pls note the yesterday's flt was cancelled by the carrier because at the last minute a large shipment which was almost one third of their flt was held by U.S. Customs. This inconvenience forced them to re-schedule the whole flt to Sunday. Novo ETA VCP 17/01 as 23h00.
18/01 - Carga prevista para hoje as 16h00 em VCP.
19/01 - Carga chegou em 18/01 as 23h40. DI registrada. Canal verde.</t>
  </si>
  <si>
    <t>03/09 - Recebido docs para nacionalização.
05/09 - Enviado processo ao despachante. DI será registrada em 08/09 devido ao feriado.
08/09 - DI registrada. Em análise fiscal. Ag. Canal verde. Enviado comprovante de ICMS as 17h25 e Nfe.
09/09 - Ag. liberação.
10/09 - Carga liberada. Foxconn avisada.</t>
  </si>
  <si>
    <t>SEL09084430</t>
  </si>
  <si>
    <t>09/1064918-3</t>
  </si>
  <si>
    <t>A-3681i09</t>
  </si>
  <si>
    <t>KC-9369</t>
  </si>
  <si>
    <t>25/01 - Compradora solicitou nacionalização. 
29/01 - Processo enviado ao despachante. 
01/02 - Di registrada. Canal vermelho. Fiscal Carlos Yamada.
02/03 - Conferência fisica agendada para 03/02 - 10:00h. 
03/03 - Fiscal solicitou retificação da DI para inclusão de PNs encontrados na conferência física. Ag. retorno da compradora. DI retificada.
04/03 - Desembaraçada.</t>
  </si>
  <si>
    <t>1038i10</t>
  </si>
  <si>
    <t>Hebert</t>
  </si>
  <si>
    <t>4600023610
4600023005</t>
  </si>
  <si>
    <t>EBP-010050</t>
  </si>
  <si>
    <t>STS00105107A</t>
  </si>
  <si>
    <t>NYK Galaxy</t>
  </si>
  <si>
    <r>
      <t>Carga com seguro. Fotografar o material assim que chegar na fábrica. Os containers MLCU5307945 -  MAEU6355052 estão com risco de avarias.</t>
    </r>
    <r>
      <rPr>
        <sz val="10"/>
        <rFont val="Arial"/>
        <family val="2"/>
      </rPr>
      <t xml:space="preserve">
10/12 - Recebida informação do embarque. Autorizado. Enviadas NCMs.
11/12 - Recebido draft do BL. </t>
    </r>
    <r>
      <rPr>
        <b/>
        <sz val="10"/>
        <rFont val="Arial"/>
        <family val="2"/>
      </rPr>
      <t>ETA SSZ 14/01/2010.</t>
    </r>
    <r>
      <rPr>
        <sz val="10"/>
        <rFont val="Arial"/>
        <family val="2"/>
      </rPr>
      <t xml:space="preserve">
14/12 - Processo enviado ao despachante. Solicitado PO lines e invoices com condição de pgto correto.
17/12 - Recebida cópia de invoices corretas e BL. Despachante em cópia.
04/01 - Cobrei PO lines de compras. Recebida PO lines.
05/01 - Enviado a Vanessa (Original). Maxfreight informou que os dctos originais estão em Santos. Despachante avisado.
07/01 - Seguradora avisada sobre o embarque.
14/01 - Navio atracado a 01h55. Em operação (08h55). Solicitada NVE a Engenharia. Enviadas NVEs ao despachante.
18/01 - Ag. autorização da seguradora para desistência de vistoria.
19/01 - DI registrada. Ag. parametrização. Em análise fiscal.
20/01 - Canal verde.</t>
    </r>
  </si>
  <si>
    <r>
      <t>Black Gold já com diferimento de ICMS.</t>
    </r>
    <r>
      <rPr>
        <sz val="9"/>
        <rFont val="Arial"/>
        <family val="2"/>
      </rPr>
      <t xml:space="preserve">
12/11 - Recebido dctos.
16/11 - Processo enviado ao despachante. Draft OK. Di registrada. Em análise fiscal.
17/11 - Canal verde. Solicitada emissão de Nfe.</t>
    </r>
  </si>
  <si>
    <t>4600025759
4600025644</t>
  </si>
  <si>
    <t>5001593096
5001593097
5001598478</t>
  </si>
  <si>
    <t>SZHF51226</t>
  </si>
  <si>
    <t>E-64P09</t>
  </si>
  <si>
    <t>SZHF51228</t>
  </si>
  <si>
    <t>SBG-4363i09</t>
  </si>
  <si>
    <t>AAH0087860
AAH0087863
AAH0087867
AAH0087869
AAH0087870</t>
  </si>
  <si>
    <t>6339-0442-907-015</t>
  </si>
  <si>
    <t>SBG-4366i09</t>
  </si>
  <si>
    <t>2012i09</t>
  </si>
  <si>
    <t>2028i09</t>
  </si>
  <si>
    <t>2029i09</t>
  </si>
  <si>
    <t>2035i09</t>
  </si>
  <si>
    <t>2092i09</t>
  </si>
  <si>
    <t>2167i09</t>
  </si>
  <si>
    <t>2204i09</t>
  </si>
  <si>
    <t>2216i09</t>
  </si>
  <si>
    <t>2294i09</t>
  </si>
  <si>
    <t>2311i09</t>
  </si>
  <si>
    <t>2520i09</t>
  </si>
  <si>
    <t>40771748
40771764</t>
  </si>
  <si>
    <t>100-010448</t>
  </si>
  <si>
    <r>
      <t xml:space="preserve">16/11 - Recebida cópia do BL. </t>
    </r>
    <r>
      <rPr>
        <b/>
        <sz val="10"/>
        <rFont val="Arial"/>
        <family val="2"/>
      </rPr>
      <t>ETA SSZ 10/12.</t>
    </r>
    <r>
      <rPr>
        <sz val="10"/>
        <rFont val="Arial"/>
        <family val="2"/>
      </rPr>
      <t xml:space="preserve">
17/11 - Enviado a compradora solicitando invoice e NCMs.
30/11 - Recebida invoice da compradora. Enviado ao despachante. NCM 7320.90.00 está faltando no BL. Solicitada inclusão. Solicitada </t>
    </r>
    <r>
      <rPr>
        <sz val="10"/>
        <color indexed="10"/>
        <rFont val="Arial"/>
        <family val="2"/>
      </rPr>
      <t xml:space="preserve">emissão de LI.
</t>
    </r>
    <r>
      <rPr>
        <sz val="10"/>
        <rFont val="Arial"/>
        <family val="2"/>
      </rPr>
      <t>02/12 - Solicitada correção do BL a DAMCO.
03/12 - Efetuado pgto de correção do BL.
07/12 - Recebido BL original. Enviado todas as vias ao despachante (haverá troca devido a NCM faltante).
08/12 - DAMCO informou que não poderá ter alteração antes da chegada do navio. 
09/12 - Questionei DAMCO sobre a alteração da NCM. LI deferida.
10/12 - Navio atracou as 08h00.
11/12 - Container no terminal. Presença de carga OK.
14/12 - Damco enviou as informações para correção do BL. Ag. compras informar sobre o pgto da taxa de CNY 200,00.
15/12 - Questionei compradora sobre a correção e taxa a ser paga. DAMCO informou que a origem aceitou efetuar o pgto da taxa. Pedi para prosseguir. Invoice e PL originais enviados no malote. Ag. retorno da origem em relação ao termo de responsabilidade.
16/12 - Vendor informou que não vai assinar o termo.
17/12 - Ag. retorno de compras em relação ao termo de responsabilidade. Foxconn vai assinar o termo. Despachante e DAMCO avisados.
21/12 - DAMCO está aguardando protocolo.
22/12 - Questionei sobre a previsão do processo ficar OK.
28/12 - Questionei sobre a previsão do processo ficar OK.
30/12 - Processo estará OK para registro em 04hrs - 10h15. DI registrada. Ag. parametrização. Canal amarelo.
04/01 - Despachante questionou DAMCO sobre a troca do BL.
05/01 - Questionei a DAMCO sobre a troca do BL. DAMCo informou que o BL seria enviado a Foxconn. Questionei compradora.
06/01 - DAMCO emitiu o BL correto.
07/01 - Fiscal Renato.
08/01 - Desembaraçada. Inspeção de madeira em 11/01.
12/01 - Veículo acaba de ser descarregado e liberado ( 13:20 hrs ).</t>
    </r>
  </si>
  <si>
    <t>100-010374</t>
  </si>
  <si>
    <t>21/08 - Recebido docs. Enviado draft. DI registrada. Canal amarelo.
24/08 - Desembaraçada.  NF enviada via motoboy.</t>
  </si>
  <si>
    <t>A-3672i09</t>
  </si>
  <si>
    <r>
      <t xml:space="preserve">13/07 - Recebida informação do embarque. Autorizado.
14/07 - Enviada ref. Processo com o despachante. Ag. ETA SSZ.
24/07 - </t>
    </r>
    <r>
      <rPr>
        <b/>
        <sz val="10"/>
        <rFont val="Arial"/>
        <family val="2"/>
      </rPr>
      <t xml:space="preserve">ETA SSZ 18/08.
</t>
    </r>
    <r>
      <rPr>
        <sz val="10"/>
        <rFont val="Arial"/>
        <family val="2"/>
      </rPr>
      <t>12/08 - Questionei agente sobre os docs originais.
18/08 -</t>
    </r>
    <r>
      <rPr>
        <b/>
        <sz val="10"/>
        <rFont val="Arial"/>
        <family val="2"/>
      </rPr>
      <t xml:space="preserve"> Novo ETA para 19/08. </t>
    </r>
    <r>
      <rPr>
        <sz val="10"/>
        <rFont val="Arial"/>
        <family val="2"/>
      </rPr>
      <t>Questionei agente/compradora sobre os docs originais. BL em Santos.
19/08 - Navio atracado.
21/08 - Presença de carga OK. DI registrada. Ag. parametrização. Canal vermelho.
24/08 - Solicitei invoice original a compradora.
25/08 - Invoice original enviada no malote.
26/08 - DISTRIBUIDO PARA FISCAL MARIA ANTONIETA.
31/08 - DI aguardando distribuição para conferencia física. DI distribuída para o fiscal Valença. Mercadoria desembaraçada.</t>
    </r>
  </si>
  <si>
    <t>A-3814i09</t>
  </si>
  <si>
    <t>B765221</t>
  </si>
  <si>
    <r>
      <t xml:space="preserve">23/12 - Recebida cópia de BL do agente de cargas. Enviado a compradora solicitando cópia da invoice. 
28/12 - Invoice recebida.
30/12 - Processo enviado ao despachante. </t>
    </r>
    <r>
      <rPr>
        <b/>
        <sz val="10"/>
        <rFont val="Arial"/>
        <family val="2"/>
      </rPr>
      <t xml:space="preserve">ETA SSZ 14/01/2010.
</t>
    </r>
    <r>
      <rPr>
        <sz val="10"/>
        <rFont val="Arial"/>
        <family val="2"/>
      </rPr>
      <t>12/01 - Dctos originais enviados no malote.
14/01 - Navio atracado a 01h55. Em operação (08h55).
15/01 - Ag. entrada do container no terminal.
18/01 - DI registrada. Canal vermelho.
20/01 - Fiscal Nilva.
21/01 - Ag. distribuição para conferência física.
22/01 - Fiscal Roberto. Desembaraçada.</t>
    </r>
  </si>
  <si>
    <t>485i10</t>
  </si>
  <si>
    <t>Z040185441</t>
  </si>
  <si>
    <t>486i10</t>
  </si>
  <si>
    <t>595-10051A</t>
  </si>
  <si>
    <t>489i10</t>
  </si>
  <si>
    <t>P815361</t>
  </si>
  <si>
    <r>
      <t xml:space="preserve">05/09 - Recebido docs da compradora. Questionei agente de cargas sobre o pré alerta.
09/09 - Recebido pré alerta. </t>
    </r>
    <r>
      <rPr>
        <b/>
        <sz val="9"/>
        <rFont val="Arial"/>
        <family val="2"/>
      </rPr>
      <t>ETA VCP 13/09.</t>
    </r>
    <r>
      <rPr>
        <sz val="9"/>
        <rFont val="Arial"/>
        <family val="2"/>
      </rPr>
      <t xml:space="preserve">
12/09 - Enviado processo ao despachante. Carga chegou as 16h00.
14/09 - Mantra visado hoje a 00h25. Di registrada. Em análise fiscal.
15/09 - Canal verde.</t>
    </r>
  </si>
  <si>
    <t>GHGI-090728002_1</t>
  </si>
  <si>
    <t>S-VMI-4627i09</t>
  </si>
  <si>
    <t>Expeditors</t>
  </si>
  <si>
    <r>
      <t>18/12 - Recebida cópia da invoice 5001468187.
21/12 - Recebida a invoice faltante. Enviado ao despachante. Solicitada</t>
    </r>
    <r>
      <rPr>
        <sz val="10"/>
        <color indexed="10"/>
        <rFont val="Arial"/>
        <family val="2"/>
      </rPr>
      <t xml:space="preserve"> emissão de LI</t>
    </r>
    <r>
      <rPr>
        <sz val="10"/>
        <rFont val="Arial"/>
        <family val="2"/>
      </rPr>
      <t xml:space="preserve">. </t>
    </r>
    <r>
      <rPr>
        <b/>
        <sz val="10"/>
        <rFont val="Arial"/>
        <family val="2"/>
      </rPr>
      <t xml:space="preserve">ETA SSZ 24/12.
</t>
    </r>
    <r>
      <rPr>
        <sz val="10"/>
        <rFont val="Arial"/>
        <family val="2"/>
      </rPr>
      <t>24/12 - Navio atracado.
28/12 - Presença de carga OK.
29/12 - LI deferida. DI registrada. Canal amarelo.
04/01 - Fiscal Paulo. Despacho interrompido: APRESENTAR FOLHETOS ILUSTRADOS PERTINENTES A CADA ADICAO E IDENTIFICADOS POR ORDEM.
05/01 - Solicitados folhetos a Engenharia e compras. Recebido dctos da Engenharia. Enviado ao despachante.
06/01 - Despachante informou que ainda faltam os folhetos de alguns PNs. Solicitado a Engenharia. Enviados ao despachante os folhetos faltantes. Em análise pelo fiscal Paulo.
07/01 - Desembaraçada. Inspeção de madeira amanhã a tarde.  Compradora informou que deve ser entregue no sábado.</t>
    </r>
  </si>
  <si>
    <t>101i10</t>
  </si>
  <si>
    <t>Azur</t>
  </si>
  <si>
    <t>30/07 - Recebido docs. Draft enviado. DI registrada. Canal amarelo.
03/08 - Ag. Fatura original da HP para entrada na RF e desembaraço.
04/08 - Desembaraçado.</t>
  </si>
  <si>
    <t>24/11 - Recebido dctos da compradora. ETA SSZ 26/11.
26/11 - Processo com o despachante. Solicitado LI. Navio atracado as 08h45.
30/11 - Presença de carga OK.
02/12 - Li deferida. DI registrada. Canal amarelo.
04/12 - Fiscal Solange.
09/12 - Desembaraçada.
10/12 - Documentação no registro veículo aguardando chamada para carregamento.</t>
  </si>
  <si>
    <t>6367i09</t>
  </si>
  <si>
    <t>4600020925
4600021254
4600020563</t>
  </si>
  <si>
    <t>40761142
40761141
40761682</t>
  </si>
  <si>
    <t>100-010340</t>
  </si>
  <si>
    <t>6371i09</t>
  </si>
  <si>
    <t>4600021602
4600021603</t>
  </si>
  <si>
    <t>40761707
40761708</t>
  </si>
  <si>
    <t>4600020839
4600020050
4600020978</t>
  </si>
  <si>
    <t>5001417474
5001418562</t>
  </si>
  <si>
    <t>E-62P09</t>
  </si>
  <si>
    <t>SZHF51126</t>
  </si>
  <si>
    <t>27/08 - Recebido docs.
01/09 - Enviado draft. DI registrada. Em análise fiscal.
02/09 - Canal verde.</t>
  </si>
  <si>
    <t>S-1865i09</t>
  </si>
  <si>
    <t>E-37P09</t>
  </si>
  <si>
    <t>E-38P09</t>
  </si>
  <si>
    <t>NE-1853i09</t>
  </si>
  <si>
    <t>NE-1866i09</t>
  </si>
  <si>
    <t>S-1876i09</t>
  </si>
  <si>
    <t>15/07 - Recebida informação do embarque. Comprador autorizou.
17/07 - Avisei Expeditors.
20/07 - Enviada ref. Processo com o despachante. Ag. ETA SSZ.
29/07 - ETA SSZ 16/08.
17/08 - Invoice, PL e BL enviados no malote. Navio atracado.
18/08 - Ag. entrada do container no terminal.
19/08 - Ag. desconsolidação.
21/08 - DI registrada. Canal verde.</t>
  </si>
  <si>
    <t>3637i09</t>
  </si>
  <si>
    <t>SZHF48877</t>
  </si>
  <si>
    <t>15/09 - Recebido docs.
16/09 - Saldo do PO insuficiente. Questionei compras. PO corrigido.Draft enviado.
17/09 - Di registrada. Canal amarelo.
18/09 - Desembaraçada.</t>
  </si>
  <si>
    <t>08/01 - Recebida informação do embarque. Compradora autorizou. MAWB 045-76460156. ETA: 12/01 aprox. 16:00hs.
13/01 - Carga chegou em 12/01 as 15h00. Processo enviado ao despachante. Processo com divergência de peso. Alerta 22. Leonardo autorizou desistência de vistoria. Expeditors e Itatrans avisados. Ag. regularização do mantra.
18/01 - Mantra OK. Visado. DI registrada. Canal amarelo (processo EQDAI).
26/01 - Fiscal Renato.
27/01 - Fiscal pediu recolhimento de multa por divergência de peso (R$ 500,00).
29/01 - Desembaraçada.</t>
  </si>
  <si>
    <t>705i10</t>
  </si>
  <si>
    <t>NE-712I10</t>
  </si>
  <si>
    <t>728i10</t>
  </si>
  <si>
    <t>PG817439</t>
  </si>
  <si>
    <r>
      <t>24/02 - Recebido dctos da compradora.</t>
    </r>
    <r>
      <rPr>
        <b/>
        <sz val="10"/>
        <rFont val="Arial"/>
        <family val="2"/>
      </rPr>
      <t xml:space="preserve"> ETA SSZ 25/02. Necessidade Foxconn 05/03.</t>
    </r>
    <r>
      <rPr>
        <sz val="10"/>
        <rFont val="Arial"/>
        <family val="2"/>
      </rPr>
      <t xml:space="preserve">
25/02 - Processo enviado ao despachante. </t>
    </r>
    <r>
      <rPr>
        <b/>
        <sz val="10"/>
        <rFont val="Arial"/>
        <family val="2"/>
      </rPr>
      <t xml:space="preserve">Navio esperado para 26/02 a 01h00.
</t>
    </r>
    <r>
      <rPr>
        <sz val="10"/>
        <rFont val="Arial"/>
        <family val="2"/>
      </rPr>
      <t>26/02 - Navio atracado.
02/03 - Di registrada. Canal verde. Inspeção de Madeira agendada para 03/03.</t>
    </r>
    <r>
      <rPr>
        <b/>
        <sz val="10"/>
        <rFont val="Arial"/>
        <family val="2"/>
      </rPr>
      <t xml:space="preserve"> Carga será entregue em 04/03.</t>
    </r>
  </si>
  <si>
    <t>04/08 - Recebido docs. PN da invoice e PO estão divergentes. Ag. Correção da invoice. Recebida invoice correta. Draft enviado. 12h10. DI registrada. Canal amarelo.
05/08 - Desembaraçada. Entregue.</t>
  </si>
  <si>
    <t>Pimenta</t>
  </si>
  <si>
    <r>
      <t xml:space="preserve">19/10 - Recebido dctos.
22/10 - Processo enviado ao despachante. Navio atracado.
</t>
    </r>
    <r>
      <rPr>
        <b/>
        <sz val="10"/>
        <rFont val="Arial"/>
        <family val="2"/>
      </rPr>
      <t xml:space="preserve">27/10 - Entregar na fábrica em 03/11.  </t>
    </r>
    <r>
      <rPr>
        <sz val="10"/>
        <rFont val="Arial"/>
        <family val="2"/>
      </rPr>
      <t>Di registrada. Canal verde. Inspeção de madeira agendada para amanhã a tarde.
03/11 - Caminhão no terminal ag. Carregamento. 08h20. Caminhão seguindo para a Foxconn. 10h10.</t>
    </r>
  </si>
  <si>
    <t>4600025159
4600023628</t>
  </si>
  <si>
    <r>
      <t>14/12 - Recebida informação do embarque.
17/12 - Enviado a compradora. Autorizado. Processo com o despachante. Ag. ETA SSZ.
21/12 - Recebida cópia de BL. Despachante em cópia. Questionei agente de cargas sobre a documentação original.</t>
    </r>
    <r>
      <rPr>
        <b/>
        <sz val="10"/>
        <rFont val="Arial"/>
        <family val="2"/>
      </rPr>
      <t xml:space="preserve"> ETA SSZ 16/01/2010.
</t>
    </r>
    <r>
      <rPr>
        <sz val="10"/>
        <rFont val="Arial"/>
        <family val="2"/>
      </rPr>
      <t xml:space="preserve">04/01 - Recebemos a informação da cia. marítima que o navio antecipou a chegada no porto de Santos e a </t>
    </r>
    <r>
      <rPr>
        <b/>
        <sz val="10"/>
        <rFont val="Arial"/>
        <family val="2"/>
      </rPr>
      <t xml:space="preserve">nova previsão de chegada é dia 09/01.
</t>
    </r>
    <r>
      <rPr>
        <sz val="10"/>
        <rFont val="Arial"/>
        <family val="2"/>
      </rPr>
      <t>09/01 - Navio atracado.
11/01 - Ag. desconsolidar.
12/01 - Cobrei dctos originais do agente e compradora.
13/01 - Dctos originais disponíveis em Santos. Despachante irá retirar na agência.
14/01 - Aguardando inspeção do M.A para desova.
18/01 - Presença de carga OK. Di registrada. Ag. parametrização. Em análise fiscal. Canal verde.</t>
    </r>
  </si>
  <si>
    <t>332i10</t>
  </si>
  <si>
    <t>Z040180839</t>
  </si>
  <si>
    <t>SHAW005775</t>
  </si>
  <si>
    <r>
      <t xml:space="preserve">01/10 - Compradora informou sobre a nacionalização. </t>
    </r>
    <r>
      <rPr>
        <b/>
        <sz val="10"/>
        <rFont val="Arial"/>
        <family val="2"/>
      </rPr>
      <t xml:space="preserve">Carga deve ser entregue na fábrica em 05/10. 
</t>
    </r>
    <r>
      <rPr>
        <sz val="10"/>
        <rFont val="Arial"/>
        <family val="2"/>
      </rPr>
      <t>02/10 - Processo com o despachante. Di registrada. Canal amarelo.
05/10 - Fiscal Madruga. Em análise.
06/10 - Desembaraçada.</t>
    </r>
  </si>
  <si>
    <t>4894i09</t>
  </si>
  <si>
    <t>SZHF49613</t>
  </si>
  <si>
    <t>4895i09</t>
  </si>
  <si>
    <t>SZHF49610</t>
  </si>
  <si>
    <t>4896i09</t>
  </si>
  <si>
    <t>SZHF49611</t>
  </si>
  <si>
    <t>4897i09</t>
  </si>
  <si>
    <t>SZHF49612</t>
  </si>
  <si>
    <t>4898i09</t>
  </si>
  <si>
    <t>4600020145
4600020146</t>
  </si>
  <si>
    <t>5001387524
5001387529</t>
  </si>
  <si>
    <t>27/11 - Recebido dctos.
01/12 - Processo enviado ao despachante. ETA SSZ 03/12.
02/12 - Navio atracado no final da tarde.
04/12 - Presença de carga OK. DI registrada. Ag. Parametrização. Canal verde.
07/12 - Inspeção de madeira hoje a tarde.
08/12 - Documentação no Registro veículo aguardando chamada para carregamento.</t>
  </si>
  <si>
    <r>
      <t>20/07 - Navio atracou em 18/07. Ag. Descarga e desova. Solicitada</t>
    </r>
    <r>
      <rPr>
        <sz val="10"/>
        <color indexed="10"/>
        <rFont val="Arial"/>
        <family val="2"/>
      </rPr>
      <t xml:space="preserve"> emissão de LI.
</t>
    </r>
    <r>
      <rPr>
        <sz val="10"/>
        <rFont val="Arial"/>
        <family val="2"/>
      </rPr>
      <t>21/07 - Presença de carga OK.
27/07 - Despachante informou que a NCM 7318.15.00 não está no BL. Solicitada correção.
29/07 - Di registrada. Canal amarelo. Fiscal Ricardo Pereira. Em análise.
31/07 - Fiscal exigiu complementar multa por LI posterior, pois havia recolhido abaixo de R$ 500,00.
04/08 -REDESTRIBUIDO PARA A FISCAL MARIA ANTONIETA. EM ANÁLISE. Desembaraçada.</t>
    </r>
  </si>
  <si>
    <t>A-VMI-3214i09</t>
  </si>
  <si>
    <t>AAH0085883</t>
  </si>
  <si>
    <t>A-VMI-3220i09</t>
  </si>
  <si>
    <t>30 dias</t>
  </si>
  <si>
    <t>S-2026i09</t>
  </si>
  <si>
    <t>S-2027i09</t>
  </si>
  <si>
    <t>S-1969i09</t>
  </si>
  <si>
    <t>S-2045i09</t>
  </si>
  <si>
    <t>S-335/2007</t>
  </si>
  <si>
    <t>HAWB</t>
  </si>
  <si>
    <t>Value 
(USD)</t>
  </si>
  <si>
    <t>FF</t>
  </si>
  <si>
    <t>Chegada VCP</t>
  </si>
  <si>
    <t>Channel</t>
  </si>
  <si>
    <t>WH</t>
  </si>
  <si>
    <t>Retificação DI</t>
  </si>
  <si>
    <t>A-6884i10</t>
  </si>
  <si>
    <t>03/09 - Embarque Autorizado. TC6.
09/09 - Recebi AWB. Previsto p/ chegar em VCP dia 11/09 aprox 10:00hs.
13/09 - DI registrada. Canal amarelo. Entrada na Receita Federal p/ desembaraço.
14/09 - Ag distribuição.
15/09 - Distribuído - Fiscal George. Fiscal desclassificou a NCM. Solicitei p/ Storillo a carta defendendo a nossa NCM. 
16/09 - Ag Storillo. Recebida. Enviado p/ Brasiliense apresentar p/ o Fiscal.
17/09 - Ag posicionamento do Fiscal. Fiscal não aceitou a carta. 
20/09 - Ag nome do Engenheiro da RF.
21/09 - Autorizado Lavrar o Auto. 
22/09 - Ag Fiscal liberar o Siscomex para despachante solicitar o Auto de Infração.
23/09 - Ag posição Fiscal.
24/09 - Fiscal recusou o auto de infração, foi exigido Laudo Técnico. Engenheiro Boris.
27/09 - Enviei email p/ Storillo entrar em contato com o o Engenheiro Boris.
28/09 - Ag retorno Engenheiro Boris.
04/09 - Cobrei Brasiliense
05/10 - DI retificada, formalizando a entrega do Laudo Técnico de um processo antigo, porem com a mesma mercadoria. Ag. Lavratura do Auto de Infração.
07/10 - Ag análise do fiscal para lavratura do auto de infração.</t>
  </si>
  <si>
    <t>A-8295i10</t>
  </si>
  <si>
    <t>19/11 - Recebido dctos da compradora.
24/11 - Processo enviado ao despachante. Solicitada cópia de BL.
08/12 - Recebido dctos originais. Enviado ao despachante. Ag. ETA SSZ.
30/12 - Conforme informações do exportador, o BL que tínhamos desse processo (WSZSTS09110616) está errado. O correto é HKG/SSZ/01508 e o original deverá ser retirado no agente de cargas em Santos. Navio atracou em 18/12. Presença de carga OK em 22/12. DI será registrada em 04/01/2010 devido ao fechamento do mês/ano.
04/01 - Di registrada. Canal verde.</t>
  </si>
  <si>
    <t>28i10</t>
  </si>
  <si>
    <t>B809987</t>
  </si>
  <si>
    <r>
      <t xml:space="preserve">29/09 - Compradora informou sobre a nacionalização. </t>
    </r>
    <r>
      <rPr>
        <b/>
        <sz val="10"/>
        <rFont val="Arial"/>
        <family val="2"/>
      </rPr>
      <t xml:space="preserve">Carga deve ser entregue na fábrica em 05/10. 
</t>
    </r>
    <r>
      <rPr>
        <sz val="10"/>
        <rFont val="Arial"/>
        <family val="2"/>
      </rPr>
      <t>02/10 - Processo com o despachante. Compradora pediu para tentar trazer hoje. Di registrada. Ag. Parametrização. Canal amarelo.
05/10 - Fiscal Madruga. Em análise.
06/10 - Desembaraçada.</t>
    </r>
  </si>
  <si>
    <t xml:space="preserve"> REMOÇAO EM 04/05
14/05 -Presença OK.  Ag. Autorização para registro de DI.
09/07 - Descpachante informou que a LI vencerá em 26/07. Ag. Retorno da compradora se haverá prorrogação ou registro de DI.Compradora informou que a DI pode ser registrada.Despachante avisado.
13/07 - Di registrada. Canal amarelo.
14/07 - Desembaraçado.</t>
  </si>
  <si>
    <t>09/07 - Recebido docs da compradora.
13/07 - Recebida cópia de HAWB da Brasiliense. Enviada ref. Carga chegou em 11/07 as 18h10.
14/07 - Di registrada. Canal verde.</t>
  </si>
  <si>
    <t>2837i09</t>
  </si>
  <si>
    <t>Hon Hai
(Cooler Master)</t>
  </si>
  <si>
    <t>EBP-960473</t>
  </si>
  <si>
    <t>WSZSTS09060605</t>
  </si>
  <si>
    <r>
      <t xml:space="preserve">02/09 - Recebido docs. Compradora autorizou.
04/09 - Enviada ref. Processo com o despachante. </t>
    </r>
    <r>
      <rPr>
        <b/>
        <sz val="9"/>
        <rFont val="Arial"/>
        <family val="2"/>
      </rPr>
      <t xml:space="preserve">ETA VCP 09/09.
</t>
    </r>
    <r>
      <rPr>
        <sz val="9"/>
        <rFont val="Arial"/>
        <family val="2"/>
      </rPr>
      <t xml:space="preserve">08/09 - MAWB 404-2214 8685. </t>
    </r>
    <r>
      <rPr>
        <b/>
        <sz val="9"/>
        <rFont val="Arial"/>
        <family val="2"/>
      </rPr>
      <t xml:space="preserve">ETA VCP 09/09 20H00.
09/09 - New ETA VCP 10/09 01:00 h.
</t>
    </r>
    <r>
      <rPr>
        <sz val="9"/>
        <rFont val="Arial"/>
        <family val="2"/>
      </rPr>
      <t>10/09 - Carga chegou em 09/09 as 21h00. Visado em 10/09 as 03h05. DI registrada. Ag. parametrização. Canal verde.</t>
    </r>
  </si>
  <si>
    <t>A-4089i09</t>
  </si>
  <si>
    <t>P768385</t>
  </si>
  <si>
    <t>A-4102i09</t>
  </si>
  <si>
    <t>LW-I-T05736/09</t>
  </si>
  <si>
    <t>A-4108i09</t>
  </si>
  <si>
    <t>Sidnéa</t>
  </si>
  <si>
    <r>
      <t xml:space="preserve">31/07 - Recebido docs originais. Processo com o despachante. </t>
    </r>
    <r>
      <rPr>
        <b/>
        <sz val="10"/>
        <rFont val="Arial"/>
        <family val="2"/>
      </rPr>
      <t xml:space="preserve">ETA SSZ 07/08.
</t>
    </r>
    <r>
      <rPr>
        <sz val="10"/>
        <rFont val="Arial"/>
        <family val="2"/>
      </rPr>
      <t>07/08 - Navio atrasou</t>
    </r>
    <r>
      <rPr>
        <b/>
        <sz val="10"/>
        <rFont val="Arial"/>
        <family val="2"/>
      </rPr>
      <t xml:space="preserve"> ETA para 08/08.
</t>
    </r>
    <r>
      <rPr>
        <sz val="10"/>
        <rFont val="Arial"/>
        <family val="2"/>
      </rPr>
      <t>10/08 - Navio atracou em 09/08 a 00h01. DI registrada.
11/08 - Canal verde. NF enviada via motoboy as 13h00.</t>
    </r>
  </si>
  <si>
    <t>23/07 - Recebido docs. Enviado draft ao Aurora. Di registrada. 
Ag. Parametrização.</t>
  </si>
  <si>
    <t>23/07 - Recebido docs. Enviado draft ao Aurora.Di registrada.
Ag. Parametrização.</t>
  </si>
  <si>
    <t>3021i09</t>
  </si>
  <si>
    <t>WSZSTS09060909</t>
  </si>
  <si>
    <t>3025i09</t>
  </si>
  <si>
    <t>XHB0970110</t>
  </si>
  <si>
    <t>SAN8648080298</t>
  </si>
  <si>
    <t>AUR/SSZ/001/09_1</t>
  </si>
  <si>
    <t>NE-2164i09</t>
  </si>
  <si>
    <t>S-2201i09</t>
  </si>
  <si>
    <t>SZ1503714</t>
  </si>
  <si>
    <t>S-2202i09</t>
  </si>
  <si>
    <t>SZ1503679</t>
  </si>
  <si>
    <t>S-2203i09</t>
  </si>
  <si>
    <t>SZ1505639</t>
  </si>
  <si>
    <t>ETD</t>
  </si>
  <si>
    <t>D.I.</t>
  </si>
  <si>
    <t>MAERSK LIMA</t>
  </si>
  <si>
    <t>CEVA</t>
  </si>
  <si>
    <t>ETA
SSZ</t>
  </si>
  <si>
    <t>ETA FOXCONN</t>
  </si>
  <si>
    <t>REF. LOGÍSTICA / PWCE:</t>
  </si>
  <si>
    <t xml:space="preserve">colocar no quadro complementar da DI referente ao Linha Azul.
Empresa habilitada ao Regime de Despacho Aduaneiro Expresso “Linha Azul”, conforme Ato Declaratório Executivo nº 31, de 23 de maio de 2011, publicado no DOU de 26/05/2011. </t>
  </si>
  <si>
    <t xml:space="preserve">Empresa habilitada ao Regime de Despacho Aduaneiro Expresso
 “Linha Azul”, conforme Ato Declaratório Executivo nº 31, 
de 23 de maio de 2011, publicado no DOU de 26/05/2011. </t>
  </si>
  <si>
    <t>CHECK LIST</t>
  </si>
  <si>
    <t>SHIPPER</t>
  </si>
  <si>
    <t>SUPPLIER:</t>
  </si>
  <si>
    <t>PO:</t>
  </si>
  <si>
    <t>INVOICE:</t>
  </si>
  <si>
    <t>PESO BRUTO BL:</t>
  </si>
  <si>
    <t>VALOR TOTAL DA INVOICE:</t>
  </si>
  <si>
    <t>INCOTERM:</t>
  </si>
  <si>
    <t>CONDIÇÃO PAGAMENTO:</t>
  </si>
  <si>
    <t>FORWARDER:</t>
  </si>
  <si>
    <t>DESPACHANTE:</t>
  </si>
  <si>
    <t>ARMAZÉM:</t>
  </si>
  <si>
    <t>SANTOS</t>
  </si>
  <si>
    <t>H B/L</t>
  </si>
  <si>
    <t xml:space="preserve">                                 ETD:</t>
  </si>
  <si>
    <t>SOLICITAÇÃO DE L.I</t>
  </si>
  <si>
    <t xml:space="preserve"> (      ) </t>
  </si>
  <si>
    <t>DEFERIMENTO DE L.I</t>
  </si>
  <si>
    <t>(    )</t>
  </si>
  <si>
    <t>REGISTRO DA DI        _____ / _____ / _____</t>
  </si>
  <si>
    <t xml:space="preserve">(     ) </t>
  </si>
  <si>
    <r>
      <t>NOTA FISCAL N</t>
    </r>
    <r>
      <rPr>
        <vertAlign val="superscript"/>
        <sz val="12"/>
        <color indexed="8"/>
        <rFont val="Calibri"/>
        <family val="2"/>
      </rPr>
      <t>0</t>
    </r>
  </si>
  <si>
    <t xml:space="preserve">  </t>
  </si>
  <si>
    <t>CANAL</t>
  </si>
  <si>
    <t>CARREGAMENTO      _____ / _____ / _____</t>
  </si>
  <si>
    <t>N.C.M</t>
  </si>
  <si>
    <t>Observações</t>
  </si>
  <si>
    <t>PWCE:</t>
  </si>
  <si>
    <t>(  ) PO</t>
  </si>
  <si>
    <t>(    )  L I</t>
  </si>
  <si>
    <t>(   ) BL</t>
  </si>
  <si>
    <t>(   ) Fatura</t>
  </si>
  <si>
    <t>(  ) DI</t>
  </si>
  <si>
    <t>(   ) Draft p/ despesas</t>
  </si>
  <si>
    <t>(   ) Débitos</t>
  </si>
  <si>
    <t>(   ) Digitação ______________ (   ) Conferência _______________ (   ) Registro ____________</t>
  </si>
  <si>
    <t>LANÇAMENTO DÉBITOS</t>
  </si>
  <si>
    <t>I.I.</t>
  </si>
  <si>
    <t>IPI</t>
  </si>
  <si>
    <t>PIS / PASEP</t>
  </si>
  <si>
    <t>COFINS</t>
  </si>
  <si>
    <t>ANTIDUMPING</t>
  </si>
  <si>
    <t>SISCOMEX</t>
  </si>
  <si>
    <t>MULTA ou Outros</t>
  </si>
  <si>
    <t xml:space="preserve"> Supplier</t>
  </si>
  <si>
    <t>Incoterm</t>
  </si>
  <si>
    <t>Place of origin (city)</t>
  </si>
  <si>
    <t>Gross weight
AWB</t>
  </si>
  <si>
    <t>GL date</t>
  </si>
  <si>
    <t>Picked up (deliver to FF) date</t>
  </si>
  <si>
    <t>DI register date</t>
  </si>
  <si>
    <t>Adições</t>
  </si>
  <si>
    <t>Multa</t>
  </si>
  <si>
    <t>Original</t>
  </si>
  <si>
    <t>Presença de carga</t>
  </si>
  <si>
    <t>SIGVIG</t>
  </si>
  <si>
    <t>Qtd.  Paletes</t>
  </si>
  <si>
    <t>Terminal Atracação</t>
  </si>
  <si>
    <t>Quantidade de Container:</t>
  </si>
  <si>
    <t>PALETES</t>
  </si>
  <si>
    <t>NAVIO</t>
  </si>
  <si>
    <t>Numerário</t>
  </si>
  <si>
    <t>Taxa Seguro</t>
  </si>
  <si>
    <t>DEMURRAGE</t>
  </si>
  <si>
    <t>HUAWEI</t>
  </si>
  <si>
    <t>GUILHERME</t>
  </si>
  <si>
    <t>48-10561</t>
  </si>
  <si>
    <t>HWC2019010867087
HWC2019010867088</t>
  </si>
  <si>
    <t>FBRLA</t>
  </si>
  <si>
    <t>FIT</t>
  </si>
  <si>
    <t>PCEBG</t>
  </si>
  <si>
    <t>Contatos</t>
  </si>
  <si>
    <t>Referencias</t>
  </si>
  <si>
    <t>ana.souza@foxconn.com
maria.buzanello@foxconn.com</t>
  </si>
  <si>
    <t>daiany.borges@foxconn.com
fabiana.oliveira@foxconn.com
rita.cassia@foxconn.com</t>
  </si>
  <si>
    <t>AAS-</t>
  </si>
  <si>
    <t>SAS-</t>
  </si>
  <si>
    <t>AMRO-</t>
  </si>
  <si>
    <t>SMRO-</t>
  </si>
  <si>
    <t>AD-</t>
  </si>
  <si>
    <t>AE-</t>
  </si>
  <si>
    <t>SD-</t>
  </si>
  <si>
    <t>SE-</t>
  </si>
  <si>
    <t>AFIT-</t>
  </si>
  <si>
    <t>SFIT-</t>
  </si>
  <si>
    <t>wilson.camargo@foxconn.com
regina.bernardo@foxconn.com</t>
  </si>
  <si>
    <t>Unidades de negócios</t>
  </si>
  <si>
    <t xml:space="preserve">*Faturamento semanal separado por Unidade (enviar o faturamento por email com: boleto, fatura e cópias dos CTEs para conferencia) </t>
  </si>
  <si>
    <t>Para os impostos suspensos pegar os valores na DI (IPI Suspenso + ICM exonerado)</t>
  </si>
  <si>
    <t>Para o calculo do GRIS considerar: (Valor total da NF + IPI Suspenso + ICMS exonerado)*0,02%</t>
  </si>
  <si>
    <t>*Se a DI não tiver nenhum imposto suspenso ou exonerado então o valor a considerar para o calculo do GRIS é somente o valor total da(s) NF(s)</t>
  </si>
  <si>
    <t>*Para os embarques marítimos considerar o mesmo calculo adicionando apenas o valor do casco do container:</t>
  </si>
  <si>
    <t>(Valor total da NF + IPI Suspenso + ICMS exonerado + R$ 50000,00 de casco de ctn)*0,02%</t>
  </si>
  <si>
    <t>*Calculo do GRIS: valor total da nota fiscal + impostos suspensos (se houver). Segue abaixo o local que vcs obterão as informações:</t>
  </si>
  <si>
    <t>*No campo de observação do CTE colocar os valores dos impostos suspensos e casco do container (R$ 50K padrão) para podermos conferir o calculo</t>
  </si>
  <si>
    <t>CT-E</t>
  </si>
  <si>
    <t xml:space="preserve"> DI</t>
  </si>
  <si>
    <t>Data DI</t>
  </si>
  <si>
    <t xml:space="preserve"> Ref. Cli.</t>
  </si>
  <si>
    <t xml:space="preserve">   Ref. Comissaria</t>
  </si>
  <si>
    <t>MAWB</t>
  </si>
  <si>
    <t>QTD. Vol.</t>
  </si>
  <si>
    <t>Peso</t>
  </si>
  <si>
    <t>NF'S</t>
  </si>
  <si>
    <t>Vlr Mercadoria</t>
  </si>
  <si>
    <t>Saída origem</t>
  </si>
  <si>
    <t>Data chegada</t>
  </si>
  <si>
    <t>Horário</t>
  </si>
  <si>
    <t>Veículo Carregado</t>
  </si>
  <si>
    <t xml:space="preserve">Veículo  Cobrado </t>
  </si>
  <si>
    <t>Placa do Veículo</t>
  </si>
  <si>
    <t>Motorista</t>
  </si>
  <si>
    <t>Escolta</t>
  </si>
  <si>
    <t>*Abaixo estão os campos que precisamos que constem na planilha de status diária:</t>
  </si>
  <si>
    <t>e as NFs precisam refletir exatamente o pallet que estará em cada veiculo. Por favor, nunca dividam o mesmo embarque (DI) em mais de um veiculo se a NF não corresponder com o que está fisicamente no veiculo</t>
  </si>
  <si>
    <t xml:space="preserve">*Temos alguns embarques que precisarão ser divididos em mais de um veiculo devido a quantidade alta de volumes ou valor, sempre que essa situação ocorrer nós iremos informar qual pallet deve ser carregado em cada veiculo </t>
  </si>
  <si>
    <t>MSC Elma</t>
  </si>
  <si>
    <t>Brasil Terminais</t>
  </si>
  <si>
    <t>TKT</t>
  </si>
  <si>
    <t>19/0271332-1</t>
  </si>
  <si>
    <t>HWC2019022648742
HWC2019022648743
HWC2019022648744
HWC2019022648745
HWC2019022648746
HWC2019022648747
HWC2019022648748
HWC2019022648631
HWC2019022648632
HWC2019022648633
HWC2019022648634
HWC2019022648635
HWC2019022648636</t>
  </si>
  <si>
    <t>HWC2019022853404
HWC2019022853406
HWC2019022853405</t>
  </si>
  <si>
    <t>13
(111 caixas)</t>
  </si>
  <si>
    <t>3
(29 caixas)</t>
  </si>
  <si>
    <t>48-11075
48-11076
48-11077</t>
  </si>
  <si>
    <t>48-11050
48-11051
48-11052
48-11053
48-11054
48-11055
48-11056
48-11057
48-11058
48-11059
48-11060
48-11061
48-11062</t>
  </si>
  <si>
    <t>COSCO SHIPPING THAMES</t>
  </si>
  <si>
    <t>48-11131
48-11132
48-11134
48-11135
48-11136
48-11137
48-11138
48-11139
48-11140
48-11141
48-11142
48-11143</t>
  </si>
  <si>
    <t>HWC2019031171419
HWC2019031171420
HWC2019031171421
HWC2019031171422
HWC2019031171423
HWC2019031171424
HWC2019031171425
HWC2019031171426
HWC2019031171427
HWC2019031171428
HWC2019031171429
HWC2019031171430</t>
  </si>
  <si>
    <t xml:space="preserve">
118 caixas</t>
  </si>
  <si>
    <t>DAP</t>
  </si>
  <si>
    <t>48-11169
48-11171
48-11170
48-11167
48-11168</t>
  </si>
  <si>
    <t>HWC2019031478841
HWC2019031478842
HWC2019031478843
HWC2019031478844
HWC2019031478861</t>
  </si>
  <si>
    <t>47 caixas</t>
  </si>
  <si>
    <t>SAN FRANCISCA
910W</t>
  </si>
  <si>
    <t>Produção</t>
  </si>
  <si>
    <t>Cntr 20'</t>
  </si>
  <si>
    <t>Cntr 40'</t>
  </si>
  <si>
    <t>FOB USD</t>
  </si>
  <si>
    <t>Frete USD</t>
  </si>
  <si>
    <t>Seguro USD</t>
  </si>
  <si>
    <t>CIF USD</t>
  </si>
  <si>
    <t>Dolar DI</t>
  </si>
  <si>
    <t>CIF BRL</t>
  </si>
  <si>
    <t>Tx/ SISCOMEX</t>
  </si>
  <si>
    <t>Chegada FBR</t>
  </si>
  <si>
    <t>Frete Nacional</t>
  </si>
  <si>
    <t>Impostos</t>
  </si>
  <si>
    <t>Container</t>
  </si>
  <si>
    <t>Marinha Mercante (AFRMM)</t>
  </si>
  <si>
    <t>YANTIAN</t>
  </si>
  <si>
    <t>SAN FERNANDO
911W</t>
  </si>
  <si>
    <t>ETA SSZ:</t>
  </si>
  <si>
    <t>RRU L10
RRU L06</t>
  </si>
  <si>
    <t>SERVER L10
RRU L10
RRU L06</t>
  </si>
  <si>
    <t>48-11373
48-11374
48-11375
48-11372
48-11246</t>
  </si>
  <si>
    <t>HWC2019040115547
HWC2019040115573
HWC2019040115574
HWC2019040115548
HWC2019040115549
HWC2019040115550</t>
  </si>
  <si>
    <t>58 caixas</t>
  </si>
  <si>
    <t>RRU L10
SERVER L10</t>
  </si>
  <si>
    <t>Terminal Desemb.</t>
  </si>
  <si>
    <t>Referency</t>
  </si>
  <si>
    <t>Não</t>
  </si>
  <si>
    <t>48-11390
48-11391</t>
  </si>
  <si>
    <t>HWC2019033011750
HWC2019033011729</t>
  </si>
  <si>
    <t>SERVER L10</t>
  </si>
  <si>
    <t>91 caixas</t>
  </si>
  <si>
    <t>48-11184
48-11187</t>
  </si>
  <si>
    <t>HWC2019040217371
HWC2019040217372
HWC2019040217353
HWC2019040217354</t>
  </si>
  <si>
    <t>Shekou</t>
  </si>
  <si>
    <t>Santos Brasil</t>
  </si>
  <si>
    <t>48-11405
48-11406
48-11404
48-11215</t>
  </si>
  <si>
    <t>HWC2019040320974
HWC2019040320937
HWC2019040320938
HWC2019040320975
HWC2019040320976
HWC2019040320977</t>
  </si>
  <si>
    <t>69 caixas</t>
  </si>
  <si>
    <t>52 caixas</t>
  </si>
  <si>
    <t>MAERSK LA PAZ
913W</t>
  </si>
  <si>
    <t>CMA CGM JACQUES JUNIOR 0AA31W1MA</t>
  </si>
  <si>
    <t>Yantian</t>
  </si>
  <si>
    <t>19/0614680-4</t>
  </si>
  <si>
    <t>I.I  BRL</t>
  </si>
  <si>
    <t>Licença de Importação (L.I.)</t>
  </si>
  <si>
    <t>HWC2019040626170
HWC2019040626171
HWC2019040626172
HWC2019040626173
HWC2019040626174
HWC2019040626175
HWC2019040626157
HWC2019040626158
HWC2019040626159
HWC2019040626176</t>
  </si>
  <si>
    <t>65 caixas</t>
  </si>
  <si>
    <t>48-11224
48-11223
48-11219
48-11216
48-11431</t>
  </si>
  <si>
    <t>***CEVA***
10/01 - Recebido GL 
14/01 - contract number EMS01J10000002 / EMS01J10000002
11/02 - Navio atracado no Brasil Terminais. Ag remoção para Libra SIGVIG liberado sem necessidade de inspeção.
12/02 - Presença de carga ok. DI registrada. Canal Verde
13/02 - Providenciando cadastro de nova transportadora - ok as 16h
14/02 - Entrega programada para amanhã.
15/02 - Mercadoria entregue</t>
  </si>
  <si>
    <t>Transportadora</t>
  </si>
  <si>
    <t>MAERSK LEBU 914W</t>
  </si>
  <si>
    <t>48-11266
48-11435
48-11326
48-11348
48-11362
48-11473</t>
  </si>
  <si>
    <t>HWC2019041239808
HWC2019041239809
HWC2019041239810
HWC2019041239787
HWC2019041239811
HWC2019041239812
HWC2019041239788
HWC2019041239789
HWC2019041239790
HWC2019041239791
HWC2019041239792
HWC2019041239793</t>
  </si>
  <si>
    <t>92 caixas</t>
  </si>
  <si>
    <t>48-11462
48-11325
48-11359
48-11399
48-11418</t>
  </si>
  <si>
    <t>HWC2019041543923
HWC2019041543924
HWC2019041543925
HWC2019041543926
HWC2019041543927
HWC2019041543928
HWC2019041543885
HWC2019041543886
HWC2019041543887
HWC2019041543888
HWC2019041543929</t>
  </si>
  <si>
    <t>100 caixas</t>
  </si>
  <si>
    <t>19/0656532-8</t>
  </si>
  <si>
    <t>19/0691824-6</t>
  </si>
  <si>
    <t>MAERSK LETICIA 915W</t>
  </si>
  <si>
    <t>19/0729861-6</t>
  </si>
  <si>
    <t>28/02 - Recebido GL tender HTM2019022805742 / HTM2019022805743
01/03 - Material coletado
06/03 - Recebido PO line e SISFAC.
07/03 - Recebemos cópia BL. ETA SSZ 04/04.
11/03 - Pick up hj - ETA SSZ 14/04
16/04 - Navio atracou em 14/04, aguardando entrada
17/04 - DI registrada - canal verde
18/04 - Mercadoria Entregue</t>
  </si>
  <si>
    <t>28/02 - Recebido GL tender HTM2019022805742 / HTM2019022805743
01/03 - Material coletado
06/03 - Recebido PO line e SISFAC.
07/03 - Recebemos cópia BL. ETA SSZ 04/04.
08/04 - Aguardando o registro da DI.
12/04 - DI registrada - canal Verde 
16/04 - Aguardando definição de pagamento das taxas ao armador
18/04 - Mercadoria Entregue</t>
  </si>
  <si>
    <t>HWC2019042670893
HWC2019042670894
HWC2019042670895
HWC2019042670896
HWC2019042670876
HWC2019042670877
HWC2019042670878
HWC2019042670897
HWC2019042670898
HWC2019042670899
HWC2019042670901
HWC2019042670902
HWC2019042670879
HWC2019042670880
HWC2019042670903</t>
  </si>
  <si>
    <t>112 caixas</t>
  </si>
  <si>
    <t>48-11333
48-11591
48-11477
48-11585</t>
  </si>
  <si>
    <t>HWC2019042977280
HWC2019042977281
HWC2019042977282
HWC2019042977283
HWC2019042977284
HWC2019042977285
HWC2019042977286
HWC2019042977287</t>
  </si>
  <si>
    <t>48 caixas</t>
  </si>
  <si>
    <t>48-11464
48-11444
48-11602
48-11217
48-11331
48-11333
48-11585</t>
  </si>
  <si>
    <t>Despachante Comissão</t>
  </si>
  <si>
    <t>Despachante Adições</t>
  </si>
  <si>
    <t>Despachante Total</t>
  </si>
  <si>
    <t>Valor Por Container</t>
  </si>
  <si>
    <t>Armazenagem Santos</t>
  </si>
  <si>
    <t>I.P.I BRL</t>
  </si>
  <si>
    <t>PIS BRL</t>
  </si>
  <si>
    <t>COFINS BRL</t>
  </si>
  <si>
    <t>Multa BRL</t>
  </si>
  <si>
    <t>ICMS BRL</t>
  </si>
  <si>
    <t>Valor por Container</t>
  </si>
  <si>
    <t xml:space="preserve">Dolar DI BRL </t>
  </si>
  <si>
    <t>48-11479
48-11592
48-11475</t>
  </si>
  <si>
    <t>HWC2019050383963
HWC2019050383964
HWC2019050383965
HWC2019050383966
HWC2019050383967</t>
  </si>
  <si>
    <t>41 caixas</t>
  </si>
  <si>
    <t>SAN VICENTE 917W</t>
  </si>
  <si>
    <t>48-11522</t>
  </si>
  <si>
    <t>HWC2019050894370</t>
  </si>
  <si>
    <t>MAERSK LAGUNA 918W</t>
  </si>
  <si>
    <t>19/0832583-8</t>
  </si>
  <si>
    <t>8 caixas</t>
  </si>
  <si>
    <t>48-11604
48-11687
48-11493</t>
  </si>
  <si>
    <t>HWC2019051507695
HWC2019051507696
HWC2019051507697
HWC2019051507720
HWC2019051507721</t>
  </si>
  <si>
    <t>40 caixas</t>
  </si>
  <si>
    <t>19/0871847-3</t>
  </si>
  <si>
    <t>Peso Liq</t>
  </si>
  <si>
    <t>19/0872120-2</t>
  </si>
  <si>
    <t>19/0872472-4</t>
  </si>
  <si>
    <t>19/0872934-3</t>
  </si>
  <si>
    <t>MAERSK LONDRINA 919W</t>
  </si>
  <si>
    <t>19/0940189-9</t>
  </si>
  <si>
    <t>19/0957152-2</t>
  </si>
  <si>
    <t>48-11614</t>
  </si>
  <si>
    <t>HWC2019052522333
HWC2019052522334
HWC2019052522335
HWC2019052522336</t>
  </si>
  <si>
    <t>31 caixas</t>
  </si>
  <si>
    <t>Qtd.  Caixas</t>
  </si>
  <si>
    <t>Panalpina</t>
  </si>
  <si>
    <t>MAERSK LIMA 921W</t>
  </si>
  <si>
    <t>19/1017351-9</t>
  </si>
  <si>
    <t>19/1016936-8</t>
  </si>
  <si>
    <t>19/1065018-0</t>
  </si>
  <si>
    <t>19/1064865-7</t>
  </si>
  <si>
    <t>TNT</t>
  </si>
  <si>
    <t>19/1126095-4</t>
  </si>
  <si>
    <t>48-11693
48-11695
48-11696
48-11698</t>
  </si>
  <si>
    <t>HWC2019062466573
HWC2019062466553
HWC2019062466574
HWC2019062466575</t>
  </si>
  <si>
    <t>13 caixas</t>
  </si>
  <si>
    <t>MAERSK LIRQUEN 925W</t>
  </si>
  <si>
    <t>48-11619</t>
  </si>
  <si>
    <t>HWC2019070176151
HWC2019070176152
HWC2019070176153
HWC2019070176154</t>
  </si>
  <si>
    <t>32 caixas</t>
  </si>
  <si>
    <t>19/1182319-3</t>
  </si>
  <si>
    <t>MAERSK LA PAZ 926W</t>
  </si>
  <si>
    <t>48-11982</t>
  </si>
  <si>
    <t>COSU6205173440</t>
  </si>
  <si>
    <t>CMA CGM CARL ANTOINE 010W</t>
  </si>
  <si>
    <t>RRU L10</t>
  </si>
  <si>
    <t>HWC2019042976897
HWC2019050997373</t>
  </si>
  <si>
    <t>48-12137
48-11839
48-11895
48-12026
48-12027
48-11617
48-12030
48-11826
48-11827
48-11828
48-11829</t>
  </si>
  <si>
    <t>HWC2019072512318
HWC2019072512319
HWC2019072512320
HWC2019072512336
HWC2019072512337
HWC2019072512338
HWC2019072512339
HWC2019072512340
HWC2019072512341
HWC2019072512342
HWC2019072512343
HWC2019072512344
HWC2019072512361
HWC2019072512362</t>
  </si>
  <si>
    <t>19/1366427-0</t>
  </si>
  <si>
    <t>MOL BEAUTY 929W</t>
  </si>
  <si>
    <t>25/06 - Email Fernanda Huawei - Boa tarde Clara,
Conforme anexo, vocês irão nacionalizar um material que chegou em SSZ no dia 13/06. O material está congisnado à Flex porém será alterado para Foxconn.
19/07 - Enviado para Original digitar - aguardando Invoice revisada.
PL: 00H08310001454HWA03H / 00H08310001496HWA02H
22/07 - Recebidas Invoices revisadas sem valor de seguro.
25/07 - Invoices revisadas encaminhadas para Original.
29/07 - DI Registrada - Canal verde - entrega programada para 30/07.
30/07 - Material entregue.</t>
  </si>
  <si>
    <t>HWC2019073121042
HWC2019073121043
HWC2019073121044
HWC2019073121045
HWC2019073121046</t>
  </si>
  <si>
    <t>48-12092
48-12134</t>
  </si>
  <si>
    <t>MSC BANU 932A</t>
  </si>
  <si>
    <t>48-12132
48-12130
48-12152</t>
  </si>
  <si>
    <t>HWC2019080630970
HWC2019080630971
HWC2019080630972</t>
  </si>
  <si>
    <t>SERVER L10
BBU L10
GPON</t>
  </si>
  <si>
    <t>19/1426576-0</t>
  </si>
  <si>
    <t>Liberado</t>
  </si>
  <si>
    <t>MAERSK LAGUNA 931W</t>
  </si>
  <si>
    <t>48-12131
48-12218
48-12219
48-12220
48-12221
48-12190</t>
  </si>
  <si>
    <t>HWC2019080936227
HWC2019080936228
HWC2019080936245
HWC2019080936246
HWC2019080936247
HWC2019080936229
HWC2019080936230</t>
  </si>
  <si>
    <t>BBU L10</t>
  </si>
  <si>
    <t>19/1464650-0</t>
  </si>
  <si>
    <t>48-12188
48-12189
48-12203
48-12204
48-12205
48-12206</t>
  </si>
  <si>
    <t>HWC2019080936757
HWC2019080936758
HWC2019080936759
HWC2019080936760
HWC2019080936761
HWC2019080936762</t>
  </si>
  <si>
    <t>CROATIA / 932W</t>
  </si>
  <si>
    <t>BTP</t>
  </si>
  <si>
    <t>Deicmar</t>
  </si>
  <si>
    <t>48-12317
48-12316
48-12197
48-12198
48-12199
48-12200
48-12201
48-12202
48-12233
48-12234</t>
  </si>
  <si>
    <t>HWC2019082154021
HWC2019082154020
HWC2019082154022
HWC2019082154023
HWC2019082154024
HWC2019082154025
HWC2019082154026
HWC2019082154027
HWC2019082154028
HWC2019082154029
HWC2019082154030
HWC2019082154031</t>
  </si>
  <si>
    <t>RRU L06
RRU L10
BBU L10
GPON</t>
  </si>
  <si>
    <t>48-12338
48-12339
48-12340</t>
  </si>
  <si>
    <t>HWC2019082660206
HWC2019082660251
HWC2019082660252
HWC2019082660253
HWC2019082660204
HWC2019082660205</t>
  </si>
  <si>
    <t>RRU L06
RRU L10</t>
  </si>
  <si>
    <t>MSC SOFIA CELESTE 933A</t>
  </si>
  <si>
    <t>19/1588942-3</t>
  </si>
  <si>
    <t>MAERSK LIMA 934W</t>
  </si>
  <si>
    <t>48-12368
48-12369
48-12236
48-12237
48-12238
48-12239
48-12240
48-12241
48-12242
48-12244
48-12245</t>
  </si>
  <si>
    <t>HWC2019082966081
HWC2019082966082
HWC2019082966083
HWC2019082966084
HWC2019082966085
HWC2019082966086
HWC2019082966087
HWC2019082966088
HWC2019082966089
HWC2019082966090
HWC2019082966091</t>
  </si>
  <si>
    <t>RRU L10
BBU L10</t>
  </si>
  <si>
    <t>CZECH 934W</t>
  </si>
  <si>
    <t>19/1667530-3</t>
  </si>
  <si>
    <t>19/1692149-5</t>
  </si>
  <si>
    <t>19/1730135-0</t>
  </si>
  <si>
    <t>19/1730440-6</t>
  </si>
  <si>
    <t>48-12370
48-12372
48-12208
48-12396
48-12397</t>
  </si>
  <si>
    <t>HWC2019092000227
HWC2019092000228
HWC2019092000229
HWC2019092000230
HWC2019092000251</t>
  </si>
  <si>
    <t>MSC GISELLE 937A</t>
  </si>
  <si>
    <t>SERVER
BBU L10
RRU L10</t>
  </si>
  <si>
    <t>48-12450
48-12398
48-12169
48-12171
48-12173
48-12175
48-12176
48-12177
48-12178</t>
  </si>
  <si>
    <t>HWC2019092916012
HWC2019092915930
HWC2019092915931
HWC2019092915932
HWC2019092915933
HWC2019092915934
HWC2019092915935
HWC2019092916013
HWC2019092916014</t>
  </si>
  <si>
    <t>19/1854434-6</t>
  </si>
  <si>
    <t>19/1855358-2</t>
  </si>
  <si>
    <t>19/1855645-0</t>
  </si>
  <si>
    <t>48-12448</t>
  </si>
  <si>
    <t>HWC2019100723131
HWC2019100723157
HWC2019100723158</t>
  </si>
  <si>
    <t>Ref.: Logística</t>
  </si>
  <si>
    <t>MAERSK LEBU 940W</t>
  </si>
  <si>
    <t>Armazenagem
dias úteis</t>
  </si>
  <si>
    <t>48-12528
48-12530</t>
  </si>
  <si>
    <t>HWC2019101437392
HWC2019101437393
HWC2019101437371</t>
  </si>
  <si>
    <t>SERVER</t>
  </si>
  <si>
    <t>KOTA PEMIMPIN 941W</t>
  </si>
  <si>
    <t>Retido</t>
  </si>
  <si>
    <t>19/1983114-4</t>
  </si>
  <si>
    <t>48-12575
48-12578
48-12579
48-12580
48-12581
48-12583</t>
  </si>
  <si>
    <t>HWC2019102661684
HWC2019102661674
HWC2019102661685
HWC2019102661675
HWC2019102661676
HWC2019102661686</t>
  </si>
  <si>
    <t>MOL BEAUTY 942W</t>
  </si>
  <si>
    <t>GSL ELENI 939W / 
Navio Maersk La Paz 939W</t>
  </si>
  <si>
    <t>48-12564
48-12602</t>
  </si>
  <si>
    <t>HWC2019110175482
HWC2019110175483
HWC2019110175484
HWC2019110175485
HWC2019110175486
HWC2019110276988</t>
  </si>
  <si>
    <t>SERVER
RRU L10</t>
  </si>
  <si>
    <t>19/2043541-9</t>
  </si>
  <si>
    <t>CMA CGM CARL ANTOINE 0AA4PW1MA</t>
  </si>
  <si>
    <t>EGLV149905336932</t>
  </si>
  <si>
    <t>48-12618
48-12612
48-12608
48-12606
48-12663</t>
  </si>
  <si>
    <t>HWC2019111192956
HWC2019111192957
HWC2019111192958
HWC2019111192959
HWC2019111192960
HWC2019111193021
HWC2019111193022</t>
  </si>
  <si>
    <t>19/2100056-4</t>
  </si>
  <si>
    <t>48-12556
48-12700
48-12710
48-12622
48-12618
48-12617
48-12612
48-12610
48-12602</t>
  </si>
  <si>
    <t>HWC2019110990636
HWC2019110990637
HWC2019110990638
HWC2019110990639
HWC2019110990640
HWC2019110990641
HWC2019110990642
HWC2019110990643
HWC2019110990644
HWC2019110990645
HWC2019110990646
HWC2019110990647
HWC2019110990648</t>
  </si>
  <si>
    <t>STORAGE
SERVER
RRU L10
RRU L06</t>
  </si>
  <si>
    <t>EGLV149905443178</t>
  </si>
  <si>
    <t>CMA CGM CORNEILLE
0BD59W1MA</t>
  </si>
  <si>
    <t>EGLV149905443399</t>
  </si>
  <si>
    <t>VALENCE 1355
027W</t>
  </si>
  <si>
    <t>48-12591
48-12592
48-12622
48-12612
48-12678</t>
  </si>
  <si>
    <t>HWC2019111501216
HWC2019111501214
HWC2019111501215
HWC2019111501218
HWC2019111501217</t>
  </si>
  <si>
    <t>BBU L06
RRU L10
RRU L06</t>
  </si>
  <si>
    <t>48-12787</t>
  </si>
  <si>
    <t>HWC2019111807905</t>
  </si>
  <si>
    <t>KOTA LAYANG 0072W</t>
  </si>
  <si>
    <t>EGLV149904754552</t>
  </si>
  <si>
    <t>COSCO SHIPPING THAMES 012W</t>
  </si>
  <si>
    <t>EGLV149904757527</t>
  </si>
  <si>
    <t>19/2161333-7</t>
  </si>
  <si>
    <t>48-12790
48-12800
48-12808
48-12765
48-12766
48-12796
48-12798</t>
  </si>
  <si>
    <t>HWC2019112520161
HWC2019112520162
HWC2019112520163
HWC2019112520154
HWC2019112520164
HWC2019112520157
HWC2019112520158
HWC2019112520159
HWC2019112520160
HWC2019112520155
HWC2019112520156
HWC2019112520151
HWC2019112520150
HWC2019112520153
HWC2019112520152</t>
  </si>
  <si>
    <t>SERVER
STORAGE
RRU L10
RRU L06</t>
  </si>
  <si>
    <t>KOTA LAHIR 0122W</t>
  </si>
  <si>
    <t>EGLV149905702432</t>
  </si>
  <si>
    <t>48-12678
48-12669
48-12767
48-12768
48-12769</t>
  </si>
  <si>
    <t>HWC2019113031097
HWC2019113031098
HWC2019113031099
HWC2019113031120
HWC2019113031093
HWC2019113031094
HWC2019113031095
HWC2019113031096</t>
  </si>
  <si>
    <t>Embraport</t>
  </si>
  <si>
    <t>19/2249980-5</t>
  </si>
  <si>
    <t>EGLV149905837028</t>
  </si>
  <si>
    <t>VALOR 1358-028W</t>
  </si>
  <si>
    <t>DP World</t>
  </si>
  <si>
    <t>48-12824
48-12859
48-12866
48-12586
48-12587
48-12691
48-12689
48-12675
48-12769
48-12850</t>
  </si>
  <si>
    <t>HWC2019120943998
HWC2019120943999
HWC2019120944020
HWC2019120943991
HWC2019120944070
HWC2019120943994
HWC2019120943995
HWC2019120943996
HWC2019120943997
HWC2019120943992
HWC2019120943993
HWC2019120943988
HWC2019120943990
HWC2019120943989</t>
  </si>
  <si>
    <t>SERVER
BBU L10
RRU L10
RRU L06</t>
  </si>
  <si>
    <t>COSCO NEW YORK 107W</t>
  </si>
  <si>
    <t>EGLV149905568418</t>
  </si>
  <si>
    <t>19/2299036-3</t>
  </si>
  <si>
    <t>48-12593
48-12674
48-12672
48-12851
48-12852
48-12853</t>
  </si>
  <si>
    <t>HWC2019121453240
HWC2019121453241
HWC2019121453242
HWC2019121453233
HWC2019121453243
HWC2019121453236
HWC2019121453237
HWC2019121453238
HWC2019121453239
HWC2019121453234
HWC2019121453235
HWC2019121453232</t>
  </si>
  <si>
    <t>BBU L10
RRU L10
RRU L06</t>
  </si>
  <si>
    <t>19/2338877-2</t>
  </si>
  <si>
    <t>DP WORLD</t>
  </si>
  <si>
    <t>19/2337939-0</t>
  </si>
  <si>
    <t>DPWORLD</t>
  </si>
  <si>
    <t>CMA CGM JACQUES JUNIOR 0AA51W1MA</t>
  </si>
  <si>
    <t>EGLV149906203481</t>
  </si>
  <si>
    <t>48-12682
48-12681
48-12674
48-13021</t>
  </si>
  <si>
    <t>HWC2020010375509
HWC2020010375510
HWC2020010375511
HWC2020010375497
HWC2020010375507
HWC2020010375508</t>
  </si>
  <si>
    <t>BBU L10
RRU L10</t>
  </si>
  <si>
    <t>48-12672
48-12914
48-12954
48-12953</t>
  </si>
  <si>
    <t>HWC2020010679905
HWC2020010679906
HWC2020010679877
HWC2020010679907
HWC2020010679876</t>
  </si>
  <si>
    <t>48-12854
48-12914
48-12915
48-12948
48-12947
48-12946</t>
  </si>
  <si>
    <t>HWC2019122162384
HWC2019122162385
HWC2019122162386
HWC2019122162357
HWC2019122162387
HWC2019122162380
HWC2019122162381
HWC2019122162382
HWC2019122162383
HWC2019122162358
HWC2019122162359
HWC2019122162356</t>
  </si>
  <si>
    <t>20/0028550-2</t>
  </si>
  <si>
    <t>20/0030836-7</t>
  </si>
  <si>
    <t>20/0031587-8</t>
  </si>
  <si>
    <t>SWITZERLAND 114W</t>
  </si>
  <si>
    <t>EGLV149906393662</t>
  </si>
  <si>
    <t>20/0051354-8</t>
  </si>
  <si>
    <t>48-12665
48-12855
48-12856
48-12913
48-12916
48-12994</t>
  </si>
  <si>
    <t>HWC2020010885928
HWC2020010885929
HWC2020010885930
HWC2020010885921
HWC2020010885931
HWC2020010885924
HWC2020010885925
HWC2020010885926
HWC2020010885927
HWC2020010885922
HWC2020010885923
HWC2020010885920</t>
  </si>
  <si>
    <t>48-12674
48-12672
48-12917
48-12992
48-12993
48-12994
48-13001</t>
  </si>
  <si>
    <t>HWC2020010988120
HWC2020010988121
HWC2020010988122
HWC2020010988123
HWC2020010988096
HWC2020010988097
HWC2020010988098
HWC2020010988099
HWC2020010988095</t>
  </si>
  <si>
    <t>48-12984
48-12985
48-12986
48-12988
48-13023</t>
  </si>
  <si>
    <t>HWC2020011394627
 HWC2020011394628
 HWC2020011394629
 HWC2020011394630
 HWC2020011394623
 HWC2020011394624
 HWC2020011394625
 HWC2020011394626</t>
  </si>
  <si>
    <t>48-12915
48-12917
48-12956
48-12955
48-12984
48-12988
48-12992
48-13001</t>
  </si>
  <si>
    <t>HWC2020011191554
HWC2020011191555
HWC2020011191556
HWC2020011191557
HWC2020011191550
HWC2020011191551
HWC2020011191552
HWC2020011191553
HWC2020011191548
HWC2020011191549</t>
  </si>
  <si>
    <t>RRU L10
RRU L06
BBU L10</t>
  </si>
  <si>
    <t>20/0077662-0</t>
  </si>
  <si>
    <t>SEAMAX ROWAYTON 0014W</t>
  </si>
  <si>
    <t>EGLV149000165858</t>
  </si>
  <si>
    <t>48-12917
48-12976
48-12982
48-12983
48-12985
48-12986
48-12988</t>
  </si>
  <si>
    <t>HWC2020011706229
HWC2020011706230
HWC2020011706231
HWC2020011706232
HWC2020011706225
HWC2020011706226
HWC2020011706227
HWC2020011706228</t>
  </si>
  <si>
    <t>48-12976
48-12984
48-12985
48-12986
48-12988</t>
  </si>
  <si>
    <t>HWC2020011603004
HWC2020011603005
HWC2020011603006
HWC2020011603007
HWC2020011603001
HWC2020011603002
HWC2020011603003</t>
  </si>
  <si>
    <t>ITAL LUNARE 0042 -093W</t>
  </si>
  <si>
    <t>EGLV149000195986</t>
  </si>
  <si>
    <t>VANTAGE - 1364 - 030W</t>
  </si>
  <si>
    <t>EGLV149000195391</t>
  </si>
  <si>
    <t>EGLV149906444046</t>
  </si>
  <si>
    <t>EGLV149000176060</t>
  </si>
  <si>
    <t>48-12982
48-12983
48-13000
48-13023</t>
  </si>
  <si>
    <t>HWC2020012013802
HWC2020012013821
HWC2020012013822
HWC2020012013823
HWC2020012013801
HWC2020012013800</t>
  </si>
  <si>
    <t>20/0128381-3</t>
  </si>
  <si>
    <t>16/12 - Tender HTM2019121402994
PL: EMS02R10000363HWA02H / EMS02R10000363HWA03H / EMS02R10000364HWA02H / EMS02R10000307HWA01H / EMS02R10000364HWA03H / EMS02R10000364HWA01H / EMS02R10000306HWA03H / EMS02R10000362HWA02H / EMS02R10000362HWA03H / EMS02R10000362HWA01H / EMS02R10000363HWA01H / EMS02R10000266HWA01H
17/12 - Material coletado em 2019-12-15 13:51:38 - ETA SSZ 2020-01-16
20/12 - Recebida cópia do BL - encaminhada para Original.
Container ID FFAU1275242 / FFAU1276681
20/01 - Data entrada - 17/01/2020 - 22:09:05
Status SIGVIG: Liberado
Processo com divergência dentro dos 10%.
21/01 - DI registrada - Canal verde - entrega programada para 22/01.
22/01 - Material entregue.</t>
  </si>
  <si>
    <t>20/0170102-0</t>
  </si>
  <si>
    <t>EGLV149906438941</t>
  </si>
  <si>
    <t>VALIANT 1365 -028W</t>
  </si>
  <si>
    <t>COSCO DURBAN 082 W</t>
  </si>
  <si>
    <t>EGLV149000254745</t>
  </si>
  <si>
    <t>EGLV149000234396</t>
  </si>
  <si>
    <t>EGLV149000234361</t>
  </si>
  <si>
    <t>20/0259586-0</t>
  </si>
  <si>
    <t>48-12836
48-13116
48-13123
48-13133
48-13134
48-13135
48-13165
48-13166</t>
  </si>
  <si>
    <t>HWC2020021344156
HWC2020021344157
HWC2020021344158
HWC2020021344153
HWC2020021344168
HWC2020021344154
HWC2020021344155
HWC2020021344166
HWC2020021344167
HWC2020021344164
HWC2020021344165</t>
  </si>
  <si>
    <t>DPWorld</t>
  </si>
  <si>
    <t>20/0313764-4</t>
  </si>
  <si>
    <t>20/0313293-6</t>
  </si>
  <si>
    <t>20/0312782-7</t>
  </si>
  <si>
    <t>20/0313451-3</t>
  </si>
  <si>
    <t>20/0313024-0</t>
  </si>
  <si>
    <t>48-13105
48-13107
48-13108
48-13111
48-13114
48-13118
48-13119
48-13120
48-13134
48-13171</t>
  </si>
  <si>
    <t>HWC2020022666618
HWC2020022666619
HWC2020022666620
HWC2020022666621
HWC2020022666614
HWC2020022666615
HWC2020022666616
HWC2020022666617
HWC2020022666612
HWC2020022666613</t>
  </si>
  <si>
    <t>COSCO SHIPPING THAMES  013W</t>
  </si>
  <si>
    <t>EGLV149000309043</t>
  </si>
  <si>
    <t>20/0349296-7</t>
  </si>
  <si>
    <t>20/0349715-2</t>
  </si>
  <si>
    <t>48-13103
48-13104
48-13114
48-13116
48-13117
48-13118
48-13120
48-13122
48-13123
48-13134
48-13136
48-13157
48-13165
48-13166
48-13179
48-13193
48-13211
48-13212</t>
  </si>
  <si>
    <t xml:space="preserve">HWC2020022259692
HWC2020022259694
HWC2020022259689
HWC2020022259693
HWC2020022259711
HWC2020022259710
HWC2020022259713 
HWC2020022259712 
HWC2020022259715 
HWC2020022259714 
HWC2020022259723 
HWC2020022259690 
HWC2020022259695 
HWC2020022259691 
HWC2020022259696 
HWC2020022259716 
HWC2020022259697 
HWC2020022259719 
HWC2020022259720 
HWC2020022259721 
HWC2020022259722 
HWC2020022259717 
HWC2020022259718 </t>
  </si>
  <si>
    <t>20/0367790-8</t>
  </si>
  <si>
    <t>HWC2020022974108
HWC2020022974109
HWC2020022974110
HWC2020022974111
HWC2020022974105
HWC2020022974106
HWC2020022974107</t>
  </si>
  <si>
    <t>48-13106
48-13109
48-13110
48-13158
48-13172</t>
  </si>
  <si>
    <t>COSCO SHIPPING VOLGA  014W</t>
  </si>
  <si>
    <t>EGLV149000552525</t>
  </si>
  <si>
    <t>EGLV149000566623</t>
  </si>
  <si>
    <t>HWC2020030584081
HWC2020030584082
HWC2020030584070
HWC2020030584083
HWC2020030584069
HWC2020030584060</t>
  </si>
  <si>
    <t>48-13119
48-13122
48-13138
48-13172
48-13173
48-13174</t>
  </si>
  <si>
    <t>48-13134
48-13137
48-13157</t>
  </si>
  <si>
    <t>HWC2020030684689
HWC2020030684688
HWC2020030684690</t>
  </si>
  <si>
    <t>SAN VICENTE 008W</t>
  </si>
  <si>
    <t>EVER SMILE 1372 - 095W</t>
  </si>
  <si>
    <t>EGLV149000661804</t>
  </si>
  <si>
    <t>EGLV149000662134</t>
  </si>
  <si>
    <t>HWC2020031196165
HWC2020031196164
HWC2020031196167
HWC2020031196166
HWC2020031196168
HWC2020031196146
HWC2020031196173
HWC2020031196174
HWC2020031196175
HWC2020031196169
HWC2020031196176
HWC2020031196148
HWC2020031196149
HWC2020031196171
HWC2020031196172
HWC2020031196170
HWC2020031196147</t>
  </si>
  <si>
    <t>48-13121
48-13157
48-13163
48-13168
48-13173
48-13196
48-13198
48-13199
48-13200
48-13216
48-13217
48-13283
48-13293
48-13294
48-13309
48-13310</t>
  </si>
  <si>
    <t>RRU L10
BBU L06</t>
  </si>
  <si>
    <t>HWC2020031301599
HWC2020031301600
HWC2020031301661
HWC2020031301662
HWC2020031301598</t>
  </si>
  <si>
    <t>48-13158
48-13164
48-13220
48-13221
48-13297</t>
  </si>
  <si>
    <t>48-13163
48-13164
48-13238</t>
  </si>
  <si>
    <t>HWC2020031403781
HWC2020031403782
HWC2020031403783</t>
  </si>
  <si>
    <t>MSC LILY 010A</t>
  </si>
  <si>
    <t>EGLV149000814040</t>
  </si>
  <si>
    <t>ANTHEA Y 022W</t>
  </si>
  <si>
    <t>48-13399
48-13158
48-13159
48-13160
48-13161
48-13200
48-13386
48-13338
48-13348
48-13349
48-13376</t>
  </si>
  <si>
    <t>HWC2020031607375
HWC2020031607376
HWC2020031607377
HWC2020031607368
HWC2020031607378
HWC2020031607371
HWC2020031607372
HWC2020031607373
HWC2020031607374
HWC2020031607369
HWC2020031607370
HWC2020031607367</t>
  </si>
  <si>
    <t>STORAGE
RRU L06
RRU L10
BBU L06
BBU L10</t>
  </si>
  <si>
    <t>MSC GISELLE 011A</t>
  </si>
  <si>
    <t>20/0545895-2</t>
  </si>
  <si>
    <t>STORAGE
RRU L10
BBU L10</t>
  </si>
  <si>
    <t>48-13399
48-13401
48-13408
48-13371
48-13159
48-13162
48-13163
48-13164
48-13199
48-13192
48-13209
48-13210
48-13213
48-13234
48-13235
48-13236
48-13237
48-13238
48-13278
48-13286
48-13298
48-13302
48-13303
48-13304
48-13348
48-13349
48-13352
48-13353
48-13354
48-13377
48-13378
48-13379</t>
  </si>
  <si>
    <t>EGLV149000923329</t>
  </si>
  <si>
    <t>CMA CGM JACQUES JUNIOR 0AA5TW1MA</t>
  </si>
  <si>
    <t>HWC2020032017226
HWC2020032017225
HWC2020032017228
HWC2020032017227
HWC2020032017222
HWC2020032017224
HWC2020032017223
HWC2020032017239
HWC2020032017238
HWC2020032017237
HWC2020032017236
HWC2020032017235
HWC2020032017234
HWC2020032017233
HWC2020032017232
HWC2020032017258
HWC2020032017259
HWC2020032017260
HWC2020032017261
HWC2020032017231
HWC2020032017254
HWC2020032017255
HWC2020032017229
HWC2020032017256
HWC2020032017230
HWC2020032017257
HWC2020032017252
HWC2020032017253
HWC2020032017242
HWC2020032017244
HWC2020032017243
HWC2020032017246
HWC2020032017245
HWC2020032017248
HWC2020032017247
HWC2020032017250
HWC2020032017249
HWC2020032017240
HWC2020032017241
HWC2020032017251
HWC2020032017192 
HWC2020032017193 
HWC2020032017196 
HWC2020032017197 
HWC2020032017194 
HWC2020032017195 
HWC2020032017198 
HWC2020032017199 
HWC2020032017200 
HWC2020032017221</t>
  </si>
  <si>
    <t>20/0558338-2</t>
  </si>
  <si>
    <t>48-13399
48-13400
48-13161
48-13210
48-13214
48-13237
48-13279
48-13305
48-13306
48-13307
48-13445
48-13448
48-13333
48-13335
48-13336
48-13353
48-13355
48-13363
48-13382</t>
  </si>
  <si>
    <t>HWC2020032833228
HWC2020032833225
HWC2020032833230
HWC2020032833224
HWC2020032833229
HWC2020032833232
HWC2020032833231
HWC2020032833234
HWC2020032833233
HWC2020032833236
HWC2020032833235
HWC2020032833226
HWC2020032833244
HWC2020032833245
HWC2020032833227
HWC2020032833246
HWC2020032833237
HWC2020032833247
HWC2020032833240
HWC2020032833241
HWC2020032833242
HWC2020032833243
HWC2020032833238
HWC2020032833239</t>
  </si>
  <si>
    <t>STORAGE
RRU L10
RRU L06
BBU L10
BBU L06</t>
  </si>
  <si>
    <t>HWC2020032527230
HWC2020032527232
HWC2020032527231
HWC2020032527249
HWC2020032527233
HWC2020032527251
HWC2020032527250
HWC2020032527253
HWC2020032527252
HWC2020032527228
HWC2020032527229
HWC2020032527248
HWC2020032527240
HWC2020032527261
HWC2020032527262
HWC2020032527254
HWC2020032527263
HWC2020032527236
HWC2020032527237
HWC2020032527238
HWC2020032527239
HWC2020032527234
HWC2020032527235
HWC2020032527247
HWC2020032527246
HWC2020032527245
HWC2020032527244</t>
  </si>
  <si>
    <t>48-13399
48-13401
48-13121
48-13162
48-13200
48-13213
48-13214
48-13235
48-13236
48-13286
48-13302
48-13303
48-13308
48-13447
48-13331
48-13350
48-13351
48-13354</t>
  </si>
  <si>
    <t>STORAGE</t>
  </si>
  <si>
    <t>EGLV149000729131</t>
  </si>
  <si>
    <t>SWITZERLAND 115W</t>
  </si>
  <si>
    <t>EGLV149001052330</t>
  </si>
  <si>
    <t>HWC2020040546995
HWC2020040546996
HWC2020040546997
HWC2020040546998
HWC2020040546991
HWC2020040546992
HWC2020040546993
HWC2020040546994
HWC2020040546989
HWC2020040546990</t>
  </si>
  <si>
    <t xml:space="preserve">48-13224
48-13305
48-13306
48-13307
48-13352
48-13447
48-13494
48-13495
48-13496
48-43497
</t>
  </si>
  <si>
    <t>HWC2020040648645
HWC2020040648647
HWC2020040648629
HWC2020040648646
HWC2020040648628
HWC2020040648631
HWC2020040648649
HWC2020040648648
HWC2020040648630
HWC2020040648625
HWC2020040648651
HWC2020040648650
HWC2020040648653
HWC2020040648627
HWC2020040648626
HWC2020040648652
HWC2020040648643
HWC2020040648644
HWC2020040648622
HWC2020040648623
HWC2020040648624
HWC2020040648642
HWC2020040648641
HWC2020040648640
HWC2020040648639
HWC2020040648638
HWC2020040648637
HWC2020040648636
HWC2020040648635
HWC2020040648661
HWC2020040648662
HWC2020040648663
HWC2020040648654
HWC2020040648664
HWC2020040648634
HWC2020040648657
HWC2020040648658
HWC2020040648632
HWC2020040648659
HWC2020040648660
HWC2020040648633
HWC2020040648655
HWC2020040648656</t>
  </si>
  <si>
    <t>RRU L10
RRU L06
BBU L10
STORAGE</t>
  </si>
  <si>
    <t>48-13412
48-13307
48-13304
48-13247
48-13246
48-13245
48-13244
48-13237
48-13214
48-13213
48-13399
48-13450
48-13449
48-13448
48-13445
48-13444
48-13425
48-13424
48-13423
48-13422
48-13421
48-13420
48-13364
48-13353
48-13351
48-13350
48-13629
48-13514
48-13497
48-13496
48-13495
48-13494
48-13466
48-13354</t>
  </si>
  <si>
    <t>20/0592175-0</t>
  </si>
  <si>
    <t>20/0592097-4</t>
  </si>
  <si>
    <t>CMA CGM RODOLPHE 0AA5XW1MA</t>
  </si>
  <si>
    <t>EGLV149001119353</t>
  </si>
  <si>
    <t>20/0618883-5</t>
  </si>
  <si>
    <t>20/0618572-0</t>
  </si>
  <si>
    <t>EGLV149000729140</t>
  </si>
  <si>
    <t>48-13401
48-13173
48-13252
48-13305
48-13412
48-13429
48-13430
48-13434
48-13438
48-13557
48-13622
48-13349
48-13354</t>
  </si>
  <si>
    <t>HWC2020041158166
HWC2020041157996
HWC2020041157995
HWC2020041158168
HWC2020041158169
HWC2020041157997
HWC2020041158164
HWC2020041158165
HWC2020041158163
HWC2020041158167
HWC2020041157998
HWC2020041157993
HWC2020041157994</t>
  </si>
  <si>
    <t>RRU L06
RRU L10
BBU L10
STORAGE</t>
  </si>
  <si>
    <t>48-13401
48-13308
48-13412
48-13428
48-13429
48-13451
48-13621
48-13649
48-13650
48-13651
48-13691
48-13697
48-13349
48-13350
48-13352</t>
  </si>
  <si>
    <t>HWC2020041259028
HWC2020041259029
HWC2020041259031
HWC2020041259032
HWC2020041259033
HWC2020041259034
HWC2020041259035
HWC2020041259036
HWC2020041259037
HWC2020041259030
HWC2020041259038
HWC2020041259039
HWC2020041259040
HWC2020041259061
HWC2020041259062
HWC2020041259024
HWC2020041259025
HWC2020041259026
HWC2020041259027</t>
  </si>
  <si>
    <t>STORAGE
RRU L06
RRU L10
BBU L10</t>
  </si>
  <si>
    <t>48-13399
48-13401
48-13304
48-13412
48-13426
48-13428
48-13435
48-13436
48-13437
48-13451
48-13452
48-13453
48-13467
48-13469
48-13470
48-13555
48-13556
48-13334
48-13348
48-13353</t>
  </si>
  <si>
    <t>HWC2020040955072
HWC2020040955073
HWC2020040955095
HWC2020040955070
HWC2020040955068
HWC2020040955074
HWC2020040955075
HWC2020040955069
HWC2020040955091
HWC2020040955089
HWC2020040955088
HWC2020040955087
HWC2020040955090
HWC2020040955076
HWC2020040955077
HWC2020040955097
HWC2020040955092
HWC2020040955093
HWC2020040955094
HWC2020040955096
HWC2020040955071
HWC2020040955066
HWC2020040955086
HWC2020040955067</t>
  </si>
  <si>
    <t>HWC2020041463559
HWC2020041463581
HWC2020041463560
HWC2020041463583
HWC2020041463582
HWC2020041463579
HWC2020041463578
HWC2020041463585
HWC2020041463584
HWC2020041463587
HWC2020041463588
HWC2020041463589
HWC2020041463580
HWC2020041463590
HWC2020041463602
HWC2020041463603
HWC2020041463604
HWC2020041463605
HWC2020041463586
HWC2020041463601</t>
  </si>
  <si>
    <t>48-13121
48-13412
48-13429
48-13430
48-13431
48-13432
48-13433
48-13453
48-13471
48-13472
48-13482
48-13536
48-13623
48-13652
48-13653
48-13658
48-13695
48-13352
48-13354</t>
  </si>
  <si>
    <t>BBU L10
RRU L06
RRU L10</t>
  </si>
  <si>
    <t>EGLV149001132970</t>
  </si>
  <si>
    <t>EVER USEFUL 0054-145W</t>
  </si>
  <si>
    <t>SEAMAX ROWAYTON 0015W</t>
  </si>
  <si>
    <t>EGLV149001232877</t>
  </si>
  <si>
    <t>48-13399
48-13160
48-13209
48-13213
48-13222
48-13223
48-13234
48-13236
48-13237
48-13304
48-13444
48-13445
48-13449
48-13469
48-13332
48-13338
48-13361
48-13362
48-13365
48-13366
48-13380
48-13381
48-13383
48-13384</t>
  </si>
  <si>
    <t>HWC2020040141145
HWC2020040141116
HWC2020040141117
HWC2020040141118
HWC2020040141119
HWC2020040141120
HWC2020040141132
HWC2020040141113
HWC2020040141115
HWC2020040141129
HWC2020040141128
HWC2020040141130
HWC2020040141133
HWC2020040141134
HWC2020040141114
HWC2020040141141
HWC2020040141142
HWC2020040141143
HWC2020040141144
HWC2020040141131
HWC2020040141109
HWC2020040141127
HWC2020040141124
HWC2020040141107
HWC2020040141110
HWC2020040141108
HWC2020040141112
HWC2020040141125
HWC2020040141126
HWC2020040141111</t>
  </si>
  <si>
    <t>MAERSK LONDRINA 015W</t>
  </si>
  <si>
    <t>EGLV149001232257</t>
  </si>
  <si>
    <t>20/0645556-6</t>
  </si>
  <si>
    <t>48-13122
48-13199
48-13305
48-13307
48-13431
48-13473
48-13474
48-13475
48-13476
48-13481
48-13515
48-13516
48-13517
48-13518
48-13519
48-13535
48-13537
48-13649
48-13650
48-13658
48-13666
48-13684
48-13685
48-13689
48-13690
48-13777</t>
  </si>
  <si>
    <t>HWC2020041666752
HWC2020041666736
HWC2020041666744
HWC2020041666750
HWC2020041666753
HWC2020041666732
HWC2020041666734
HWC2020041666731
HWC2020041666733
HWC2020041666735
HWC2020041666742
HWC2020041666737
HWC2020041666743
HWC2020041666739
HWC2020041666741
HWC2020041666738
HWC2020041666740
HWC2020041666745
HWC2020041666746
HWC2020041666754
HWC2020041666747
HWC2020041666749
HWC2020041666748
HWC2020041666755
HWC2020041666756
HWC2020041666751</t>
  </si>
  <si>
    <t>20/0653462-8</t>
  </si>
  <si>
    <t>20/0653708-2</t>
  </si>
  <si>
    <t>HWC2020042073305
HWC2020042073328
HWC2020042073307
HWC2020042073306
HWC2020042073309
HWC2020042073308
HWC2020042073317
HWC2020042073318
HWC2020042073310
HWC2020042073319
HWC2020042073320
HWC2020042073313
HWC2020042073314
HWC2020042073315
HWC2020042073316
HWC2020042073311
HWC2020042073312</t>
  </si>
  <si>
    <t>BBU L06
BBU L10
RRU L06
RRU L10
STORAGE</t>
  </si>
  <si>
    <t>48-13557
48-13517
48-13479
48-13478
48-13477
48-13453
48-13306
48-13401
48-13790
48-13712
48-13704
48-13648
48-13624
48-13620</t>
  </si>
  <si>
    <t>HWC2020041870349
HWC2020041870327
HWC2020041870326
HWC2020041870329
HWC2020041870328
HWC2020041870331
HWC2020041870330
HWC2020041870351
HWC2020041870350
HWC2020041870347
HWC2020041870348
HWC2020041870346
HWC2020041870345
HWC2020041870344
HWC2020041870343
HWC2020041870342
HWC2020041870339
HWC2020041870352
HWC2020041870332
HWC2020041870353
HWC2020041870354
HWC2020041870335
HWC2020041870336
HWC2020041870337
HWC2020041870338
HWC2020041870333
HWC2020041870334</t>
  </si>
  <si>
    <t>48-13631
48-13114
48-13200
48-13302
48-13447
48-13452
48-13520
48-13530
48-13531
48-13532
48-13533
48-13534
48-13625
48-13626
48-13627
48-13666
48-13679
48-13680
48-13681
48-13682
48-13683
48-13712
48-13776
48-13788
48-13351
48-13352</t>
  </si>
  <si>
    <t>MAERSK LIMA 016W</t>
  </si>
  <si>
    <t>BBU L10
RRU L06
RRU L10
STORAGE</t>
  </si>
  <si>
    <t>20/0664058-4</t>
  </si>
  <si>
    <t>VANTAGE 1378 - 031W</t>
  </si>
  <si>
    <t>EGLV149001346554</t>
  </si>
  <si>
    <t>EGLV149001321454</t>
  </si>
  <si>
    <t>EGLV149000986592</t>
  </si>
  <si>
    <t>HWC2020042683875
HWC2020042683883
HWC2020042683876
HWC2020042683877
HWC2020042683882
HWC2020042683872
HWC2020042683873
HWC2020042683874
HWC2020042683881</t>
  </si>
  <si>
    <t>RRU L06
RRU L10
BBU L10</t>
  </si>
  <si>
    <t>48-13437
48-13651
48-13652
48-13653
48-13697
48-13714
48-13785
48-13786
48-13787</t>
  </si>
  <si>
    <t>HWC2020042582992
HWC2020042582994
HWC2020042582993
HWC2020042582996
HWC2020042582995
HWC2020042582998
HWC2020042582997
HWC2020042583000
HWC2020042582999
HWC2020042582990
HWC2020042582991
HWC2020042582989
HWC2020042582988
HWC2020042583003
HWC2020042583002
HWC2020042583001
HWC2020042583007
HWC2020042583008
HWC2020042583021
HWC2020042583009
HWC2020042583010
HWC2020042583023
HWC2020042583024
HWC2020042583005
HWC2020042583006
HWC2020042583004
HWC2020042583022</t>
  </si>
  <si>
    <t>48-13401
48-13631
48-13632
48-13433
48-13434
48-13435
48-13648
48-13653
48-13686
48-13694
48-13778
48-13779
48-13780
48-13784
48-13789
48-13791</t>
  </si>
  <si>
    <t>EVER LAUREL 1379 -  042W</t>
  </si>
  <si>
    <t>EGLV149001495851</t>
  </si>
  <si>
    <t>EGLV149001502521</t>
  </si>
  <si>
    <t>20/0703229-4</t>
  </si>
  <si>
    <t>20/0719159-7</t>
  </si>
  <si>
    <t>20/0718655-0</t>
  </si>
  <si>
    <t>HWC2020050699851
HWC2020050699852
HWC2020050699853
HWC2020050699854
HWC2020050699849
HWC2020050699850</t>
  </si>
  <si>
    <t>48-13118
48-13168
48-13302
48-13436
48-13691
48-13693</t>
  </si>
  <si>
    <t>HWC2020050496405
HWC2020050496368
HWC2020050496407
HWC2020050496406
HWC2020050496409
HWC2020050496408
HWC2020050496411
HWC2020050496410
HWC2020050496419
HWC2020050496420
HWC2020050496421
HWC2020050496412
HWC2020050496422
HWC2020050496415
HWC2020050496416
HWC2020050496417
HWC2020050496418
HWC2020050496413
HWC2020050496414</t>
  </si>
  <si>
    <t>48-13122
48-13303
48-13430
48-13432
48-13435
48-13436
48-13437
48-13438
48-13689
48-13690
48-13691
48-13692
48-13694
48-13696
48-13698
48-13704
48-13781
48-13782
48-13783</t>
  </si>
  <si>
    <t>MAERSK LAGUNA 018W</t>
  </si>
  <si>
    <t>20/0755034-1</t>
  </si>
  <si>
    <t>HWC2020050905851
HWC2020050905852
HWC2020050905853
HWC2020050905848
HWC2020050905829
HWC2020050905849
HWC2020050905827
HWC2020050905828
HWC2020050905850
HWC2020050905825
HWC2020050905826
HWC2020050905845
HWC2020050905847
HWC2020050905846</t>
  </si>
  <si>
    <t>48-13692
48-13693
48-13696
48-13698
48-13699
48-13701
48-13740
48-13353</t>
  </si>
  <si>
    <t>20/0755300-6</t>
  </si>
  <si>
    <t>20/0755507-6</t>
  </si>
  <si>
    <t>HWC2020051414412
HWC2020051414416
HWC2020051414415
HWC2020051414414
HWC2020051414418
HWC2020051414419
HWC2020051414420
HWC2020051414411
HWC2020051414417
HWC2020051414413
HWC2020051414423</t>
  </si>
  <si>
    <t>48-13431
48-13438
48-13695
48-13700
48-13702
48-13703
48-13741
48-13917
48-13999
48-14002</t>
  </si>
  <si>
    <t>EGLV149001681850</t>
  </si>
  <si>
    <t>CMA CGM CARL ANTOINE 0AA67W1MA</t>
  </si>
  <si>
    <t>EGLV149001751173</t>
  </si>
  <si>
    <t>HWC2020051618152
HWC2020051618154
HWC2020051618153
HWC2020051618156
HWC2020051618155
HWC2020051618181
HWC2020051618182
HWC2020051618183
HWC2020051618157
HWC2020051618184
HWC2020051618161
HWC2020051618162
HWC2020051618159
HWC2020051618160
HWC2020051618158
HWC2020051618140</t>
  </si>
  <si>
    <t>48-13198
48-13700
48-13702
48-13703
48-13898
48-13989
48-13990
48-13992
48-13993
48-13994
48-13995
48-13996
48-14000
48-14001
48-13991
48-14022</t>
  </si>
  <si>
    <t>EVER LIBRA 1382 052-W</t>
  </si>
  <si>
    <t>EGLV149001917683</t>
  </si>
  <si>
    <t>Tact</t>
  </si>
  <si>
    <t>20/0803812-1</t>
  </si>
  <si>
    <t>Shenzen</t>
  </si>
  <si>
    <t>20/0804389-3</t>
  </si>
  <si>
    <t>20/0804068-1</t>
  </si>
  <si>
    <t>EGLV149001937404</t>
  </si>
  <si>
    <t>TACT</t>
  </si>
  <si>
    <t>HWC2020052127215
HWC2020052127217
HWC2020052127216
HWC2020052127218
HWC2020052127229
HWC2020052127220
HWC2020052127219
HWC2020052127230
HWC2020052127241
HWC2020052127213
HWC2020052127214
HWC2020052127228
HWC2020052127227
HWC2020052127212
HWC2020052127211
HWC2020052127234
HWC2020052127235
HWC2020052127231
HWC2020052127236
HWC2020052127237
HWC2020052127244
HWC2020052127245
HWC2020052127232
HWC2020052127233
HWC2020052127242
HWC2020052127243</t>
  </si>
  <si>
    <t>20/0833864-8</t>
  </si>
  <si>
    <t>48-13118
48-13120
48-13173
48-13303
48-13306
48-13307
48-13308
48-13689
48-13705
48-13742
48-13896
48-13898
48-13917
48-13918
48-14016
48-14017
48-14018
48-14019
48-14020
48-14021
48-14023
48-14024</t>
  </si>
  <si>
    <t>HWC2020052330119
HWC2020052330121
HWC2020052330116
HWC2020052330120
HWC2020052330123
HWC2020052330122
HWC2020052330125
HWC2020052330124
HWC2020052330127
HWC2020052330126
HWC2020052330117
HWC2020052330134
HWC2020052330118
HWC2020052330135
HWC2020052330136
HWC2020052330128
HWC2020052330137
HWC2020052330096
HWC2020052330131
HWC2020052330132
HWC2020052330133
HWC2020052330129
HWC2020052330130</t>
  </si>
  <si>
    <t>48-13305
48-13308
48-13689
48-13895
48-13898
48-13912
48-13918
48-13919
48-14003
48-14004
48-14005
48-14007
48-14008
48-14009
48-14010
48-14011
48-14012
48-13991
48-14025</t>
  </si>
  <si>
    <t>COSCO SHIPPING THAMES 014W</t>
  </si>
  <si>
    <t>EGLV149002117010</t>
  </si>
  <si>
    <t>20/0844121-0</t>
  </si>
  <si>
    <t>20/0844369-7</t>
  </si>
  <si>
    <t>20/0844531-2</t>
  </si>
  <si>
    <t>EGLV149002116714</t>
  </si>
  <si>
    <t>HWC2020052634815
HWC2020052634816
HWC2020052634817
HWC2020052634794
HWC2020052634818
HWC2020052634811
HWC2020052634812
HWC2020052634813
HWC2020052634814
HWC2020052634795
HWC2020052634810
HWC2020052634793
HWC2020052634809</t>
  </si>
  <si>
    <t>48-13119
48-13690
48-13691
48-13692
48-13897
48-13898
48-13912
48-13918
48-13919
48-14006</t>
  </si>
  <si>
    <t>HWC2020052938877
HWC2020052938878
HWC2020052938905
HWC2020052938906
HWC2020052938873
HWC2020052938874
HWC2020052938875
HWC2020052938876
HWC2020052938872</t>
  </si>
  <si>
    <t>48-14082
48-13649
48-13650
48-13911
48-13913
48-13920
48-13991</t>
  </si>
  <si>
    <t>SERVER
BBU L06
RRU L06
RRU L10</t>
  </si>
  <si>
    <t>HWC2020052939890
HWC2020052939907
HWC2020052939891
HWC2020052939892</t>
  </si>
  <si>
    <t>48-13693
48-13913
48-13919</t>
  </si>
  <si>
    <t>HWC2020053142295
HWC2020053142273
HWC2020053142274
HWC2020053142275</t>
  </si>
  <si>
    <t>48-13912
48-13913
48-13914
48-14113</t>
  </si>
  <si>
    <t>20/0879420-1</t>
  </si>
  <si>
    <t>20/0879487-2</t>
  </si>
  <si>
    <t>HWC2020060447769
HWC2020060447770
HWC2020060447771
HWC2020060447772</t>
  </si>
  <si>
    <t>48-13915
48-13919
48-14112</t>
  </si>
  <si>
    <t>HWC2020060549700
HWC2020060549679
HWC2020060549680</t>
  </si>
  <si>
    <t>48-13914
48-13916
48-14112</t>
  </si>
  <si>
    <t>COSCO SHIPPING VOLGA 015W</t>
  </si>
  <si>
    <t>EGLV149002218673</t>
  </si>
  <si>
    <t>EGLV149002293331</t>
  </si>
  <si>
    <t>EGLV149002293306</t>
  </si>
  <si>
    <t>EGLV149002294809</t>
  </si>
  <si>
    <t>HWC2020060752572
HWC2020060752584
HWC2020060752585
HWC2020060752586
HWC2020060752570
HWC2020060752571</t>
  </si>
  <si>
    <t>48-14154
48-13648
48-13920
48-13921
48-14111
48-14112</t>
  </si>
  <si>
    <t>SERVER
RRU L06
RRU L10</t>
  </si>
  <si>
    <t>HWC2020060651416
HWC2020060651417
HWC2020060651419
HWC2020060651420
HWC2020060651412
HWC2020060651413
HWC2020060651414</t>
  </si>
  <si>
    <t>48-13693
48-13914
48-13915
48-13916
48-13920
48-13921
48-14119</t>
  </si>
  <si>
    <t>HWC2020060853444
HWC2020060853445
HWC2020060853423
HWC2020060853424</t>
  </si>
  <si>
    <t>48-13919
48-13921
48-14111
48-14112</t>
  </si>
  <si>
    <t>MAERSK LAVRAS 023W</t>
  </si>
  <si>
    <t>20/0908356-2</t>
  </si>
  <si>
    <t>HWC2020061058101
HWC2020061058083
HWC2020061058102
HWC2020061058103
HWC2020061058057
HWC2020061058058
HWC2020061058059
HWC2020061058060
HWC2020061058056</t>
  </si>
  <si>
    <t>48-13914
48-13916
48-13920
48-13921
48-13922
48-14115
48-13984</t>
  </si>
  <si>
    <t>EVER SMILE 1385 - 096W</t>
  </si>
  <si>
    <t>EGLV149001713743</t>
  </si>
  <si>
    <t>EGLV149002457546</t>
  </si>
  <si>
    <t>EGLV149002454237</t>
  </si>
  <si>
    <t>EGLV149002454067</t>
  </si>
  <si>
    <t>20/0929170-0</t>
  </si>
  <si>
    <t xml:space="preserve">90 days </t>
  </si>
  <si>
    <t>20/0929119-0</t>
  </si>
  <si>
    <t>HWC2020061363167
HWC2020061363168
HWC2020061363169
HWC2020061363170
HWC2020061363165
HWC2020061363166</t>
  </si>
  <si>
    <t>48-14150
48-14185
48-13911
48-13920
48-13921
48-14115</t>
  </si>
  <si>
    <t>HWC2020061160501
HWC2020061160487
HWC2020061160488
HWC2020061160489
HWC2020061160483
HWC2020061160484
HWC2020061160485
HWC2020061160486
HWC2020061160481
HWC2020061160482</t>
  </si>
  <si>
    <t>48-14185
48-13911
48-13913
48-13915
48-13916
48-14123
48-14159</t>
  </si>
  <si>
    <t>HWC2020061565896
HWC2020061565567</t>
  </si>
  <si>
    <t>48-13911
48-14116</t>
  </si>
  <si>
    <t>MAERSK LETICIA 024W</t>
  </si>
  <si>
    <t>ANTHEA Y 023W</t>
  </si>
  <si>
    <t>EGLV149002646802</t>
  </si>
  <si>
    <t>EGLV149002567066</t>
  </si>
  <si>
    <t>EGLV149002598379</t>
  </si>
  <si>
    <t>HWC2020061768831
HWC2020061768832
HWC2020061768833
HWC2020061768850</t>
  </si>
  <si>
    <t>48-14227
48-13921
48-13922
48-14116</t>
  </si>
  <si>
    <t>HWC2020061667397
HWC2020061667398
HWC2020061667401
HWC2020061667400
HWC2020061667399</t>
  </si>
  <si>
    <t>48-14231
48-13652
48-13922
48-14116</t>
  </si>
  <si>
    <t>HWC2020061871139
HWC2020061871152
HWC2020061871151
HWC2020061871138</t>
  </si>
  <si>
    <t>48-14231
48-13911
48-14116
48-14117</t>
  </si>
  <si>
    <t>48-14227
48-14231
48-13117
48-14118
48-14120</t>
  </si>
  <si>
    <t>HWC2020061973115
HWC2020061973116
HWC2020061973117
HWC2020061973119
HWC2020061973120
HWC2020061973118</t>
  </si>
  <si>
    <t>MSC BRUNELLA 024A</t>
  </si>
  <si>
    <t>20/0962901-8</t>
  </si>
  <si>
    <t>20/0971416-3</t>
  </si>
  <si>
    <t>EGLV149002413336</t>
  </si>
  <si>
    <t>CMG CGM JACKES JUNIOR 0AA6JW1MA</t>
  </si>
  <si>
    <t>EGLV149002773545</t>
  </si>
  <si>
    <t>EGLV149002800330</t>
  </si>
  <si>
    <t>HWC2020062885158
HWC2020062885157
HWC2020062885156
HWC2020062885154
HWC2020062885201
HWC2020062885153
HWC2020062885155
HWC2020062885202
HWC2020062885152
HWC2020062885159
HWC2020062885160</t>
  </si>
  <si>
    <t>SERVER
BBU L10
RRU L06
RRU L10</t>
  </si>
  <si>
    <t>48-14227
48-14231
48-13986
48-14047
48-14053
48-14099
48-14117
48-14192
48-13983</t>
  </si>
  <si>
    <t>20/0997565-0</t>
  </si>
  <si>
    <t>20/0997756-3</t>
  </si>
  <si>
    <t>48-13653
48-13695
48-14100
48-14117
48-13694
48-13995</t>
  </si>
  <si>
    <t>HWC2020063088442
HWC2020063088443
HWC2020063088444
HWC2020063088445
HWC2020063088032
HWC2020063088033
HWC2020063088034</t>
  </si>
  <si>
    <t>EGLV149002977485</t>
  </si>
  <si>
    <t>SWITZERLAND 116W</t>
  </si>
  <si>
    <t>HWC2020070189665
HWC2020070189666
HWC2020070189655
HWC2020070190026
HWC2020070189654</t>
  </si>
  <si>
    <t>48-13912
48-13922
48-13854
48-13995
48-14096</t>
  </si>
  <si>
    <t>MOL BEACON 026W</t>
  </si>
  <si>
    <t>20/1032734-8</t>
  </si>
  <si>
    <t>20/1033054-3</t>
  </si>
  <si>
    <t>20/1032948-0</t>
  </si>
  <si>
    <t>20/1033243-0</t>
  </si>
  <si>
    <t>CMA CGM RODOLPHE 0AA6NW1MA</t>
  </si>
  <si>
    <t>EGLV149003048801</t>
  </si>
  <si>
    <t>20/1081509-1</t>
  </si>
  <si>
    <t>20/1082077-0</t>
  </si>
  <si>
    <t>20/1084108-4</t>
  </si>
  <si>
    <t>20/1084575-6</t>
  </si>
  <si>
    <t>20/1084941-7</t>
  </si>
  <si>
    <t>HWC2020071105205
HWC2020071105206
HWC2020071105210
HWC2020071105208
HWC2020071105209
HWC2020071105207</t>
  </si>
  <si>
    <t>SERVER
STORAGE
RRU L10</t>
  </si>
  <si>
    <t>4800014231
4800014244
4800014254
4800013923</t>
  </si>
  <si>
    <t>SEAMAX ROWAYTON 0016W</t>
  </si>
  <si>
    <t>EGLV149003319953</t>
  </si>
  <si>
    <t>HWC2020071715566
HWC2020071715567</t>
  </si>
  <si>
    <t>SERVER
STORAGE</t>
  </si>
  <si>
    <t>4800014255
4800014276</t>
  </si>
  <si>
    <t>20/1120688-9</t>
  </si>
  <si>
    <t>20/1120596-3</t>
  </si>
  <si>
    <t>20/1120451-7</t>
  </si>
  <si>
    <t>20/1120523-8</t>
  </si>
  <si>
    <t>20/1119877-0</t>
  </si>
  <si>
    <t>NORTHERN JUSTICE 1391 003W</t>
  </si>
  <si>
    <t>EGLV149003473111</t>
  </si>
  <si>
    <t>20/1158913-3</t>
  </si>
  <si>
    <t>20/1159067-0</t>
  </si>
  <si>
    <t>20/1159270-3</t>
  </si>
  <si>
    <t>20/1197022-8</t>
  </si>
  <si>
    <t>HWC2020080747141
HWC2020080747142
HWC2020080747146
HWC2020080747145
HWC2020080747143
HWC2020080747144
HWC2020080747126</t>
  </si>
  <si>
    <t>4800014319
4800013409
4800013648
4800013651
4800013697
4800013698
4800013982</t>
  </si>
  <si>
    <t>HWC2020080848515
HWC2020080848452
HWC2020080848454
HWC2020080848451
HWC2020080848453</t>
  </si>
  <si>
    <t>4800013913
4800013915
4800013916
4800013982
4800014344</t>
  </si>
  <si>
    <t>HWC2020081050081
HWC2020081050061
HWC2020081050084
HWC2020081050062
HWC2020081050063
HWC2020081050082
HWC2020081050083
HWC2020081050085
HWC2020081050064
HWC2020081050066
HWC2020081050038
HWC2020081050067
HWC2020081050039
HWC2020081050040
HWC2020081050065</t>
  </si>
  <si>
    <t>4800013696
4800013915
4800014117
4800014335
4800014336
4800014337
4800014338
4800014340
4800014341
4800014342
4800014343
4800014339
4800014344</t>
  </si>
  <si>
    <t>20/1223160-7</t>
  </si>
  <si>
    <t>20/1223660-9</t>
  </si>
  <si>
    <t>HWC2020081357031
HWC2020081357037
HWC2020081357034
HWC2020081357033
HWC2020081357032
HWC2020081357045
HWC2020081357048
HWC2020081357046
HWC2020081357036
HWC2020081357049
HWC2020081357047
HWC2020081357035
HWC2020081357044</t>
  </si>
  <si>
    <t>4800014335
4800014336
4800014340
4800014341</t>
  </si>
  <si>
    <t>4800014335
4800014336
4800014341</t>
  </si>
  <si>
    <t>HWC2020081458441
HWC2020081458419
HWC2020081458442
HWC2020081458420
HWC2020081458443</t>
  </si>
  <si>
    <t>MSC AVNI 032A</t>
  </si>
  <si>
    <t>MAERSK LIRQUEN 032W</t>
  </si>
  <si>
    <t>SHEKOU</t>
  </si>
  <si>
    <t>HWC2020081863733
HWC2020081863756
HWC2020081863735
HWC2020081863755
HWC2020081863732
HWC2020081863734</t>
  </si>
  <si>
    <t>4800013982
4800014341</t>
  </si>
  <si>
    <t>EVER LIBRA 1394 - 053W</t>
  </si>
  <si>
    <t>SEASPAN OSPREY</t>
  </si>
  <si>
    <t>20/1278523-8</t>
  </si>
  <si>
    <t xml:space="preserve">BTP </t>
  </si>
  <si>
    <t>HWC2020082270944
HWC2020082270914
HWC2020082270940
HWC2020082270941
HWC2020082270942
HWC2020082270943</t>
  </si>
  <si>
    <t>4800014384
4800014336
4800014341
4800014367</t>
  </si>
  <si>
    <t>20/1313760-4</t>
  </si>
  <si>
    <t>HWC2020083182241
HWC2020083182242
HWC2020083182243
HWC2020083182244</t>
  </si>
  <si>
    <t>4800014421
4800014400
4800014404</t>
  </si>
  <si>
    <t>HWC2020082980685
HWC2020082980686
HWC2020082980687
HWC2020082980688
HWC2020082980689</t>
  </si>
  <si>
    <t>4800013982
4800014401
4800014404
4800014405</t>
  </si>
  <si>
    <t>HWC2020082778074
HWC2020082778075
HWC2020082778076
HWC2020082778077
HWC2020082778078
HWC2020082778079</t>
  </si>
  <si>
    <t>4800014400
4800014401
4800014404
4800014405</t>
  </si>
  <si>
    <t>HWC2020082574576
HWC2020082574574
HWC2020082574577
HWC2020082574579
HWC2020082574578
HWC2020082574573
HWC2020082574575
HWC2020082574572</t>
  </si>
  <si>
    <t>4800013916
4800014400
4800014401
4800014402
4800014403
4800014404
4800014405</t>
  </si>
  <si>
    <t>COSCO SHIPPING VOLGA 016W</t>
  </si>
  <si>
    <t>PARANAGUA EXPRESS 034W</t>
  </si>
  <si>
    <t>HWC2020090285809
HWC2020090285825
HWC2020090285808
HWC2020090285823
HWC2020090285824</t>
  </si>
  <si>
    <t>4800014401
4800014404</t>
  </si>
  <si>
    <t>EVER SMILE 1397 - 097W</t>
  </si>
  <si>
    <t>MSC DESIREE 036A</t>
  </si>
  <si>
    <t>EGVL149003494895</t>
  </si>
  <si>
    <t>EGVL149004106546</t>
  </si>
  <si>
    <t>EGVL149004550144</t>
  </si>
  <si>
    <t>EGVL149004733273</t>
  </si>
  <si>
    <t>HWC2020091100366
HWC2020091100365</t>
  </si>
  <si>
    <t>4800014420
4800014401</t>
  </si>
  <si>
    <t>MAERSK LETICIA 037W</t>
  </si>
  <si>
    <t>Coopercarga</t>
  </si>
  <si>
    <t>20/1438791-4</t>
  </si>
  <si>
    <t>20/1450940-8</t>
  </si>
  <si>
    <t>20/1454629-0</t>
  </si>
  <si>
    <t>20/1461807-0</t>
  </si>
  <si>
    <t>20/1450784-7</t>
  </si>
  <si>
    <t>4800014482
4800014486
4800014490</t>
  </si>
  <si>
    <t>20/1531540-2</t>
  </si>
  <si>
    <t>20/1568396-7</t>
  </si>
  <si>
    <t>20/1568251-0</t>
  </si>
  <si>
    <t>20/1568228-6</t>
  </si>
  <si>
    <t>20/1567863-7</t>
  </si>
  <si>
    <t>DSV</t>
  </si>
  <si>
    <t xml:space="preserve">MSC Gayane </t>
  </si>
  <si>
    <t>HWC2020092928101
HWC2020092928102
HWC2020092928103
HWC2020092928104
HWC2020092928105
HWC2020092928106
HWC2020092928098
HWC2020093028453
HWC2020092928100
HWC2020092928097</t>
  </si>
  <si>
    <t>HWC2020101239178
HWC2020101239179
HWC2020101239180
HWC2020101239176
HWC2020101239174
HWC2020092928099
HWC2020101239175
HWC2020101239177</t>
  </si>
  <si>
    <t xml:space="preserve">4800014536
4800014538
4800014528
4800014482
</t>
  </si>
  <si>
    <t>20/1651587-1</t>
  </si>
  <si>
    <t>20/1652251-7</t>
  </si>
  <si>
    <t>(Seaspan Falcon)</t>
  </si>
  <si>
    <t>HWC2020102053166
HWC2020102053167
HWC2020102053168
HWC2020102053165
HWC2020102053183
HWC2020102053185
HWC2020102053184
HWC2020102053182</t>
  </si>
  <si>
    <t>4800014538
4800014538
4800014560
4800014529
4800014529
4800014555
4800014529
4800014538</t>
  </si>
  <si>
    <t>MAERSK LIMA 042W</t>
  </si>
  <si>
    <t>HWC2020102358750
HWC2020102358753
HWC2020102358751
HWC2020102358752
HWC2020102358754</t>
  </si>
  <si>
    <t>4800014560
4800014571
4800014586
4800014586
4800014571</t>
  </si>
  <si>
    <t>SEASPAN RAPTOR 042W</t>
  </si>
  <si>
    <t>20/1683297-4</t>
  </si>
  <si>
    <t>20/1810871-8</t>
  </si>
  <si>
    <t>20/1886133-5</t>
  </si>
  <si>
    <t>20/1886768-6</t>
  </si>
  <si>
    <t>20/1903341-0</t>
  </si>
  <si>
    <t>JULIA</t>
  </si>
  <si>
    <t>HWC2020120416761
HWC2020120416762
HWC2020120416763
HWC2020120416764
HWC2020120416765
HWC2020120416731</t>
  </si>
  <si>
    <t>Maersk</t>
  </si>
  <si>
    <t>MAERSK LEON 048W</t>
  </si>
  <si>
    <t>4800014706
4800014707
4800014708
4800014719</t>
  </si>
  <si>
    <t>HWC2020120922331</t>
  </si>
  <si>
    <t>MSC DESIREE 049A</t>
  </si>
  <si>
    <t>21/0020865-8</t>
  </si>
  <si>
    <t>HWC2021010851005
HWC2021010851006
HWC2021010851007
HWC2021010851008
HWC2021010851004
HWC2021010851003</t>
  </si>
  <si>
    <t>Shenker</t>
  </si>
  <si>
    <t>MAERSK LONDRINA 101W</t>
  </si>
  <si>
    <t>4800014784
4800014811
4800014851</t>
  </si>
  <si>
    <t xml:space="preserve">HWC2021011156162 
HWC2021011156161 
HWC2021011156120 
HWC2021011156158 
HWC2021011156157 
HWC2021011156156 
HWC2021011156119 
HWC2021011156118 
HWC2021011156155 
HWC2021011156154 
HWC2021011156117 
HWC2021011156116 
HWC2021011156115 
HWC2021011156114 </t>
  </si>
  <si>
    <t>BBU L06
BBU L10
RRU L10</t>
  </si>
  <si>
    <t>4800014784
4800014813
4800014785
4800014846
4800014847
4800014848
4800014849
4800014850
4800014851
4800014853
4800014854
4800014859</t>
  </si>
  <si>
    <t>HWC2021011460543
HWC2021011460542
HWC2021011460531
HWC2021011460529
HWC2021011460528
HWC2021011460527
HWC2021011460530
HWC2021011460544</t>
  </si>
  <si>
    <t>HWC2021011459900
HWC2021011459902
HWC2021011459896
HWC2021011459895
HWC2021011459901
HWC2021011459897
HWC2021011459899
HWC2021011459898</t>
  </si>
  <si>
    <t>HWC2021011561652
HWC2021011561649
HWC2021011561619
HWC2021011561664
HWC2021011561662
HWC2021011561650
HWC2021011561663
HWC2021011561651
HWC2021011561665</t>
  </si>
  <si>
    <t>4800014877
4800014848
4800014860
4800014861
4800014875
4800014876
4800014863</t>
  </si>
  <si>
    <t>BUENOS AIRES EXPRESS 101W</t>
  </si>
  <si>
    <t>STORAGE
BBU L06
BBU L10
RRU L06
RRU L10</t>
  </si>
  <si>
    <t>4800014877
4800014812
4800014814
4800014850
4800014852
4800014853
4800014856
4800014857</t>
  </si>
  <si>
    <t>HWC2021011864883
HWC2021011864881
HWC2021011864858
HWC2021011864882
HWC2021011864860
HWC2021011864859
HWC2021011864861</t>
  </si>
  <si>
    <t>4800014850
4800014906
4800014907
4800014908
4800014909</t>
  </si>
  <si>
    <t>4800014784
4800014849
4800014850
4800014852
4800014853</t>
  </si>
  <si>
    <t>MAERSK LIMA 102W</t>
  </si>
  <si>
    <t>21/0146375-9</t>
  </si>
  <si>
    <t>HWC2021012271027
HWC2021012271026
HWC2021012271025
HWC2021012271024</t>
  </si>
  <si>
    <t>4800014908
4800014910
4800014893</t>
  </si>
  <si>
    <t>CMA CGM CARL ANTOINE 0AA87W1MA</t>
  </si>
  <si>
    <t>EGLV149100977340</t>
  </si>
  <si>
    <t>ISRAEL</t>
  </si>
  <si>
    <t>HWC2021013080656
HWC2021013080657
HWC2021013080658
HWC2021013080659
HWC2021013080660</t>
  </si>
  <si>
    <t>4800014891
4800014908
4800014921
4800014928</t>
  </si>
  <si>
    <t>STORAGE
BBU L10
RRU L06
RRU L10</t>
  </si>
  <si>
    <t>MAERSK LAGUNA 104W</t>
  </si>
  <si>
    <t>HWC2021020488307
HWC2021020488308
HWC2021020488310
HWC2021020488309</t>
  </si>
  <si>
    <t>4800014928
4800014953
4800014954</t>
  </si>
  <si>
    <t>HWC2021020691000
HWC2021020691025
HWC2021020691024
HWC2021020690999
HWC2021020691021
HWC2021020691023
HWC2021020691022
HWC2021020690998</t>
  </si>
  <si>
    <t>HWC2021020792123
HWC2021020792122
HWC2021020792124
HWC2021020792100
HWC2021020792121
HWC2021020792125</t>
  </si>
  <si>
    <t>4800014908
4800014928
4800014951
4800014952
4800014953
4800014954
4800014955
4800014971</t>
  </si>
  <si>
    <t>4800014953
4800014954
4800014956
4800014973</t>
  </si>
  <si>
    <t>MAERSK LABREA 106W</t>
  </si>
  <si>
    <t>HWC2021021698432
HWC2021021698433
HWC2021021698439
HWC2021021698440
HWC2021021698413
HWC2021021698434
HWC2021021698441
HWC2021021698416
HWC2021021698414
HWC2021021698442
HWC2021021698415
HWC2021021698435
HWC2021021698436
HWC2021021698437
HWC2021021698438
HWC2021021799357
HWC2021021698417</t>
  </si>
  <si>
    <t>21/0315320-0</t>
  </si>
  <si>
    <t>21/0315839-2</t>
  </si>
  <si>
    <t>4800014925
4800014951
4800014954
4800014956
4800014972
4800015005
4800015020
4800015024
4800015028
4800015029
4800014960</t>
  </si>
  <si>
    <t>BBU L06
BBU L10
RRU L06
RRU L10</t>
  </si>
  <si>
    <t>EVER LOVELY 1421 - 035W</t>
  </si>
  <si>
    <t>EGLV149101461304</t>
  </si>
  <si>
    <t>MSC AVNI 105A</t>
  </si>
  <si>
    <t>HWC2021022003247
HWC2021022003248
HWC2021022003249
HWC2021022003234
HWC2021022003235
HWC2021022003236
HWC2021022003250
HWC2021022003237
HWC2021022003238
HWC2021022003239
HWC2021022003240</t>
  </si>
  <si>
    <t>4800014953
4800014998
4800015003
4800015006
4800015007
4800015069</t>
  </si>
  <si>
    <t>ATACAMA 107W</t>
  </si>
  <si>
    <t>HWC2021022204767
HWC2021022204768
HWC2021022204766</t>
  </si>
  <si>
    <t>4800014954
4800015003
4800015024</t>
  </si>
  <si>
    <t>BBU l10
RRU L10</t>
  </si>
  <si>
    <t>HWC2021022610310
HWC2021022610314
HWC2021022610312
HWC2021022610313
HWC2021022610315
HWC2021022610311
HWC2021022610509
HWC2021022610521
HWC2021022610499
HWC2021022610500
HWC2021022610522
HWC2021022610523</t>
  </si>
  <si>
    <t>4800015025
4800015069
4800015070
4800015071
4800015074
4800015064</t>
  </si>
  <si>
    <t>HWC2021030215300
HWC2021030215301
HWC2021030215302
HWC2021030215299</t>
  </si>
  <si>
    <t>4800015003
4800015071</t>
  </si>
  <si>
    <t>4800015071
4800015086</t>
  </si>
  <si>
    <t>HWC2021030112666
HWC2021030112667
HWC2021030112668
HWC2021030112669</t>
  </si>
  <si>
    <t>4800015025
4800015071
4800015092
4800015094
4800015103</t>
  </si>
  <si>
    <t>HWC2021030317507
HWC2021030317506
HWC2021030317508
HWC2021030317505
HWC2021030317504
HWC2021030317509
HWC2021030317503</t>
  </si>
  <si>
    <t>21/0439567-3</t>
  </si>
  <si>
    <t>21/0440314-5</t>
  </si>
  <si>
    <t>EGLV149101730747</t>
  </si>
  <si>
    <t>SEAMAX NIANTIC 0AA8JW1MA</t>
  </si>
  <si>
    <t>MAERSK LAVRAS 109W</t>
  </si>
  <si>
    <t>HWC2021030620755
HWC2021030620752
HWC2021030620787
HWC2021030620786
HWC2021030620785
HWC2021030620750
HWC2021030620753
HWC2021030620788
HWC2021030620751
HWC2021030620754</t>
  </si>
  <si>
    <t>4800015003
4800015025
4800015092
4800015094
4800015139
4800015074</t>
  </si>
  <si>
    <t>HWC2021030823332
HWC2021030823331
HWC2021030823333
HWC2021030823334
HWC2021030823335
HWC2021030823313</t>
  </si>
  <si>
    <t>4800015093
4800015103
4800015133</t>
  </si>
  <si>
    <t>BBU L06
RRU L06
RRU L10</t>
  </si>
  <si>
    <t>HWC2021030519927
HWC2021030519930
HWC2021030519931
HWC2021030519926
HWC2021030519928
HWC2021030519929
HWC2021030519932
HWC2021030519925</t>
  </si>
  <si>
    <t>4800015003
4800015093
4800015094
4800015099
4800015127</t>
  </si>
  <si>
    <t>21/0462000-6</t>
  </si>
  <si>
    <t>SWITZERLAND 119W</t>
  </si>
  <si>
    <t>EGLV149102010489</t>
  </si>
  <si>
    <t>EGLV149102009189</t>
  </si>
  <si>
    <t>EGLV149101833830</t>
  </si>
  <si>
    <t>HWC2021031026023
HWC2021031026024
HWC2021031026042
HWC2021031026025
HWC2021031026027
HWC2021031026017
HWC2021031026019
HWC2021031026020
HWC2021031026028
HWC2021031026021
HWC2021031026041
HWC2021031026026
HWC2021031026018
HWC2021031026022
HWC2021031025960</t>
  </si>
  <si>
    <t>4800015092
4800015093
4800015094
4800015133
4800015169
4800015137</t>
  </si>
  <si>
    <t>21/0478208-1</t>
  </si>
  <si>
    <t>CMA CGM RODOLPHE 0AA8NW1MA</t>
  </si>
  <si>
    <t>EGLV149102257964</t>
  </si>
  <si>
    <t>HWC2021031531207
HWC2021031531211
HWC2021031531209
HWC2021031531210
HWC2021031531212
HWC2021031531208
HWC2021031531195</t>
  </si>
  <si>
    <t>4800015157
4800015169
4800015177</t>
  </si>
  <si>
    <t>EGLV149102284856</t>
  </si>
  <si>
    <t>HWC2021031329323
HWC2021031329309
HWC2021031329310
HWC2021031329311
HWC2021031329307
HWC2021031329308
HWC2021031329312
HWC2021031329324</t>
  </si>
  <si>
    <t>4800015157
4800015184
4800015092
4800015169
4800015166
4800015176</t>
  </si>
  <si>
    <t>STORAGE
BBU L06
RRU L06
RRU L10</t>
  </si>
  <si>
    <t>EGLV149102056161</t>
  </si>
  <si>
    <t>SEASPAN HARRIER 109W</t>
  </si>
  <si>
    <t>21/0546519-5</t>
  </si>
  <si>
    <t>21/0546791-0</t>
  </si>
  <si>
    <t>HWC2021032037798
HWC2021032037799
HWC2021032037801
HWC2021032037797
HWC2021032037800</t>
  </si>
  <si>
    <t>HWC2021032341079
HWC2021032341080
HWC2021032341077
HWC2021032341078</t>
  </si>
  <si>
    <t>4800015203
4800015202
4800015212</t>
  </si>
  <si>
    <t>STORAGE
BBU L06
BBU L10
RRU L10</t>
  </si>
  <si>
    <t>4800015157
4800015169
4800015211
4800015206</t>
  </si>
  <si>
    <t>21/0575370-0</t>
  </si>
  <si>
    <t>21/0575734-0</t>
  </si>
  <si>
    <t>21/0579501-2</t>
  </si>
  <si>
    <t>SEAMAX ROWAYTON 019W</t>
  </si>
  <si>
    <t>EGLV149102056217</t>
  </si>
  <si>
    <t>MSC Desiree 110A</t>
  </si>
  <si>
    <t>21/0594212-0</t>
  </si>
  <si>
    <t>HWC2021032745819
HWC2021032745820
HWC2021032745821
HWC2021032745818</t>
  </si>
  <si>
    <t>4800015202
4800015212</t>
  </si>
  <si>
    <t>MSC GAYANE 111A</t>
  </si>
  <si>
    <t>HWC2021033049446
HWC2021033049464
HWC2021033049444
HWC2021033049440
HWC2021033049442
HWC2021033049461
HWC2021033049462
HWC2021033049463
HWC2021033049443
HWC2021033049445
HWC2021033049448
HWC2021033049447</t>
  </si>
  <si>
    <t>4800015297
4800015236
4800015245
4800015238
4800015247</t>
  </si>
  <si>
    <t>STORAGE
RRU L06
RRU L10</t>
  </si>
  <si>
    <t>EGLV149101931114</t>
  </si>
  <si>
    <t>EVER LAUREL 1428 - 046W</t>
  </si>
  <si>
    <t>21/0650794-0</t>
  </si>
  <si>
    <t>HWC2021040655628
HWC2021040655614
HWC2021040655616
HWC2021040655613
HWC2021040655615
HWC2021040655612
HWC2021040655629
HWC2021040655611</t>
  </si>
  <si>
    <t>4800015297
4800015296
4800015240
4800015249</t>
  </si>
  <si>
    <t>HWC2021040253231
HWC2021040253228
HWC2021040253222
HWC2021040253226
HWC2021040253227
HWC2021040253230
HWC2021040253224
HWC2021040253225
HWC2021040253223
HWC2021040253229</t>
  </si>
  <si>
    <t>4800015297
4800015245
4800015249
4800015295
4800015301
4800015311</t>
  </si>
  <si>
    <t>STORAGE
GPON
BBU L06
BBU L10
RRU L06
RRU L10</t>
  </si>
  <si>
    <t>EGLV149103144128</t>
  </si>
  <si>
    <t>21/0663113-7</t>
  </si>
  <si>
    <t>CAPE ARTEMISIO - 112W</t>
  </si>
  <si>
    <t>21/0690025-1</t>
  </si>
  <si>
    <t>21/0702015-8</t>
  </si>
  <si>
    <t>21/0703019-6</t>
  </si>
  <si>
    <t>HWC2021041263208
HWC2021041263206
HWC2021041263209
HWC2021041263207
HWC2021041263212
HWC2021041263213
HWC2021041263210
HWC2021041263211</t>
  </si>
  <si>
    <t>4800015249
4800015306
4800015308
4800015328</t>
  </si>
  <si>
    <t>CMA CGM CARL ANTOINE 0AA8VW1MA</t>
  </si>
  <si>
    <t>EGLV149103517633</t>
  </si>
  <si>
    <t>HWC2021041061172
HWC2021041061188
HWC2021041061171
HWC2021041061173
HWC2021041061174
HWC2021041061168
HWC2021041061191
HWC2021041061192
HWC2021041061193
HWC2021041061175
HWC2021041061195
HWC2021041061198
HWC2021041061199
HWC2021041061196
HWC2021041061178
HWC2021041061197
HWC2021041061169
HWC2021041061200
HWC2021041061176
HWC2021041061189
HWC2021041061190
HWC2021041061170
HWC2021041061177
HWC2021041061194</t>
  </si>
  <si>
    <t>EGLV149101931131</t>
  </si>
  <si>
    <t>4800015297
4800015296
4800015240
4800015249
4800015293
4800015306
4800015307
4800015308
4800015309
4800015328
4800015249</t>
  </si>
  <si>
    <t>STORAGE
GPON
RRU L06
RRU L10</t>
  </si>
  <si>
    <t>HWC2021041567947
HWC2021041567962
HWC2021041567961
HWC2021041567965
HWC2021041567953
HWC2021041567952
HWC2021041567964
HWC2021041567920
HWC2021041567966
HWC2021041567919
HWC2021041567949
HWC2021041567956
HWC2021041567954
HWC2021041567963
HWC2021041567955
HWC2021041567950
HWC2021041567951
HWC2021041567948</t>
  </si>
  <si>
    <t>GPON
STORAGE
BBU L10
RRU L10</t>
  </si>
  <si>
    <t>4800015297
4800015296
4800015240
4800015249
4800015293
4800015308
4800015328
4800015344
4800015372</t>
  </si>
  <si>
    <t>EVER LIFTING 1430 - 040W</t>
  </si>
  <si>
    <t>EGLV149101931157</t>
  </si>
  <si>
    <t>21/0752476-8</t>
  </si>
  <si>
    <t>21/0752758-9</t>
  </si>
  <si>
    <t>21/0753126-8</t>
  </si>
  <si>
    <t>HWC2021041870838
HWC2021041870839
HWC2021041870840
HWC2021041870901
HWC2021041870902
HWC2021041870903
HWC2021041870904
HWC2021041870905
HWC2021041870906
HWC2021041870907
HWC2021041870908
HWC2021041870909
HWC2021041870910
HWC2021041870911
HWC2021041870912
HWC2021041870913
HWC2021041870914
HWC2021041870915
HWC2021041870916
HWC2021041870917
HWC2021041870918
HWC2021041870919
HWC2021041870920
HWC2021041870921
HWC2021041870922
HWC2021041870923
HWC2021041870924
HWC2021041870925
HWC2021041870926
HWC2021041870927
HWC2021041870928
HWC2021041870929
HWC2021041870930</t>
  </si>
  <si>
    <t>4800015297
4800015296
4800015240
4800015295
4800015308
4800015328
4800015329
4800015330
4800015332
4800015333
4800015343
4800015356
4800015357
4800015358
4800015359
4800015360
4800015379
4800015324</t>
  </si>
  <si>
    <t>GPON
STORAGE
BBU L10
RRU L06
RRU L10</t>
  </si>
  <si>
    <t>EGLV149103845771</t>
  </si>
  <si>
    <t>HWC2021042276211
HWC2021042276212
HWC2021042276213
HWC2021042276214
HWC2021042276215
HWC2021042276216
HWC2021042276217
HWC2021042276218
HWC2021042276219
HWC2021042276222
HWC2021042276220
HWC2021042276241
HWC2021042276242
HWC2021042276243
HWC2021042276244
HWC2021042276223
HWC2021042276224
HWC2021042276245
HWC2021042276246
HWC2021042276247
HWC2021042276248
HWC2021042276249
HWC2021042276225
HWC2021042276226
HWC2021042276250
HWC2021042276251
HWC2021042276227</t>
  </si>
  <si>
    <t>GPON
BBU L06
BBU L10
RRU L06
RRU L10</t>
  </si>
  <si>
    <t>4800015240
4800015329
4800015331
4800015332
4800015359
4800015360
4800015369
4800015371
4800015379
4800015380
4800015383
4800015384
4800015405
4800015418
4800015337
4800015338
4800015402
4800015403</t>
  </si>
  <si>
    <t>COSCO SHIPPING THAMES 018W</t>
  </si>
  <si>
    <t>EGLV149101931190</t>
  </si>
  <si>
    <t>HWC2021042276662
HWC2021042276663
HWC2021042276664
HWC2021042276665
HWC2021042276666
HWC2021042276667</t>
  </si>
  <si>
    <t>4800015240
4800015333
4800015357
4800015384
4800015416</t>
  </si>
  <si>
    <t>EGLV149104235925</t>
  </si>
  <si>
    <t>21/0801334-1</t>
  </si>
  <si>
    <t>HWC2021042782359
HWC2021042782360
HWC2021042782381
HWC2021042782382
HWC2021042782383
HWC2021042782384
HWC2021042782377
HWC2021042782378
HWC2021042782379
HWC2021042782385
HWC2021042782386
HWC2021042782387
HWC2021042782388
HWC2021042782380
HWC2021042782401
HWC2021042782389
HWC2021042782390
HWC2021042782391
HWC2021042782402
HWC2021042782403</t>
  </si>
  <si>
    <t>4800015357
4800015358
4800015359
4800015360
4800015370
4800015371
4800015404
4800015406
4800015437</t>
  </si>
  <si>
    <t>EGLV149104481021</t>
  </si>
  <si>
    <t>21/0822657-4</t>
  </si>
  <si>
    <t>21/0839631-3</t>
  </si>
  <si>
    <t>HWC2021042987150
HWC2021042987169
HWC2021042987170
HWC2021042987171
HWC2021042987172
HWC2021042987173
HWC2021042987174
HWC2021042987175
HWC2021042987176
HWC2021042987177
HWC2021042987178
HWC2021042987151
HWC2021042987152
HWC2021042987153
HWC2021042987154
HWC2021042987155
HWC2021042987156
HWC2021042987157
HWC2021042987158
HWC2021042987159
HWC2021042987179
HWC2021042987180
HWC2021042987181
HWC2021042987182
HWC2021042987183
HWC2021042987184</t>
  </si>
  <si>
    <t>4800015358
4800015359
4800015379
4800015380
4800015404
4800015406
4800015414
4800015415
4800015417</t>
  </si>
  <si>
    <t>GPON
BBU L06
BBU L10
RRU L10</t>
  </si>
  <si>
    <t>21/0849698-9</t>
  </si>
  <si>
    <t>21/0889782-7</t>
  </si>
  <si>
    <t>21/0898927-6</t>
  </si>
  <si>
    <t>21/0897450-3</t>
  </si>
  <si>
    <t>21/0899246-3</t>
  </si>
  <si>
    <t>21/0899510-1</t>
  </si>
  <si>
    <t>21/0899808-9</t>
  </si>
  <si>
    <t>HWC2021050894373
HWC2021050894374
HWC2021050894375
HWC2021050894376
HWC2021050894377
HWC2021050894378
HWC2021050894463
HWC2021050894464
HWC2021050894465
HWC2021050894466
HWC2021050894467
HWC2021050894468
HWC2021050894469
HWC2021050894470
HWC2021050894471
HWC2021050894379
HWC2021050894472
HWC2021050894380
HWC2021050894481
HWC2021050894482
HWC2021050894483
HWC2021050894484
HWC2021050894485
HWC2021050894473
HWC2021050894474
HWC2021050894475</t>
  </si>
  <si>
    <t>STORAGE
GPON
BBU L10
RRU L06
RRU L10</t>
  </si>
  <si>
    <t>4800015440
4800015374
4800015375
4800015376
4800015378
4800015381
4800015382
4800015473
4800015408
4800015490</t>
  </si>
  <si>
    <t>EVER LUCENT 1433 - 046W</t>
  </si>
  <si>
    <t>EGLV149103215025</t>
  </si>
  <si>
    <t>HWC2021051097346
HWC2021051097347
HWC2021051097348
HWC2021051097349
HWC2021051097350
HWC2021051097351
HWC2021051097352
HWC2021051097353
HWC2021051097361
HWC2021051097362
HWC2021051097363
HWC2021051097364
HWC2021051097354
HWC2021051097365
HWC2021051097366
HWC2021051097367
HWC2021051097368
HWC2021051097369
HWC2021051097370
HWC2021051097371
HWC2021051097372</t>
  </si>
  <si>
    <t>4800015376
4800015378
4800015472
4800015473
4800015476
4800015478
4800015479
4800015495
4800015550</t>
  </si>
  <si>
    <t>GPON
BBU L10
RRU L06
RRU L10</t>
  </si>
  <si>
    <t>EGLV149105075581</t>
  </si>
  <si>
    <t>EGLV149102325366</t>
  </si>
  <si>
    <t>EVER URBAN 0110 - 163W</t>
  </si>
  <si>
    <t>HWC2021051504540
HWC2021051504541
HWC2021051504542
HWC2021051504543
HWC2021051504544
HWC2021051504545
HWC2021051504546
HWC2021051504547
HWC2021051504548
HWC2021051504549
HWC2021051504550
HWC2021051504551
HWC2021051504552
HWC2021051504553
HWC2021051504554
HWC2021051504555
HWC2021051504556</t>
  </si>
  <si>
    <t>HWC2021051302057
HWC2021051302102
HWC2021051302058
HWC2021051302059
HWC2021051302060
HWC2021051302103
HWC2021051302104
HWC2021051302105
HWC2021051302121
HWC2021051302106
HWC2021051302122
HWC2021051302123
HWC2021051302124
HWC2021051302125
HWC2021051302126
HWC2021051302107
HWC2021051302108
HWC2021051302109</t>
  </si>
  <si>
    <t>4800015378
4800015472
4800015476
4800015479
4800015495</t>
  </si>
  <si>
    <t>GPON
BBU L06
RRU L06
RRU L10</t>
  </si>
  <si>
    <t>4800015376
4800015472
4800015476
4800015478
4800015479</t>
  </si>
  <si>
    <t>GPON
RRU L10</t>
  </si>
  <si>
    <t>HWC2021051706031
HWC2021051706032
HWC2021051706033
HWC2021051706034
HWC2021051706035
HWC2021051706036
HWC2021051706037
HWC2021051706038
HWC2021051706039
HWC2021051706040
HWC2021051706061
HWC2021051706062
HWC2021051706063
HWC2021051706064
HWC2021051706065
HWC2021051706066
HWC2021051706067
HWC2021051706068</t>
  </si>
  <si>
    <t>4800015376
4800015472
4800015476
4800015479
4800015485
4800015486</t>
  </si>
  <si>
    <t>21/0991633-7</t>
  </si>
  <si>
    <t>21/0990625-0</t>
  </si>
  <si>
    <t>21/0990552-1</t>
  </si>
  <si>
    <t>HWC2021052213645
HWC2021052213646
HWC2021052213647
HWC2021052213648
HWC2021052213649
HWC2021052213650
HWC2021052213651
HWC2021052213652
HWC2021052213665
HWC2021052213653
HWC2021052213654
HWC2021052213655
HWC2021052213656
HWC2021052213657</t>
  </si>
  <si>
    <t>CMA CGM JACQES JUNIOR  0AA97W1MA</t>
  </si>
  <si>
    <t xml:space="preserve">4800015546
4800015359
4800015374
4800015381
4800015404
4800015476
4800015478
4800015479
4800015494
</t>
  </si>
  <si>
    <t>21/1035536-0</t>
  </si>
  <si>
    <t>EGLV149105889155</t>
  </si>
  <si>
    <t>21/1052436-6</t>
  </si>
  <si>
    <t>21/1058963-8</t>
  </si>
  <si>
    <t>HWC2021052922044
HWC2021052922039
HWC2021052922084
HWC2021052922040
HWC2021052922085
HWC2021052922061
HWC2021052922045
HWC2021052922046
HWC2021052922062
HWC2021052922047
HWC2021052922086
HWC2021052922087
HWC2021052922107
HWC2021052922048
HWC2021052922049
HWC2021052922050
HWC2021052922051
HWC2021052922052
HWC2021052922063
HWC2021052922064
HWC2021052922065
HWC2021052922066
HWC2021052922053
HWC2021052922054
HWC2021052922055
HWC2021052922056
HWC2021052922057
HWC2021052922067
HWC2021052922068</t>
  </si>
  <si>
    <t>EGLV149105904359</t>
  </si>
  <si>
    <t>HWC2021053022411
HWC2021053022412
HWC2021053022413
HWC2021053022414
HWC2021053022415
HWC2021053022416
HWC2021053022417
HWC2021053022418
HWC2021053022419
HWC2021053022420
HWC2021053022461
HWC2021053022443
HWC2021053022444
HWC2021053022447
HWC2021053022448
HWC2021053022449
HWC2021053022450
HWC2021053022451
HWC2021053022445
HWC2021053022446</t>
  </si>
  <si>
    <t>EGLV149105904391</t>
  </si>
  <si>
    <t>HONG KONG</t>
  </si>
  <si>
    <t>HWC2021053122980
HWC2021053122981
HWC2021053122982
HWC2021053122983
HWC2021053122984
HWC2021053122985
HWC2021053122986
HWC2021053122987
HWC2021053122988</t>
  </si>
  <si>
    <t>GPON
BBU L10
RRU L10</t>
  </si>
  <si>
    <t>4800015604
4800015606
4800015533
4800015535
4800015595
4800015603
4800015648</t>
  </si>
  <si>
    <t>EGLV149105904553</t>
  </si>
  <si>
    <t>YM TIPTOP 001 W</t>
  </si>
  <si>
    <t>EGLV149106142215</t>
  </si>
  <si>
    <t>EGLV149105953881</t>
  </si>
  <si>
    <t>EGLV149105919917</t>
  </si>
  <si>
    <t>4800015359
4800015476
4800015479
4800015485
4800015526
4800015528
4800015536
4800015558
4800015571
4800015596
4800015597
4800015598
4800015629
4800015535</t>
  </si>
  <si>
    <t>4800015472
4800015479
4800015526
4800015527
4800015628
4800015629
4800015535
4800015648</t>
  </si>
  <si>
    <t>HWC2021060429713
HWC2021060429714
HWC2021060429715
HWC2021060429716</t>
  </si>
  <si>
    <t>Packing List</t>
  </si>
  <si>
    <t>EMS02R20000789HWA0020H
EMS02R20000789HWA0024H
EMS02R20000789HWA0027H
EMS02R20000849HWA0001H</t>
  </si>
  <si>
    <t>4800015476
4800015628</t>
  </si>
  <si>
    <t>EGLV149106006907</t>
  </si>
  <si>
    <t>EMS02R20000710HWA0002H
EMS02R20000710HWA0003H
EMS02R20000710HWA0005H
EMS02R20000711HWA0001H
EMS02R20000711HWA0002H
EMS02R20000711HWA0004H
EMS02R20000712HWA0012H
EMS02R20000713HWA0004H
EMS02R20000713HWA0006H
EMS02R20000713HWA0010H
EMS02R20000723HWA0001H
EMS02R20000724HWA0003K
EMS02R20000751HWA0004H
EMS02R20000751HWA0005H
EMS02R20000751HWA0006H
EMS02R20000753HWA0001H
EMS02R20000753HWA0002H
EMS02R20000774HWA0001H
EMS02R20000774HWA0002H
EMS02R20000774HWA0003H</t>
  </si>
  <si>
    <t>EMS02R20000711HWA0005H
EMS02R20000712HWA0003H
EMS02R20000732HWA0002H
EMS02R20000732HWA0004H
EMS02R20000732HWA0005H
EMS02R20000732HWA0006H
EMS02R20000732HWA0007H
EMS02R20000733HWA0002H
EMS02R20000733HWA0003H
EMS02R20000733HWA0004H
EMS02R20000733HWA0005H
EMS02R20000733HWA0006H
EMS02R20000733HWA0007H
EMS02R20000733HWA0008H
EMS02R20000733HWA0009H
EMS02R20000751HWA0001H
EMS02R20000751HWA0002H
EMS02R20000753HWA0003H
EMS02R20000753HWA0004H
EMS02R20000753HWA0005H
EMS02R20000753HWA0006H
EMS02R20000758HWA0006H
EMS02R20000759HWA0006H
EMS02R20000761HWA0001H
EMS02R20000774HWA0004H
EMS02R20000774HWA0005H</t>
  </si>
  <si>
    <t>EMS01J20000160HWA0001H
EMS02R20000728HWA0001H
EMS02R20000728HWA0002H
EMS02R20000728HWA0003H
EMS02R20000728HWA0004H
EMS02R20000728HWA0007H
EMS02R20000728HWA0008H
EMS02R20000729HWA0001H
EMS02R20000729HWA0002H
EMS02R20000729HWA0003H
EMS02R20000729HWA0004H
EMS02R20000729HWA0008H
EMS02R20000730HWA0001H
EMS02R20000731HWA0003H
EMS02R20000734HWA0001H
EMS02R20000734HWA0003H
EMS02R20000735HWA0002H
EMS02R20000735HWA0003H
EMS02R20000788HWA0001H
EMS02R20000788HWA0004H
EMS02R20000788HWA0005H
EMS02S20000142HWA0020H
EMS02S20000150HWA0005H
EMS02S20000150HWA0008H
EMS02S20000150HWA0022H
EMS02S20000150HWA0025H</t>
  </si>
  <si>
    <t>EMS02R20000730HWA0002H
EMS02R20000730HWA0003H
EMS02R20000731HWA0001H
EMS02R20000731HWA0004H
EMS02R20000731HWA0005H
EMS02R20000787HWA0002H
EMS02R20000787HWA0005H
EMS02R20000787HWA0009H
EMS02R20000787HWA0013H
EMS02R20000787HWA0015H
EMS02R20000787HWA0023H
EMS02R20000788HWA0002H
EMS02R20000788HWA0003H
EMS02R20000789HWA0006H
EMS02R20000790HWA0001H
EMS02R20000790HWA0002H
EMS02R20000790HWA0004H
EMS02R20000791HWA0028H
EMS02R20000791HWA0036H
EMS02S20000148HWA0001H
EMS02S20000157HWA0001H</t>
  </si>
  <si>
    <t>EMS02R20000841HWA0001H
EMS02R20000843HWA0001H
EMS02S20000153HWA0001H
EMS02S20000160HWA0001H
EMS02S20000160HWA0002H
EMS02S20000160HWA0006H
EMS02S20000165HWA0001H
EMS02S20000167HWA0001H
EMS02S20000170HWA0002H</t>
  </si>
  <si>
    <t>HWC2021060835038
HWC2021060835039
HWC2021060835040
HWC2021060835041
HWC2021060835042
HWC2021060835043
HWC2021060835044
HWC2021060835045</t>
  </si>
  <si>
    <t>EMS02R20000787HWA0020H
EMS02R20000835HWA0001H
EMS02R20000835HWA0002H
EMS02R20000835HWA0006H
EMS02R20000835HWA0007H
EMS02R20000835HWA0008H
EMS02R20000836HWA0002H
EMS02R20000865HWA0004H</t>
  </si>
  <si>
    <t>4800015472
4800015596
4800015597
4800015643</t>
  </si>
  <si>
    <t>EGLV149106006826</t>
  </si>
  <si>
    <t>CMA CGM RODOLPHE 0AA9BW1MA</t>
  </si>
  <si>
    <t>EMS02R20000730HWA0005H
EMS02R20000787HWA0003H
EMS02R20000787HWA0004H
EMS02R20000787HWA0006H
EMS02R20000787HWA0010H
EMS02R20000787HWA0011H
EMS02R20000787HWA0012H
EMS02R20000787HWA0016H
EMS02R20000789HWA0005H
EMS02R20000789HWA0015H
EMS02R20000789HWA0017H
EMS02R20000789HWA0028H
EMS02R20000790HWA0005H
EMS02R20000791HWA0003H
EMS02R20000791HWA0013H
EMS02R20000791HWA0015H
EMS02R20000791HWA0020H</t>
  </si>
  <si>
    <t>EMS02R20000731HWA0002H
EMS02R20000787HWA0007H
EMS02R20000787HWA0008H
EMS02R20000789HWA0001H
EMS02R20000789HWA0002H
EMS02R20000789HWA0004H
EMS02R20000789HWA0007H
EMS02R20000789HWA0008H
EMS02R20000789HWA0009H
EMS02R20000789HWA0011H
EMS02R20000789HWA0012H
EMS02R20000789HWA0019H
EMS02R20000789HWA0022H
EMS02R20000789HWA0023H
EMS02R20000791HWA0005H
EMS02R20000791HWA0009H
EMS02R20000791HWA0018H
EMS02S20000148HWA0002H</t>
  </si>
  <si>
    <t>EMS02R20000730HWA0004H
EMS02R20000787HWA0001H
EMS02R20000787HWA0018H
EMS02R20000789HWA0003H
EMS02R20000789HWA0014H
EMS02R20000791HWA0001H
EMS02R20000791HWA0017H
EMS02R20000791HWA0031H
EMS02R20000791HWA0033H
EMS02R20000791HWA0035H
EMS02R20000797HWA0002H
EMS02R20000797HWA0004H
EMS02R20000797HWA0005H
EMS02R20000798HWA0001H
EMS02R20000798HWA0002H
EMS02R20000798HWA0003H
EMS02R20000798HWA0004H
EMS02R20000798HWA0005H</t>
  </si>
  <si>
    <t>EMS01J20000164HWA0001H
EMS02R20000712HWA0001H
EMS02R20000728HWA0009H
EMS02R20000734HWA0002H
EMS02R20000751HWA0003H
EMS02R20000789HWA0030H
EMS02R20000790HWA0003H
EMS02R20000791HWA0014H
EMS02R20000791HWA0019H
EMS02R20000791HWA0022H
EMS02R20000791HWA0026H
EMS02R20000791HWA0030H
EMS02S20000147HWA0001H
EMS02S20000147HWA0002H</t>
  </si>
  <si>
    <t>EMS02R20000787HWA0014H
EMS02R20000787HWA0017H
EMS02R20000787HWA0021H
EMS02R20000791HWA0010H
EMS02R20000791HWA0011H
EMS02R20000791HWA0029H
EMS02R20000791HWA0034H
EMS02R20000805HWA0004H
EMS02R20000805HWA0005H
EMS02R20000806HWA0001H
EMS02R20000849HWA0002H
EMS02R20000850HWA0002H
EMS02S20000160HWA0004H
EMS02S20000160HWA0005H
EMS02S20000160HWA0011H
EMS02S20000160HWA0012H
EMS02S20000160HWA0014H
EMS02S20000170HWA0001H
EMS02S20000170HWA0006H
EMS02S20000170HWA0008H</t>
  </si>
  <si>
    <t>EMS02R20000712HWA0002H
EMS02R20000712HWA0004H
EMS02R20000789HWA0010H
EMS02R20000789HWA0018H
EMS02R20000789HWA0026H
EMS02R20000789HWA0029H
EMS02R20000791HWA0004H
EMS02R20000791HWA0006H
EMS02R20000791HWA0012H
EMS02R20000791HWA0016H
EMS02R20000791HWA0024H
EMS02R20000791HWA0025H
EMS02R20000791HWA0032H
EMS02R20000797HWA0001H
EMS02R20000797HWA0003H
EMS02R20000805HWA0001H
EMS02R20000805HWA0002H
EMS02R20000805HWA0003H
EMS02R20000807HWA0001H
EMS02R20000810HWA0001H
EMS02R20000813HWA0001H
EMS02R20000825HWA0001H
EMS02R20000825HWA0002H
EMS02R20000835HWA0009H
EMS02R20000836HWA0003H
EMS02R20000837HWA0012H
EMS02R20000850HWA0001H
EMS02R20000850HWA0003H
EMS02S20000160HWA0009H</t>
  </si>
  <si>
    <t>21/1101845-6</t>
  </si>
  <si>
    <t>Unitrading</t>
  </si>
  <si>
    <t>HWC2021060733670
HWC2021060733669
HWC2021060733665
HWC2021060733671
HWC2021060733666
HWC2021060733668
HWC2021060733667</t>
  </si>
  <si>
    <t>EMS02R20000791HWA0023H
EMS02R20000791HWA0021H
EMS02R20000787HWA0019H
EMS02R20000835HWA0004H
EMS02R20000787HWA0024H
EMS02R20000791HWA0002H
EMS02R20000789HWA0013H</t>
  </si>
  <si>
    <t>MAERSK LAVRAS 122W</t>
  </si>
  <si>
    <t>4800015472
4800015476
4800015479
4800015596</t>
  </si>
  <si>
    <t>HWC2021061037136
HWC2021061037137
HWC2021061037138
HWC2021061037143
HWC2021061037144
HWC2021061037145</t>
  </si>
  <si>
    <t>EMS02R20000789HWA0016H
EMS02R20000789HWA0021H
EMS02R20000791HWA0027H
EMS02R20000835HWA0010H
EMS02R20000863HWA0003H
EMS02R20000863HWA0006H</t>
  </si>
  <si>
    <t>4800015476
4800015479
4800015596
4800015672</t>
  </si>
  <si>
    <t>*Shenker*
27/04 - Tender: HTM2021042700876
29/04 - Material coletado em 2021-04-28 22:00:00 - ETA SSZ 2021-06-08
30/04 - Recebido BL draft encaminhado para Original
TRHU7765304 / 40H / EMCGLY9031 / 58 CASES
TRHU7762429 / 40H / EMCGLY9311 / 57 CASES
TRHU7762389 / 40H / EMCGLY9921 / 50 CASES
01/06 - Data entrada: 31/05/2021
Status SIGVIG: Liberado
Sem divergência de peso. 
09/06 - DI registrada - Canal verde - entrega programada conforme abaixo.
Entrega dia 10/06 - conteiner TRHU7762389
Entrega dia 11/06 - conteiners TRHU7765304 e TRHU7762429.
11/06 - Material entregue.</t>
  </si>
  <si>
    <t>21/1119383-5</t>
  </si>
  <si>
    <t>*Shenker*
29/04 - Tender: HTM2021042610988
30/04 - Material coletado em 2021-05-04 - ETA SSZ 2021-06-14
05/05 - Recebido BL draft encaminhado para Original
EGHU9277637 / 40H / EMCFYT9621 / 46 CASES
DRYU9851832 / 40H / EMCFYT9851 / 48 CASES
EGHU9845948 / 40H / EMCFYT9831 / 42 CASES
09/06 - Data Atracação 08/06/2021 13:48:00
Status SIGVIG: Liberado
Sem divergência de peso
11/04 - DI Registrada - Canal verde - entrega programada conforme abaixo.
Entrega dia 14/06 - conteiners DRYU9851832 e EGHU9845948
Entrega dia 15/06 - conteiner EGHU9277637
15/06 - Material entregue.</t>
  </si>
  <si>
    <t>HWC2021061240162
HWC2021061240163
HWC2021061240134
HWC2021061240135
HWC2021061240136
HWC2021061240164
HWC2021061240137
HWC2021061240165
HWC2021061240166
HWC2021061240167
HWC2021061240138
HWC2021061240139
HWC2021061240168
HWC2021061240140
HWC2021061240161</t>
  </si>
  <si>
    <t>EMS01J20000166HWA0001H
EMS02R20000835HWA0003H
EMS02R20000835HWA0005H
EMS02R20000835HWA0011H
EMS02R20000837HWA0001H
EMS02R20000837HWA0002H
EMS02R20000837HWA0003H
EMS02R20000837HWA0004H
EMS02R20000837HWA0006H
EMS02R20000837HWA0010H
EMS02R20000863HWA0001H
EMS02R20000863HWA0002H
EMS02R20000863HWA0005H
EMS02R20000865HWA0002H
EMS02R20000870HWA0003H</t>
  </si>
  <si>
    <t>HWC2021060328346
HWC2021060328347
HWC2021060328331
HWC2021060328332
HWC2021060328333
HWC2021060328334</t>
  </si>
  <si>
    <t>EMS02R20000730HWA0007H
EMS02R20000787HWA0022H
EMS02R20000789HWA0025H
EMS02R20000791HWA0007H
EMS02R20000791HWA0008H
EMS02R20000836HWA0001H</t>
  </si>
  <si>
    <t>HWC2021060226049
HWC2021060226036
HWC2021060226050
HWC2021060225886
HWC2021060225885
HWC2021060226051
HWC2021060225887</t>
  </si>
  <si>
    <t>EMS02S20000170HWA0005H
EMS02S20000170HWA0004H
EMS02R20000843HWA0002H
EMS02S20000153HWA0004H
EMS02S20000153HWA0002H
EMS02S20000170HWA0003H
EMS02S20000167HWA0002H</t>
  </si>
  <si>
    <t>4800015642
4800015596
4800015598
4800015672
4800015643
4800015674</t>
  </si>
  <si>
    <t>4800015376
4800015472
4800015476
4800015479
4800015597</t>
  </si>
  <si>
    <t>4800015606
4800015533
4800015603
4800015648</t>
  </si>
  <si>
    <t>21/1144612-1</t>
  </si>
  <si>
    <t>*Maersk*
04/12 - Tender: HTM2020120402938
08/12 - Material coletado em 2020-12-05 04:05:00 - ETA SSZ 2021-01-03
HASU4692006 ML-CN9107018 40 DRY 9'6 43 Cases 5109.500 KGS 45.5400 CBM
04/01 - Data Atracação 03/01/2021 06:24:00
Status SIGVIG: Liberado
Com divergência de peso de -5,90 (dentro dos 10% permitidos pela Receita Federal).
05/01 - DI registrada - Canal verde - entrega programada para 11/01.
11/01 - Material entregue.</t>
  </si>
  <si>
    <t>EMS02R20000416HWA0001H EMS02R20000417HWA0001H
EMS02R20000426HWA0002H
EMS02R20000426HWA0003H
EMS02R20000426HWA0004H
EMS02R20000418HWA0001H</t>
  </si>
  <si>
    <t>*Maersk*
09/12 - Tender: HTM2020120901599
10/12 - Material coletado em 2020-12-10 04:20:00 - ETA SSZ 2021-01-17
MRKU9690770 ML-CN6398863 20 DRY 8'6 8 CASES 597.000 KGS 4.7000 CBM
20/01 - Data Descarga: 19/01/2021 20:11:17
Status SIGVIG: BL Liberado
Sem divergência de peso.
22/01 - DI registrada - Canal verde - entrega programada para 25/01
25/01 - Material entregue.</t>
  </si>
  <si>
    <t>EMS02R20000426HWA0001H</t>
  </si>
  <si>
    <t>*Shenker*
08/01 - Tender: HTM2021010802501
TCNU2736207 ML-CN5518293 40 DRY 9'6 50 Case 5620.910 KGS 51.4600 CBM
12/01 - Material coletado em 2021-01-08 22:00:00 - ETA SSZ 2021-02-14
20/01 - Recebido BL draft - encaminhado para Original
TCNU2736207 ML-CN5518293 40 DRY 9'6 50 Case 5620.910 KGS 51.4600 CBM
17/02 - Data Atracação 14/02/2021 20:24:00
Status SIGVIG: Liberado
Sem divergência de peso.
DI Registrada - Canal verde - entrega programada para 19/02
19/02 - Material entregue.</t>
  </si>
  <si>
    <t>EMS02R20000466HWA0002H
EMS02R20000466HWA0003H
EMS02R20000466HWA0005H
EMS02R20000467HWA0001H
EMS02R20000485HWA0001H
EMS02R20000485HWA0002H</t>
  </si>
  <si>
    <t>*Shenker*
12/01 - Tender: HTM2021011105303
18/01 - Recebido BL draft encaminado para Original
SUDU8692162 ML-CN5467268 40 DRY 9'6 54 Case 5286.500 KGS 51.1000 CBM
MRKU7024570 ML-CN5514674 20 DRY 8'6 33 Case 3244.440 KGS 20.6900 CBM
19/01 - Confirmado transbordo no porto de Singapura do navio MAERSK LEBU 053W para o MAERSK LONDRINA 101W
21/01 - Material coletado em 2021-01-12 22:00:00 - ETA SSZ 2021-02-14
17/02 - Data Atracação 14/02/2021 20:24:00
Status SIGVIG: Liberado
Sem divergência de peso.
DI Registrada - Canal verde - entrega programada para 
19/0219/02 - Material entregue.</t>
  </si>
  <si>
    <t xml:space="preserve">EMS02R20000466HWA0006H
EMS02R20000492HWA0001H
EMS02R20000471HWA0001H 
EMS02R20000466HWA0001H
EMS02R20000481HWA0001H
EMS02R20000488HWA0001H 
EMS02R20000480HWA0001H
EMS02R20000484HWA0003H
EMS02R20000487HWA0002H 
EMS02R20000485HWA0003H
EMS02R20000482HWA0002H
EMS02R20000483HWA0001H 
EMS02R20000466HWA0004H
EMS02R20000468HWA0001H </t>
  </si>
  <si>
    <t>*Shenker*
14/01 - Tender: HTM2021011403234
20/01 - Recebido BL draft - encaminhado para Original
HASU4280415 ML-CN8232155 40 DRY 9'6 54 Case 5627.890 KGS 44.2000 CBM
Material coletado em 2021-01-15 - ETA SSZ 2021-02-22
01/03 - Data Descarga: 28/02/2021 22:08:58
Status SIGVIG:  Liberado
Sem divergência de peso
05/03 - Liberado para registro
DI Registrada - Canal verde - entrega programada para 08/03.
09/03 - Email transportadora "Ocorre que tivemos um problema na comunicação com a escolta, que não entendeu que a entrega ocorreria ontem mesmo.
Dessa forma não enviou a viatura e tivemos que manter o veículo em nosso pátio." 
Reprogramada entrega para 09/03.
09/03 - Material entregue.</t>
  </si>
  <si>
    <t>EMS02R20000469HWA0001H
EMS02R20000470HWA0001H
EMS02R20000484HWA0001H
EMS02R20000487HWA0001H
EMS02R20000489HWA0001H
EMS02R20000490HWA0001H
EMS02R20000486HWA0001H
EMS01J20000138HWA0001H</t>
  </si>
  <si>
    <t>*Shenker*
15/01 - Tender: HTM2021011503326
18/01 - Recebido BL draft encaminhado para Original
TCLU2376150 ML-CN6430560 20 DRY 8'6 27 Case 3125.500 KGS 19.7900 CBM
20/01 - Material coletado em 2021-01-16 22:00:00 - ETA SSZ 2021-02-21
01/03 - Data Descarga: 28/02/2021 10:12:28
Status SIGVIG:  Liberado
Sem divergência de peso
05/03 - DI Registrada - Canal verde - entrega programada para 08/03.
09/03 - Email transportadora "Ocorre que tivemos um problema na comunicação com a escolta, que não entendeu que a entrega ocorreria ontem mesmo.
Dessa forma não enviou a viatura e tivemos que manter o veículo em nosso pátio." 
Reprogramada entrega para 09/03.
09/03 - Material entregue.</t>
  </si>
  <si>
    <t>EMS01J20000138HWA0002H
EMS02R20000482HWA0001H
EMS02R20000482HWA0003H
EMS02R20000494HWA0001H
EMS02R20000506HWA0001H
EMS02R20000507HWA0001H
EMS02S20000046HWA0001H
EMS02S20000048HWA0001H
EMS02R20000493HWA0001H</t>
  </si>
  <si>
    <t>*Shenker*
14/01 - Tender: HTM2021011304830
20/01 - Recebido BL draft - encaminhado para Original
MRKU3949083 ML-CN8232207 40 DRY 9'6 52 Case 5493.980 KGS 51.5900 CBM
21/01 - Material coletado em 2021-01-14 - ETA SSZ 2021-02-21
01/03 - Data Descarga: 28/02/2021 22:04:52
Status SIGVIG:  Liberado
Sem divergência de peso
09/03-  DI registrada - Canal verde - entrega programada para 10/03
10/03 - Material entregue.</t>
  </si>
  <si>
    <t>EMS02R20000483HWA0003H
EMS02R20000466HWA0007H
EMS02R20000486HWA0003H
EMS02R20000487HWA0003H
EMS02R20000483HWA0002H
EMS02R20000486HWA0002H
EMS02R20000483HWA0004H
EMS02R20000484HWA0004H</t>
  </si>
  <si>
    <t>*Shenker*
22/04 - Tender: HTM2021041701604
26/04 - Recebido BL draft encaminhado para Original
TRHU7756766 / 40H / EMCNFP8780 / 74 CASES
TCKU6067661 / 40H / EMCGMU8981 / 49 CASES
29/05 - Material coletado em 2021-04-23 14:43:01 - ETA SSZ 2021-06-03
01/06 - Data entrada: 31/05/2021
Status SIGVIG: Liberado
Com divergência de peso um pouco acima (-11,09%). 
Não solicitada repesagem, caso haja divergência será verificado no recebimento do material.
02/06 - DI Registrada - Canal verde - entrega programada para 07/06.
07/06 - Material entregue.</t>
  </si>
  <si>
    <t>EMS02R20000663HWA0001H
EMS02R20000693HWA0002H
EMS02R20000695HWA0001H
EMS02R20000696HWA0003H
EMS02R20000712HWA0005H
EMS02R20000712HWA0007H
EMS02R20000712HWA0010H
EMS02R20000712HWA0013H
EMS02R20000713HWA0001H
EMS02R20000713HWA0002H
EMS02R20000713HWA0005H
EMS02R20000713HWA0007H
EMS02R20000713HWA0008H
EMS02R20000722HWA0001H
EMS02R20000724HWA0001K
EMS02R20000724HWA0002K
EMS02R20000724HWA0004K
EMS02R20000732HWA0008H
EMS02R20000733HWA0001H
EMS02R20000736HWA0001H
EMS02R20000737HWA0001H
EMS02R20000752HWA0001H
EMS02R20000762HWA0001H
EMS02S20000131HWA0001H
EMS02S20000132HWA0001H
EMS02S20000139HWA0001H
EMS02S20000140HWA0001H</t>
  </si>
  <si>
    <t>*Shenker*
23/04 - Tender: HTM2021042300530
26/04 - Recebido BL draft encaminhado para Original
TRHU7763195 / 40H / EMCNFS1450 / 53 CASES
30/04 - Material coletado em 2021-04-24 10:58:49 - ETA SSZ 2021-06-04
01/06 - Data entrada: 31/05/2021
Status SIGVIG: Liberado
Sem divergência de peso.
02/06 - DI Registrada - Canal verde - entrega programada para 04/06.
04/06 - Material entregue.</t>
  </si>
  <si>
    <t>EMS02R20000663HWA0006H
EMS02R20000697HWA0003H
EMS02R20000710HWA0004H
EMS02R20000737HWA0002H
EMS02R20000737HWA0003H
EMS02R20000760HWA0001H</t>
  </si>
  <si>
    <t>*Shenker*
12/04 - Tender: HTM2021041201705
Recebido BL draft encaminhado para Original
BSIU8116231 / 40H / EMCMLW4820 / 54 CASES / (HI-CUBE) 1 x 40H
22/04 - Material coletado em 2021-04-13 22:00:00 - ETA SSZ 2021-05-24
24/05 - Data entrada: 21/05/2021
Status SIGVIG: Liberado
Sem divergência de peso.
26/05 - Ag. autorização para registro da DI (ex. rate).
31/05 - DI registrada - Canal verde - entrega programada para 01/06.
01/06 - Material entregue.</t>
  </si>
  <si>
    <t>EMS02R20000669HWA0016H
EMS02R20000683HWA0003H
EMS02R20000685HWA0001H
EMS02R20000685HWA0003H
EMS02R20000692HWA0006H
EMS02R20000692HWA0007H
EMS02R20000692HWA0012H
EMS02R20000692HWA0013H</t>
  </si>
  <si>
    <t>*Shenker*
02/04 - Tender: HTM2021040202792
03/04 - Material coletado em 2021-04-03 - ETA SSZ 2021-05-14
06/04 - Recebido BL draft encaminhado para Original
CAAU5724440 / 40H / EMCNFQ0160 / 73 CASES (HI-CUBE) 1 x 40H
Informação Original - SHW 41402I21 Navio Ever Laurel previsto para o dia 06/05 (Operador Embraport).
11/05 - DataEntrada: 10/05/2021 20:35:20
Status SIGVIG: Liberado
Sem divergência de peso.
DI Registrada - Canal verde - entrega programada para dia 12/05.
12/05 - Material entregue.</t>
  </si>
  <si>
    <t>EMS02R20000669HWA0002H
EMS02R20000669HWA0003H
EMS02R20000679HWA0001H
EMS02S20000124HWA0001H
EMS02R20000667HWA0008H
EMS02R20000667HWA0006H
EMS02R20000669HWA0011H
EMS01J20000156HWA0004H
EMS02S20000122HWA0001H
EMS01J20000156HWA0005H</t>
  </si>
  <si>
    <t>*Shenker*
31/03 - Tender: HTM2021033003609
05/04 - Material coletado em 2021-03-31 22:00:00 - ETA SSZ 2021-05-11
06/04 - Recebido BL draft - encaminhado para Original
Informação Original - SHW 41402I21 Navio Ever Laurel previsto para o dia 06/05 (Operador Embraport).
11/05 - Data Entrada: 11/05/2021 00:24:21
Status SIGVIG: Liberado
Sem divergência de peso.
11/05 - DI Registrada - Canal verde - entrega programada para 13/05.
13/05 - Material entregue.</t>
  </si>
  <si>
    <t>EMS01J20000156HWA0002H
EMS01J20000156HWA0009H
EMS02R20000661HWA0001H
EMS02R20000667HWA0001H
EMS02R20000667HWA0002H
EMS02R20000667HWA0003H
EMS02R20000667HWA0004H
EMS02R20000667HWA0005H
EMS02R20000667HWA0007H
EMS02R20000667HWA0009H
EMS02S20000104HWA0001H
EMS02S20000109HWA0001H</t>
  </si>
  <si>
    <t>*Shenker*
10/03 - Tender: HTM2021030601723
15/03 - Recebido BL draft encaminhado para Original
EGHU9216987 / 40H / EMCNHS0830 / 56 CASES 5800.180 KGS 47.30 CBM (HI-CUBE)
EGHU9360783 / 40H / EMCNHS0700 / 52 CASES 9030.500 KGS 61.16 CBM (HI-CUBE)
31/03 - Material coletado em 2021-03-11 22:00:00 - ETA SSZ 2021-04-21
06/04 - Informação Original - SHW 40985I21 Navio CMA CGM Rodolphe previsto para o dia 20/04 (Operador Embraport).
22/04 - Navio chegou em 20/04 - tripulantes com suspeita de COVID, resultado do exame sai hoje no final do dia.
07/05 - Data Entrada: 07/05/2021 14:40:38
Status SIGVIG: Liberado
Sem divergência de peso.
11/05 - DI Registrada - Canal verde - entrega programada para 13/05.
13/05 - Material entregue.</t>
  </si>
  <si>
    <t>EMS02R20000614HWA0001H
EMS02R20000614HWA0002H
EMS02R20000614HWA0003H
EMS02R20000614HWA0004H
EMS02R20000614HWA0005H
EMS02R20000615HWA0004H
EMS02R20000616HWA0003H
EMS02R20000616HWA0007H
EMS02R20000627HWA0002H
EMS02R20000627HWA0003H
EMS02R20000627HWA0004H
EMS02R20000627HWA0005H
EMS02R20000635HWA0001H
EMS02R20000635HWA0003H
EMS02S20000081HWA0001H</t>
  </si>
  <si>
    <t>*Shenker*
15/04 - Tender: HTM2021041502414
19/04 - Material coletado em 2021-04-16 11:53:33 - ETA SSZ 2021-05-27
Recebido BL draft encaminhado para Original
EITU1327476 / 40H / EMCNJJ1070 / 58 CASES / (HI-CUBE) 1 x 40H
BEAU4377622 / 40H / EMCNHV6570 / 62 CASES / (HI-CUBE) 1 x 40H
24/05 - Data entrada: 23/05/2021
Status SIGVIG: Liberado
Sem divergência de peso.
24/05 - DI registrada - Canal verde - entrega programada para 26/05.
26/05 - Material entregue.</t>
  </si>
  <si>
    <t>EMS01J20000156HWA0001H
EMS01J20000156HWA0003H
EMS01J20000157HWA0003H
EMS02R20000663HWA0009H
EMS02R20000669HWA0010H
EMS02R20000669HWA0012H
EMS02R20000669HWA0014H
EMS02R20000669HWA0015H
EMS02R20000669HWA0018H
EMS02R20000678HWA0002H
EMS02R20000685HWA0004H
EMS02R20000692HWA0001H
EMS02R20000692HWA0003H
EMS02R20000692HWA0004H
EMS02R20000692HWA0005H
EMS02R20000692HWA0011H
EMS02R20000704HWA0001H
EMS02R20000725HWA0001H</t>
  </si>
  <si>
    <t>*Shenker*
10/04 - Tender: HTM2021041001689
11/04 - Material coletado em 2021-04-11 14:19:07 - ETA SSZ 2021-05-22
13/04 - Recebido BL draft encaminhado para Original
BEAU5186636 / 40H / EMCNHV1720 / 59 CASES (HI-CUBE) 
BMOU5780236 / 40H / EMCNHV0130 / 62 CASES (HI-CUBE) 
OCGU8017444 / 40H / EMCNHV1000 / 50 CASES (HI-CUBE)
3 x 40H
24/05 - Data entrada: 21/05/2021
Status SIGVIG: Liberado
Sem divergência de peso.
24/05 - DI registrada - Canal verde - entrega programada para 26/05.
26/05 - Material entregue.</t>
  </si>
  <si>
    <t>EMS01J20000156HWA0007H
EMS01J20000156HWA0012H
EMS01J20000156HWA0013H
EMS01J20000156HWA0014H
EMS01J20000157HWA0002H
EMS01J20000157HWA0004H
EMS02R20000663HWA0002H
EMS02R20000663HWA0003H
EMS02R20000663HWA0005H
EMS02R20000669HWA0001H
EMS02R20000669HWA0004H
EMS02R20000669HWA0005H
EMS02R20000669HWA0007H
EMS02R20000669HWA0008H
EMS02R20000669HWA0009H
EMS02R20000669HWA0013H
EMS02R20000678HWA0001H
EMS02R20000683HWA0001H
EMS02R20000683HWA0002H
EMS02R20000684HWA0001H
EMS02R20000685HWA0002H
EMS02R20000686HWA0001H
EMS02R20000692HWA0009H
EMS02R20000692HWA0010H</t>
  </si>
  <si>
    <t>*Shenker*
19/04 - Tender: HTM2021041701555
20/04 - Recebido BL draft encaminhado para Original
EISU9479682 / 40H / EMCNJK9390 / 54 CASES
EITU1757923 / 40H / EMCNJB1290 / 50 CASES
FCIU7518820 / 40H / EMCNJK8070 / 59 CASES
26/04 - Material coletado em 2021-04-19 22:00:00 - ETA SSZ 2021-05-30
24/05 - Data entrada: 23/05/2021
Status SIGVIG: Liberado
Sem divergência de peso.
24/05 - DI registrada - Canal verde - entrega programada para 26/05.
26/05 - Material entregue.</t>
  </si>
  <si>
    <t>EMS01J20000156HWA0008H
EMS01J20000156HWA0015H
EMS01J20000156HWA0017H
EMS01J20000157HWA0005H
EMS02R20000663HWA0004H
EMS02R20000679HWA0002H
EMS02R20000685HWA0005H
EMS02R20000692HWA0002H
EMS02R20000692HWA0008H
EMS02R20000693HWA0001H
EMS02R20000693HWA0003H
EMS02R20000694HWA0001H
EMS02R20000696HWA0001H
EMS02R20000696HWA0002H
EMS02R20000697HWA0001H
EMS02R20000697HWA0002H
EMS02R20000697HWA0004H
EMS02R20000703HWA0001H
EMS02R20000703HWA0002H
EMS02R20000709HWA0001H
EMS02R20000709HWA0002H
EMS02R20000710HWA0001H
EMS02R20000711HWA0003H
EMS02R20000712HWA0006H
EMS02R20000712HWA0008H
EMS02R20000712HWA0009H
EMS02R20000712HWA0011H
EMS02R20000712HWA0014H
EMS02R20000713HWA0003H
EMS02R20000713HWA0009H
EMS02R20000732HWA0001H
EMS02R20000732HWA0003H
EMS02S20000127HWA0001H</t>
  </si>
  <si>
    <t>CARDIFF 0BD9SW1MA</t>
  </si>
  <si>
    <t>*Shenker*
10/05 - Tender: HTM2021050604724
Material coletado em 2021-05-09 19:08:37 - ETA SSZ 2021-06-19
12/05 - Recebido BL draft encaminhado para Original
15/06 - Data Entrada 14/06/2021
Status SIGVIG: Liberado
Sem divergência de peso
15/06 - DI Registrada - Canal verde - entrega programada para 16/06.
16/06 - Material entregue.</t>
  </si>
  <si>
    <t>EGLV149106707107</t>
  </si>
  <si>
    <t>*Shenker*
19/01 - Tender: HTM2021011801140
22/01 - Recebido BL draft encaminhado para Original
TCKU6582580 ML-CN5503402 40 DRY 9'6 44 Case 5506.160 KGS 47.1900 CBM
MSKU5620524 ML-CN5527289 20 DRY 8'6 31 Case 3394.000 KGS 20.1000 CBM
03/02 - Material coletado em 2021-01-18 22:00:00 - ETA SSZ 2021-02-21
22/02 - Data Atracação 22/02/2021 04:00:00
Status SIGVIG:  Liberado
Sem divergência de peso
11/03 - DI Registrada - Canal verde - Entrega programada para 12/03.
12/03 - Material entregue.</t>
  </si>
  <si>
    <t>EMS02R20000484HWA0002H
EMS02R20000518HWA0002H
EMS02R20000521HWA0001H
EMS02R20000518HWA0001H
EMS02R20000519HWA0001H
EMS02R20000520HWA0001H
EMS02R20000518HWA0003H</t>
  </si>
  <si>
    <t>*Shenker*
22/01 - Tender: HTM2021012201361
28/01 - Material coletado em 2021-01-23 22:00:00 - ETA SSZ 2021-02-25
29/01 - Recebido BL draft encaminhado para Original
Conteiner MAGU5413716
25/02 - DataEntrada: 25/02/2021 09:01:35
Status SIGVIG:  Liberado
Sem divergência de peso
22/03 - DI registrada - Canal verde - entrega programada para 23/02.
23/03 - Material entregue.</t>
  </si>
  <si>
    <t>EMS02R20000520HWA0002H
EMS02R20000520HWA0003H
EMS02R20000522HWA0001H
EMS02S20000050HWA0001H</t>
  </si>
  <si>
    <t>*Shenker*
30/01 - Tender: HTM2021013001087
04/02 - Recebido BL draft encaminhado para Original
MSKU1606889 ML-CN5465157 40 DRY 9'6 41 Case 4481.000 KGS 37.6100 CBM
Material coletado em 2021-02-01 22:00:00 - ETA SSZ 2021-03-07
10/03 - Data Atracação 09/03/2021 06:36:00
Status SIGVIG: Liberado
Sem divergência de peso
22/03 - DI registrada - Canal verde - entrega programada para 23/02.
23/03 - Material entregue.</t>
  </si>
  <si>
    <t>EMS01J20000139HWA0001H
EMS02R20000520HWA0004H
EMS02R20000525HWA0001H
EMS02R20000530HWA0003H
EMS02R20000530HWA0004H</t>
  </si>
  <si>
    <t>*Shenker*
17/02 - Tender: HTM2021021600538
22/02 - Recebido BL draft encaminhado para Original
24/02 - Material coletado em 2021-02-16 22:00:00 - ETA SSZ 2021-03-18
23/03 - Data de entrada - 22/03/2012 - 10:18:16
Status SIGVIG: Liberado
Com divergência de peso de 17%, enviado email para Zeic informando que seguiremos com o registro sem solicitar repesagem
Conteiners - EITU1805209 e EGHU3255219
24/03 - DI registrada - entrega programada para 25/03.
25/03 - Material entregue.</t>
  </si>
  <si>
    <t>EMS02R20000532HWA0001H
EMS02R20000544HWA0002H
EMS02R20000547HWA0001H
EMS02R20000547HWA0003H
EMS02R20000547HWA0005H
EMS02R20000547HWA0008H
EMS02R20000549HWA0001H
EMS02R20000549HWA0002H
EMS02R20000549HWA0003H
EMS02R20000549HWA0004H
EMS02R20000558HWA0001H
EMS02R20000573HWA0001H
EMS02R20000582HWA0001H
EMS02R20000585HWA0001H
EMS02R20000588HWA0001H
EMS02R20000589HWA0001H
EMS02S20000060HWA0001H</t>
  </si>
  <si>
    <t>*Shenker*
08/02 - Tender: HTM2021020700848
17/02 - Recebido BL draft encaminhado para Original
MSKU8391720 ML-CN7943965 40 DRY 9'6 54 Cases 7601.600 KGS 47.3700 CBM
23/02 - Material coletado em 2021-02-09 22:00:00 - ETA SSZ 2021-03-21
22/03 - Data Atracação 22/03/2021 02:00:00
Status SIGVIG: Liberado
Sem divergência de peso
24/03 - DI Registrada - Canal verde - entrega programada para 26/03.
26/03 - Material entregue.</t>
  </si>
  <si>
    <t>EMS02R20000547HWA0004H
EMS02R20000546HWA0003H
EMS02R20000549HWA0005H
EMS02R20000546HWA0001H
EMS02R20000546HWA0002H
EMS02R20000559HWA0001H</t>
  </si>
  <si>
    <t>*Shenker*
08/02 - Tender: HTM2021020601016
09/02 - Recebido BL dradf encaminhado para Original
FFAU1694737 ML-CN7974728 40 DRY 9'6 52 Case 5731.020 KGS 47.4600 CBM
10/02 - Informação inicial navio MAERSK LIRQUEN 105W - transbordo programado para o dia 20/02 alterando navio para MAERSK LABREA 106W
23/02 - Material coletado em 2021-02-09 22:00:00 - ETA SSZ 2021-03-21
22/03 - Data Atracação 22/03/2021 02:00:00
Status SIGVIG:Liberado
Sem divergêmcia de peso
24/03 - DI Registrada - Canal verde - entrega programada para 26/03
26/03 - Material entregue.</t>
  </si>
  <si>
    <t>EMS02R20000547HWA0002H
EMS02R20000520HWA0005H
EMS02R20000530HWA0002H
EMS02R20000548HWA0001H
EMS02R20000546HWA0006H
EMS02R20000544HWA0001H
EMS02R20000545HWA0001H
EMS02R20000557HWA0001H</t>
  </si>
  <si>
    <t>*Shenker*
04/02 - Tender: HTM2021020402810
23/02 - Material coletado em 2021-02-10 22:00:00 - ETA SSZ 2021-03-21
Recebido BL draft encaminhado para Original
TCKU6469640 ML-CN7943774 40 DRY 9'6 56 Case 6388.500 KGS 48.8400 CBM
25/03 - Data Descarga: 24/03/2021 21:20:06
Status SIGVIG: Retido
Sem divergência de peso
26/03 - DI registrada - Canal verde - entrega programada para 29/03.
29/03 - Material entregue.</t>
  </si>
  <si>
    <t>EMS02R20000530HWA0001H
EMS02R20000530HWA0005H
EMS02R20000547HWA0007H
EMS02R20000546HWA0005H</t>
  </si>
  <si>
    <t>*Shenker*
26/02 - Tender: HTM2021022602332 &amp; HTM2021022511864
08/03 - Recebido BL draft enviado para Original
11/03 - Recebido email com informações do embarque
Material coletado em 2021-02-27 16:01:08 - ETA SSZ 2021-04-09
05/04 - Data Entrada 03/04/2021 07:14:34
Status SIGVIG: Liberado
Sem divergência de peso
06/04 - DI registrada - Canal verde - entrega programada para 07/04.
07/04 - Material entregue.</t>
  </si>
  <si>
    <t>EMS02R20000602HWA0002H
EMS02R20000602HWA0004H
EMS02R20000586HWA0004H
EMS02R20000602HWA0003H
EMS02R20000602HWA0005H
EMS02R20000603HWA0005H
EMS02R20000601HWA0002H
EMS02R20000603HWA0006H
EMS02R20000602HWA0001H
EMS02R20000602HWA0006H
EMS02S20000067HWA0001H
EMS02S20000069HWA0001H</t>
  </si>
  <si>
    <t>*Shenker*
20/02 - Tender: HTM2021022001950
22/02 - Recebido BL draft encaminhado para Original
TGBU8910698 ML-CN8177469 40 DRY 9'6 51 Case 8238.780 KGS 44.6800 CBM
30/03 - Data Atracação 28/03/2021 21:42:00
Status SIGVIG: Liberado
Sem divergência de peso
31/03 - Recebido shipping advice
Material coletado em 2021-02-20 22:00:00 - ETA SSZ 2021-04-02.
07/04 - DI Registrada - Canal verde - entrega programada para dia 08/04.
08/04 - Material entregue.</t>
  </si>
  <si>
    <t>EMS02R20000546HWA0004H
EMS02R20000567HWA0001H
EMS02R20000572HWA0001H
EMS02R20000572HWA0003H
EMS02R20000572HWA0004H
EMS02R20000572HWA0005H
EMS02R20000572HWA0007H
EMS02R20000572HWA0012H
EMS02R20000574HWA0001H
EMS02R20000575HWA0001H
EMS02R20000601HWA0001H</t>
  </si>
  <si>
    <t>*Shenker*
05/03 - Tender: HTM2021030503619
12/03 - Recebido BL draft encaminhado para Original
TRHU6354844 / 40H / EMCMMB9400 / 55 CASES (HI-CUBE_ 1 X 40H
16/03 - Material coletado em 2021-03-06 14:17:59 - ETA SSZ  2021-04-16
06/04 - Informação Original - SHW 40853I21 Navio Switezerland previsto para o dia 11/04 (Operador Embraport).
09/04 - DataEntrada: 11/04/2021 15:46:50
Status SIGVIG: Liberado
Sem divergência de peso
12/04 - DI Registrado - Canal verde - Entrega programada para 13/04.
13/04 - Material entregue.</t>
  </si>
  <si>
    <t>EMS02S20000074HWA0001H
EMS02R20000616HWA0005H
EMS02R20000616HWA0006H
EMS02R20000615HWA0001H
EMS02R20000616HWA0001H
EMS02R20000616HWA0002H
EMS02R20000572HWA0014H
EMS02S20000078HWA0001H</t>
  </si>
  <si>
    <t>*Shenker*
06/03 - Tender: HTM2021030601022
12/03 - Recebido BL draft encaminhado para Original
GCXU5328891 / 40H / EMCNGS9960 / 57 CASES (HI-CUBE) 1 X 40H
16/03 - Material coletado em 2021-03-07 05:19:03 - ETA SSZ 2021-04-17
06/04 - Informação Original - SHW 40853I21 Navio Switezerland previsto para o dia 11/04 (Operador Embraport).
09/04 - DataEntrada: 11/04/2021 12:28:14
Status SIGVIG: Liberado
Sem divergência de peso
12/04 - DI Registrado - Canal verde - Entrega programada para 14/04.
14/04 - Material entregue.</t>
  </si>
  <si>
    <t>EMS02R20000586HWA0001H
EMS02R20000629HWA0001H
EMS02R20000616HWA0008H
EMS02R20000616HWA0004H
EMS02S20000067HWA0002H
EMS02R20000572HWA0015H
EMS02R20000572HWA0002H
EMS02R20000572HWA0010H
EMS02R20000614HWA0008H
EMS02R20000572HWA0009H</t>
  </si>
  <si>
    <t>*Shenker*
22/02 - Tender: HTM2021022200869
23/02 - Recebido BL draft encaminhado para Original
MSKU7063351 ML-CN8171676 20 DRY 8'6 19 Case 2383.000 KGS 18.8300 CBM
22/03 - Material coletado em 2021-02-23 00:22:00 - ETA SSZ 2021-04-05
30/03 - Data Atracação 28/03/2021 21:42:00
Status SIGVIG: Liberado
Sem divergência de peso
09/04 - DI Registrada - Canal verde - entrega programada para 14/04.
14/04 - Material entregue.</t>
  </si>
  <si>
    <t>EMS02R20000547HWA0006H
EMS02R20000572HWA0013H
EMS02R20000585HWA0002H</t>
  </si>
  <si>
    <t>*Shenker*
04/03 - Tender: HTM2021030305097
12/03 - Recebido BL draft encaminhado para Original
EGHU9414724 / 40H / EMCNGQ4470 / 67 CASES (HI-CUBE) 1 X 40H
16/03 - Material coletado em 2021-03-04 22:00:00 - ETA SSZ 2021-04-14
06/04 - Informação Original - SHW 40853I21 Navio Switezerland previsto para o dia 11/04 (Operador Embraport).
09/04 - DataEntrada: 11/04/2021 10:27:01
Status SIGVIG: Liberado
Sem divergência de peso
20/04 - DI registrada - Canal verde - entrega programada para 22/04
22/04 - Material entregue.</t>
  </si>
  <si>
    <t>EMS02R20000614HWA0006H
EMS02R20000586HWA0002H
EMS02R20000621HWA0002H
EMS02R20000603HWA0004H
EMS02R20000603HWA0003H
EMS02R20000586HWA0003H
EMS02R20000616HWA0009H</t>
  </si>
  <si>
    <t>*Shenker*
08/03 - Tender: HTM2021030803568
15/03 - Material coletado em 2021-03-08 22:00:00 - ETA SSZ 2021-04-18
19/03 - Recebido BL draft encaminhado para Original
TCKU7519874 ML-CN8155967 40 DRY 9'6 49 Case 5336.060 KGS 49.9200 CBM
06/04 - Informação Original - SHW 40852I21 Navio Seaspan Harrier previsto para o dia 11/04 (Operador BTP).
19/04 - Data Descarga: 17/04/2021 03:26:25
Status SIGVIG: Retido
Sem divergência de peso
20/04 - DI registrada - Canal verde - entrega programada para 22/04
22/04 - Material entregue.</t>
  </si>
  <si>
    <t>EMS02R20000615HWA0003H
EMS02R20000615HWA0002H
EMS02R20000615HWA0005H
EMS02R20000615HWA0006H
EMS02R20000621HWA0001H
EMS02R20000627HWA0001H</t>
  </si>
  <si>
    <t>*Shenker*
02/03 - Tender: HTM2021030104497
09/03 - Recebido BL draft enviado para Original
MSKU3435949 ML-CN8171063 20 DRY 8'6 26 Case 2526.820 KGS 23.6400 CBM
Informação inicial navio Navio AXEL MAERSK - 109W - transbordo programado para o dia 11/04 alterando navio para Maersk Lavras 109W
15/03 - Material coletado em 2021-03-04 22:00:00 - SSZ 2021-04-14
06/04 - Informação Original - SHW 40824I21 Navio Maersk Lavras previsto para o dia 11/04 (Operador Santos Brasil).
09/04 - Data Atracação  11/04/2021 20:40:00
Status SIGVIG: Liberado
Sem divergência de peso
20/04 - DI registrada - Canal verde - entrega programada para 22/04
22/04 - Material entregue.</t>
  </si>
  <si>
    <t>EMS02R20000572HWA0006H
EMS02R20000572HWA0008H
EMS02R20000572HWA0011H
EMS02R20000603HWA0008H</t>
  </si>
  <si>
    <t>*Shenker*
22/03 - Tender: HTM2021031903075
Material coletado em 2021-03-21 22:00:00 - ETA SSZ 2021-05-01
25/03 - Recebido BL draft - encaminhado para Original
MRKU9383840 ML-CN8123965 20 DRY 8'6 37 Case 1853.770 KGS 17.9900 CBM
26/03 - Informação inicial navio Navio SAN FELIPE 111W - transbordo programado para o dia 02/04 alterando navio para MSC Desiree 110A
06/04 - Informação Original - SHW 41096I21 Navio MSC Desiree previsto para o dia 20/04 (Operador BTP).
26/04 - Data Descarga: 23/04/2021 22:25:27
Status SIGVIG: Retido
Com divergência de peso acima dos 10%
Inspeção da Madeira em 27/04.
27/04 - DI Registrada - entrega programada para 28/04.
28/04 - Material entregue.</t>
  </si>
  <si>
    <t>EMS02R20000650HWA0001H
EMS02S20000096HWA0001H
EMS01J20000150HWA0001H
EMS01J20000150HWA0004H
EMS02R20000635HWA0004H</t>
  </si>
  <si>
    <t>*Shenker*
01/03 - Tender: HTM2021022702815
11/03 - Recebido BL draft encaminhado para Original
PONU7640237 ML-CN8176609 40 DRY 9'6 41 Case 4739.500 KGS 43.0100 CBM
12/03 - Material coletado em 2021-03-01 22:00:00 - ETA SSZ 2021-04-11
Informação inicial navio Navio AXEL MAERSK - 109W - transbordo programado para o dia 11/04 alterando navio para Maersk Lavras 109W
06/04 - Informação Original - SHW 40824I21 Navio Maersk Lavras previsto para o dia 11/04 (Operador Santos Brasil).
09/04 - Data Atracação  11/04/2021 20:40:00
Status SIGVIG: Liberado
Sem divergência de peso
30/04 - DI Registrada - Canal verde - entrega programada para 03/05.
03/05 - Material entregue.</t>
  </si>
  <si>
    <t>EMS02R20000603HWA0001H
EMS02R20000603HWA0002H
EMS02R20000603HWA0007H
EMS02S20000071HWA0001H</t>
  </si>
  <si>
    <t>*Shenker*
27/03 - Tender: HTM2021032701235
30/03 - Recebido BL draft - encaminhado para Original
MRKU7834210 ML-CN8120887 20 DRY 8'6 17 Case 2410.530 KGS 13.1300 CBM
05/04 - Material coletado em 2021-03-27 22:00:00 - ETA SSZ 2021-05-07
06/04 - Informação Original - SHW 41244I21 Navio MSC Gayane previsto para o dia 25/04 (Operador BTP).
23/04 - Data de atracação alterada de 25/04 para 29/4 - Navio pegou forte tempestade em alto mar.
03/05 - Data Descarga: 01/05/2021 09:31:29
Status SIGVIG: Liberado
Divergência de peso dentro dos 10%
DI Registrada - Canal verde - entrega programada para 04/05.
04/05 - Material entregue.</t>
  </si>
  <si>
    <t>EMS02R20000645HWA0002H
EMS02R20000645HWA0003H
EMS02R20000656HWA0002H
EMS02R20000656HWA0004H</t>
  </si>
  <si>
    <t>*Shenker*
23/03 - Tender: HTM2021032301300
25/03 - Recebido BL draft - encaminhado para Original
BMOU1090130 / 20' / EMCNHH5480 / 23 CASES (HI-CUBE) 1 X 20'
29/03 - Material coletado em 2021-03-24 22:00:00 - ETA SSZ 2021-05-04
06/04 - Informação Original - SHW 41160I21 Navio Seamax Rowayton previsto para o dia 22/04 (Operador Embraport).
30/04 - Data Entrada: 29/04/2021 22:39:03
Status SIGVIG: Liberado
Sem divergência de peso
04/05 - DI registrada - Canal verde - entrega programada para 05/05.
05/05 - Material entregue.</t>
  </si>
  <si>
    <t>EMS02R20000645HWA0001H
EMS02R20000656HWA0001H
EMS02R20000644HWA0001H
EMS02R20000656HWA0003H</t>
  </si>
  <si>
    <t>*Shenker*
06/04 - Tender: HTM2021040202196
08/04 - BL draft recebido encaminhado para Original
HASU4161463 ML-CN8271327 40 DRY 9'6 59 Case 6495.290 KGS 44.1600 CBM
19/04 - Material coletado em 2021-04-06 22:00:00 - ETA SSZ 2021-05-17
Informação Orignal - SHW 41401I21 Navio Cape Artemisio previsto para o dia 05/05 (Operador BTP).
05/05 - Problema para liberação do BL original
06/05 - Data Descarga: 06/05/2021 13:24:59
Status SIGVIG: Liberado
Sem divergência de peso.
10/05 - DI Registrada - Canal verde - entrega programada para 11/05.
11/05 - Material entregue.</t>
  </si>
  <si>
    <t>EMS02R20000663HWA0008H
EMS02R20000669HWA0006H
EMS02R20000669HWA0017H
EMS01J20000156HWA0006H
EMS01J20000157HWA0001H
EMS02R20000663HWA0007H
EMS01J20000156HWA0010H
EMS01J20000156HWA0011H</t>
  </si>
  <si>
    <t>*Shenker*
15/03 - Tender: HTM2021031301027
Material coletado em 2021-03-14 05:23:15 - ETA SSZ 2021-04-24
TRHU6346514 / 40H / EMCRLR5930 / 54 CASES (HI-CUBE) 1 X 40H
06/04 - Informação Original - SHW 40985I21 Navio CMA CGM Rodolphe previsto para o dia 20/04 (Operador Embraport).
22/04 - Navio chegou em 20/04 - tripulantes com suspeita de COVID, resultado do exame sai hoje no final do dia.
06/05 - Data Entrada: 06/05/2021 03:59:09
Status SIGVIG: Liberado
Com divergência de peso de -11%.
11/05 - DI Registrada - Canal verde - entrega programada para 12/05.
12/05 - Material entregue.</t>
  </si>
  <si>
    <t>EMS02R20000614HWA0009H
EMS02R20000635HWA0002H
EMS02R20000635HWA0006H
EMS02R20000635HWA0007H
EMS02S20000084HWA0001H
EMS02S20000087HWA0001H
EMS01J20000150HWA0002H
EMS01J20000151HWA0001H</t>
  </si>
  <si>
    <t>*Shenker*
15/03 - Tender: HTM2021031501033
TEMU7114839 / 40H / EMCNGT3960 / 57 CASES (HI-CUBE) 1 X 40H
22/03 - Material coletado em 2021-03-15 23:00:00 - ETA SSZ 2021-04-25
06/04 - Informação Original - SHW 40985I21 Navio CMA CGM Rodolphe previsto para o dia 20/04 (Operador Embraport).
22/04 - Navio chegou em 20/04 - tripulantes com suspeita de COVID, resultado do exame sai hoje no final do dia.
06/05 - Data Entrada: 06/05/2021 01:14:09
Status SIGVIG: Liberado
Sem divergência de peso.
11/05 - DI Registrada - Canal verde - entrega programada para 12/05.
12/05 - Material entregue.</t>
  </si>
  <si>
    <t>EMS01J20000150HWA0006H
EMS01J20000150HWA0007H
EMS02R20000635HWA0005H
EMS02R20000635HWA0008H
EMS02R20000635HWA0009H
EMS02R20000635HWA0010H
EMS02S20000088HWA0001H</t>
  </si>
  <si>
    <t>Picked up date</t>
  </si>
  <si>
    <t>ETA Santos
SSZ</t>
  </si>
  <si>
    <t>EGLV149106890076</t>
  </si>
  <si>
    <t>SEAMAX ROWAYTON 0020W</t>
  </si>
  <si>
    <t>HWC2021061746199
HWC2021061746200
HWC2021061746209
HWC2021061746221
HWC2021061746222
HWC2021061746223
HWC2021061746210
HWC2021061746224
HWC2021061746211</t>
  </si>
  <si>
    <t>EMS02R20000735HWA0001H
EMS02R20000837HWA0005H
EMS02R20000837HWA0007H
EMS02R20000837HWA0008H
EMS02R20000837HWA0009H
EMS02R20000837HWA0011H
EMS02R20000837HWA0013H
EMS02R20000837HWA0014H
EMS02R20000865HWA0001H</t>
  </si>
  <si>
    <t>GPON
BBUL10</t>
  </si>
  <si>
    <t>4800015643
4800015598
4800015382</t>
  </si>
  <si>
    <t>RRU L10
GPON</t>
  </si>
  <si>
    <t>19/11 - Tender HTM2019111805890
Material coletado em 2019-11-19 03:12:46 - ETA SSZ 2019-12-20
Enviado email solicitando alteração de embarcação devido a chegada do Navio estar próximo ao período de final de ano.
26/11 - Recebido OBL - documentos originais serão enviados via DHL.
06/11 - Data Atracação 20/12/2019 22:24:00
Status SIGVIG: Retido
Processo com divergência dentro dos 10%.
DI Registrada - Canal verde - Entrega programada para 07/01.
07/01 - Material entregue.</t>
  </si>
  <si>
    <t>EMS01J10000155HWA01H</t>
  </si>
  <si>
    <t>18/11 - Tender HTM2019111501163
19/11 - Material coletado em 2019-11-16 00:14:35 - ETA SSZ 2019-12-19
Enviado email solicitando alteração de embarcação devido a chegada do Navio estar próximo ao período de final de ano.
21/11 - Recebida cópia do BL - encaminhada para Original
26/11 - Recebido OBL - documentos originais serão enviados via DHL.
06/01 - Data Entrada: 19/12/2019 22:18:07
Status SIGVIG: Liberado
Processo com divergência dentro dos 10%.
DI Registrada - Canal verde - entrega programada para 07/01.
07/01 - Material entregue.</t>
  </si>
  <si>
    <t>EMS02R10000265HWA01H
EMS02R10000276HWA01H
EMS02R10000267HWA01H
EMS02R10000302HWA01H
EMS02R10000264HWA01H</t>
  </si>
  <si>
    <t>27/11 - Tender HTM2019112502083
Material coletado em 2019-11-26 10:41:33 - ETA SSZ 2019-12-27
28/11 - Recebida cópia do BL - encaminhada para Original
29/11 - Recebida loading list
10/12 - Documentos originais enviados pela DHL TN #864 0603 720
06/01 - Data Atracação 28/12/2019 14:18:00
Status SIGVIG: Liberado
Processo sem divergência de peso.
DI Registrada - Canal verde - entrega programada para 07/01.
07/01 - Material entregue.</t>
  </si>
  <si>
    <t>EMS02R10000341HWA02H
EMS02R10000341HWA03H
EMS02R10000343HWA02H
EMS01J10000160HWA01H
EMS02R10000343HWA03H
EMS02R10000328HWA02H
EMS02R10000328HWA03H
EMS02R10000332HWA02H
EMS02R10000332HWA03H
EMS02R10000341HWA01H
EMS01J10000165HWA01H
EMS02R10000332HWA01H
EMS02R10000328HWA01H
EMS02R10000343HWA01H
EMS01J10000158HWA01H</t>
  </si>
  <si>
    <t>02/12 - Tender HTM2019113004989
Material coletado em 2019-12-01 16:25:00 - ETA SSZ 2020-01-02
09/12 - Recebida cópia do BL - encaminhada para Original.
Container FFAU1280254 / 40H / EMCEAF8749 / 44 CAS
13/12 - Recebidas cópias das Invoices e Pls Originais, os documentos originais serão enviados via courrier.
16/12 - Documentos Originais enviados pela DHL TN#864 0603 731
06/01 - Data Entrada: 03/01/2020 09:47:13
Status SIGVIG: Liberado
Processo sem divergência de peso.
09/01 - DI registrada - Canal verde - entrega programada para 10/01.
10/01 - Material entregue.</t>
  </si>
  <si>
    <t>EMS02R10000302HWA02H
EMS02R10000330HWA02H
EMS02R10000330HWA03H
EMS02R10000331HWA03H
EMS02R10000310HWA01H
EMS02R10000330HWA01H
EMS02R10000329HWA01H
EMS02R10000331HWA01H</t>
  </si>
  <si>
    <t>10/12 - Tender HTM2019120901616
Material coletado em 2019-12-10 05:27:35 - ETA SSZ 2020-01-10
12/12 - Recebida cópia do BL - encaminhada para Original.
Container TGBU7085617 / 40H / EMCWVC4068 / 42 CAS
Container TLLU4721233 / 40H / EMCWUV2508 / 51 CAS
17/12 - Recebida cópia do BL original.
13/01 - Data Atracação 10/01/2020 10:54:00
Status SIGVIG: Liberado
Processo sem divergência de peso.
DI Registrada - Canal verde - entrega programada para 14/01.
14/01 - Material entregue.</t>
  </si>
  <si>
    <t>EMS02R10000259HWA01H
EMS02R10000260HWA01H
EMS02R10000305HWA01H
EMS02R10000295HWA01H
EMS02R10000297HWA01H
EMS01J10000171HWA01H
EMS01J10000176HWA01H
EMS02R10000361HWA01H
EMS02R10000331HWA02H
EMS02R10000305HWA02H
EMS02R10000305HWA03H
EMS02R10000361HWA02H
EMS02R10000361HWA03H
EMS01J10000178HWA02H</t>
  </si>
  <si>
    <t>06/01 - Tender HTM2019122102906
Material coletado em 2019-12-22 11:27:00
08/01 - Recebida cópia do BL - encaminhada para Original.
Container FFAU1265711
24/01 - Data Entrada: 24/01/2020 06:27:42
Status SIGVIG: Liberado
Processo sem divergência de peso.
27/01 - DI registrada - Canal verde - entrega programada para 28/01.
28/01 - Material entregue.</t>
  </si>
  <si>
    <t>EMS02R10000380HWA03H
EMS02R10000381HWA03H
EMS02R10000388HWA02H
EMS02R10000381HWA01H
EMS02R10000390HWA02H
EMS02R10000389HWA01H
EMS02R10000390HWA01H
EMS02R10000365HWA02H
EMS02R10000365HWA03H
EMS02R10000380HWA01H
EMS02R10000388HWA01H
EMS02R10000365HWA01H</t>
  </si>
  <si>
    <t>06/01 - Tender HTM2020010306024
07/01 - Material coletado em 2020-01-04 15:47:57
16/01 - Recebida cópia do BL - encaminhada para Original.
Container EITU1920990 / 40H / EMCEAR6269
17/01 - Alterado frete da Invoice HWC2020010375510
de: R$638,02 / para: R$514,02
10/02 - Data Entrada no terminal: 06/02/2020 23:46:22
Presença de carga em 10/02
Status SIGVIG: Liberado
Sem divergência de peso
10/02 - DI Registrada - Canal verde - entrega programada para 12/02.
12/02 - Material entregue.</t>
  </si>
  <si>
    <t>EMS02R10000306HWA01H
EMS02R10000299HWA02H
EMS02R10000300HWA02H
EMS02R10000424HWA12H
EMS02R10000300HWA01H
EMS02R10000299HWA01H</t>
  </si>
  <si>
    <t>13/01 - Tender HTM2020011102433
15/01 - Material coletado em 2020-01-12 23:59:00
17/01 - Recebido BL draft prendente de atualização, aguardando revisão HUAWEI
Alterado frete da Invoice HWC2020011191555
de: R$866,93 / para: R$668,93
Recebida Load list
20/01 - Recebido BL draft atualizado - encaminhado para Original.
Containers - EISU8229626 / 40H / EMCEAJ1739
                       EISU8229863 / 40H / EMCEAJ0779
11/02 - BL Original recebido pela Original
18/02 - Data Entrada: 17/02/2020 14:40:59
Status SIGVIG: Liberado
Sem divergência de peso
18/02 - DI registrada - Canal Verde - entrega programada para 19/02.
19/02 - Material entregue.</t>
  </si>
  <si>
    <t>EMS02R10000383HWA02H
EMS02R10000416HWA02H
EMS02R10000416HWA04H
EMS02R10000403HWA02H
EMS02R10000381HWA02H
EMS02R10000416HWA01H
EMS02R10000406HWA01H
EMS02R10000409HWA02H
EMS02R10000385HWA01H
EMS02R10000384HWA01H</t>
  </si>
  <si>
    <t>06/01 - Tender HTM2020010605250
07/01 - Material coletado em 2020-01-06 23:26:00
17/01 - Recebido BL draft prendente de atualização, aguardando revisão HUAWEI
Alterado frete da Invoice HWC2020010679876
de: R$674,15 / para: R$550,16
20/01 - Recebido BL draft  - Encaminhado para Original.
Container - EISU8235742 / 40H / EMCEAL3169
11/02 - BL Original recebido pela Original
18/02 - Data Entrada: 17/02/2020 22:43:34
Status SIGVIG: Liberado
Sem divergência de peso
DI Registrada - Canal verde - entrega programada para 19/02
19/02 - material entregue.</t>
  </si>
  <si>
    <t>EMS02R10000307HWA03H
EMS02R10000387HWA01H
EMS02R10000386HWA01H
EMS02R10000380HWA02H
EMS02R10000307HWA02H</t>
  </si>
  <si>
    <t>09/01 - Tender HTM2020010806857
10/01 - Material coletado em 2020-01-10 00:04:45
17/01 - Recebido BL draft prendente de atualização, aguardando revisão HUAWEI
Alterado frete da Invoice HWC2020010885931
de: R$388,93 / para: R$264,93
20/01 - Recebido BL revisado - encaminhado para Original.
Container - EISU8229971 / 40H / EMCEAM7289
11/02 - BL Original recebido pela Original
18/02 - DataEntrada: 17/02/2020 23:50:12
Status SIGVIG: Liberado
Sem divergência de peso
DI Registrada - Canal verde - entrega programada para 19/02
19/02 - Material entregue.</t>
  </si>
  <si>
    <t>EMS02R10000367HWA02H
EMS02R10000367HWA03H
EMS02R10000367HWA04H
EMS02R10000366HWA01H
EMS02R10000411HWA02H
EMS02R10000379HWA01H
EMS02R10000366HWA02H
EMS02R10000366HWA03H
EMS02R10000366HWA04H
EMS02R10000367HWA01H
EMS02R10000382HWA01H
EMS02R10000312HWA01H</t>
  </si>
  <si>
    <t>10/01 - Tender HTM2020010905682
13/01 - Material coletado em 2020-01-10 21:22:06
17/01 - Recebido BL draft prendente de atualização, aguardando revisão HUAWEI
Alterado frete da Invoice HWC2020010988096
de: R$564,47 / para: R$440,47
20/01 - Recebido BL draft revisado - Encaminhado para Original
Container EISU8228152 / 40H / EMCEAM5959
11/02 - BL Original recebido pela Original
18/02 - Data Entrada: 18/02/2020 00:02:27
Status SIGVIG: Liberado
Sem divergência de peso
DI Registrada - Canal verde - entrega programada para 20/02
20/02 - Material entregue.</t>
  </si>
  <si>
    <t>EMS02R10000307HWA04H
EMS02R10000307HWA05H
EMS02R10000410HWA02H
EMS02R10000416HWA03H
EMS02R10000306HWA02H
EMS02R10000409HWA01H
EMS02R10000411HWA01H
EMS02R10000410HWA01H
EMS02R10000383HWA01H</t>
  </si>
  <si>
    <t>13/01 - Tender HTM2020011303063
15/01 - Material coletado em 2020-01-13 23:41:59
17/01 - Recebido BL draft prendente de atualização, aguardando revisão HUAWEI
Alterado frete da Invoice HWC2020011394627
de: R$580,72 / para: R$456,71
20/01 - Recebido BL draft revisado - Encaminhado para Original.
Container - GAOU6407669 / 40H / EMCWUW3208
11/02 - BL Original recebido pela Original
17/02 - Data Atracação 15/02/2020 13:48:00
Status SIGVIG: Liberado
DI Registrada - Canal verde - entrega programada para 20/02
20/02 - Material entregue.</t>
  </si>
  <si>
    <t>EMS02R10000404HWA02H
EMS02R10000404HWA04H
EMS02R10000404HWA05H
EMS02R10000405HWA04H
EMS02R10000406HWA04H
EMS02R10000403HWA03H
EMS02R10000403HWA04H
EMS02R10000425HWA23H</t>
  </si>
  <si>
    <t>17/01 - Tender HTM2020011707920
21/01 - Material coletado em 2020-01-19 03:36:53
10/02 - Recebido BL draft - Solicitada correção nos custos locais que devem ser todos pagos na Origem.
11/02 - Recebido BL draft corrigido - encaminhado para Original.
26/02 - Data Entrada: 21/02/2020 18:25:11
Presença de carga em 26/02
Contêiner: EISU8238090
Status SIGVIG: Liberado
DI Registrada - Canal verde - aguardando pagamento da emissão do BL original para programar carregamento.
27/02 - Emissão do BL paga
Material entregue.</t>
  </si>
  <si>
    <t>EMS02R10000396HWA02H
EMS02R10000401HWA02H
EMS02R10000402HWA02H
EMS02R10000402HWA03H
EMS02R10000383HWA03H
EMS02R10000406HWA03H
EMS02R10000404HWA06H
EMS02R10000405HWA03H</t>
  </si>
  <si>
    <t>21/01 - Tender HTM2020012007682
22/01 - Material coletado em 2020-01-22 07:31:34
10/02 - Recebido BL draft - encaminhado para Original
27/02 - Data Atracação 26/02/2020 09:48:00
Contêiner: EITU0273539
Status SIGVIG: Liberado
28/02 - DI registrada - Canal verde - carregamento programado para 02/03.
02/03 - Material entregue.</t>
  </si>
  <si>
    <t>EMS02R10000401HWA01H
EMS02R10000425HWA21H
EMS02R10000425HWA22H
EMS02R10000425HWA24H
EMS02R10000415HWA01H
EMS02R10000402HWA01H</t>
  </si>
  <si>
    <t>17/01 - Tender HTM2020011604771
21/01 - Material coletado em 2020-01-17 19:14:33
10/02 - Recebido BL draft - Solicitada correção nos custos locais que devem ser todos pagos na Origem.
26/02 - Data Entrada: 21/02/2020 18:41:11
Presença de carga em 26/02
Contêiner: EISU8238042
Status SIGVIG: Liberado
DI Registrada - Canal verde - aguardando pagamento da emissão do BL original para programar carregamento.
27/02 - Emissão do BL paga
02/03 - Material entregue.</t>
  </si>
  <si>
    <t>EMS02R10000403HWA01H
EMS02R10000406HWA02H
EMS02R10000404HWA03H
EMS02R10000405HWA02H
EMS02R10000404HWA01H
EMS02R10000405HWA01H
EMS02R10000396HWA01H</t>
  </si>
  <si>
    <t>14/02 - Tender HTM2020021304061
17/02 - Material coletado em 2020-02-14 21:45:00
26/02 - Recebido BL draft - encaminhado para Original
20/03 - Data Entrada: 20/03/2020 02:47:13
Presença de carga em 20/03
Contêiner: EISU9153309
Status SIGVIG: Liberado
27/03 - DI registrada - canal verde - entrega programada para 30/03.
30/03 - Material entregue.</t>
  </si>
  <si>
    <t>EMS02R10000466HWA03H
EMS02R10000458HWA03H
EMS02R10000482HWA03H
EMS02R10000352HWA01H
EMS02R10000483HWA03H
EMS02R10000482HWA01H
EMS02R10000483HWA01H
EMS02R10000451HWA02H
EMS02R10000451HWA03H
EMS02R10000465HWA01H
EMS02R10000467HWA01H</t>
  </si>
  <si>
    <t>26/02 - Tender HTM2020022203595
Material coletado em 2020-02-24 00:38:23
09/03 - Recebido BL draft - encaminhado para Original
TCLU9909210 ML-CN9128448 40 DRY 9'6 50 CASE 6076.060 KGS 32.5200 CBM
SUDU8870290 ML-CN9128511 40 DRY 9'6 38 CASE 4378.400 KGS 44.6800 CBM
MRKU5654625 ML-CN9128513 40 DRY 9'6 58 CASE 6499.800 KGS 54.8300 CBM
11/03 - Recebido OBL - encaminhado para Original
30/03 - Data Atracação 29/03/2020 16:40:00
Status SIGVIG: Liberado
Conteiner: TCLU9909210
DI registrada - Canal verder - entrega programada para dia 01/04.
01/04 - Material entregue.</t>
  </si>
  <si>
    <t xml:space="preserve">EMS02R10000453HWA01H
EMS02R10000452HWA01H
EMS02R10000468HWA01H
EMS02R10000451HWA01H
EMS02R10000474HWA01H
EMS02R10000458HWA01H
EMS02R10000440HWA02H
EMS02R10000439HWA02H
EMS02R10000519HWA01H
EMS02R10000506HWA01H
EMS02R10000452HWA04H
EMS02R10000449HWA01H
EMS02R10000449HWA04H
EMS02R10000457HWA01H
EMS02R10000453HWA04H
EMS02R10000520HWA01H
EMS02R10000455HWA02H
EMS02R10000482HWA02H
EMS02R10000483HWA02H
EMS02R10000466HWA04H
EMS02R10000452HWA02H
EMS02R10000496HWA02H
EMS02R10000458HWA02H </t>
  </si>
  <si>
    <t>26/02 - Tender HTM2020022601604
02/03 - Material coletado em 2020-02-27 07:20:58
05/03 - Recebido BL draft - encaminhado para Original
10/03 - Recebido OBL - encaminhado para Original
06/04 - Data de Entrada 03/04/2020 - 08:59:58
Status SIGVIG Liberado
07/04 - DI registrada - Canal verde - Mateial entregue.</t>
  </si>
  <si>
    <t>EMS02R10000488HWA01H
EMS02R10000441HWA02H
EMS02R10000449HWA02H
EMS02R10000453HWA02H
EMS02R10000466HWA01H
EMS02R10000442HWA01H
EMS02R10000454HWA01H
EMS02R10000447HWA01H
EMS02R10000444HWA01H
EMS02R10000455HWA01H</t>
  </si>
  <si>
    <t>02/03 - Tender HTM2020022902369
03/03 - Material coletado em 2020/3/2 4:15 - ETA SSZ 2020/4/2
05/03 - Recebido BL draft - encaminhado para Original
10/03 - Recebido OBL - encaminhado para Original
06/04 - Data de Entrada 03/04/2020 - 08:57:36
Status SIGVIG Liberado
07/04 - DI Registrada - Canal verde - Material entregue.</t>
  </si>
  <si>
    <t>EMS02R10000475HWA01H
EMS02R10000443HWA02H
EMS02R10000527HWA01H
EMS02R10000489HWA02H
EMS02R10000446HWA01H
EMS02R10000445HWA01H
EMS02R10000489HWA01H</t>
  </si>
  <si>
    <t>06/03 - Tender HTM2020030505429
09/03 - Material coletado em 2020-03-06 17:31:18 - ETA SSZ 2020-04-09
11/03 - Recebido BL draft - encaminhado para Original
17/03 - Recebido OBL - encaminhado para Original
13/04 - Data Entrada: 11/04/2020 10:01:24
Status SIGVIG: Liberado
Contêiner: EGHU9196453
DI Registrada - Canal verde - entrega programada para 14/04
14/04 - Material entregue.</t>
  </si>
  <si>
    <t>EMS02R10000491HWA01H
EMS02R10000457HWA02H
EMS02R10000454HWA02H
EMS02R10000489HWA05H
EMS02R10000470HWA01H
EMS02R10000490HWA01H</t>
  </si>
  <si>
    <t>09/03 - Tender HTM2020030506762
Material coletado em 2020-03-06 21:26:00 - ETA SSZ 2020-04-09
11/03 - Recebido BL draft - encaminhado para Original
17/03 - Recebido OBL encaminhado para Original
13/04 - Data Entrada: 11/04/2020 10:17:12
Startus SIGVIG: Liberado 
Contêiner: EGHU9490600
DI Registrada - Canal verde - entrega programada para 14/04
14/04 - Material entregue.</t>
  </si>
  <si>
    <t>EMS02R10000469HWA01H
EMS02R10000466HWA02H
EMS02R10000474HWA05H</t>
  </si>
  <si>
    <t>11/03 - Tender HTM2020031104876
13/03 - Material coletado em 2020/3/12 15:45 - ETA SSZ 2020/4/12
19/03 - Recebido BL draft - encaminhado para Original
MSKU7089356 ML-CN0532788 20 DRY 8'6 41 Case 5032.160 KGS 18.9200 CBM
MRSU3927261 ML-CN0604914 40 DRY 9'6 55 Case 6551.700 KGS 52.9400 CBM
23/03 - Recebidas Invoices PLs assinados, OBL será emitido no Brasil
17/04 - Conteiner MSKU7089356 - Data de entrada 17/04 01:55:42
Conteiner MRSU3927261 - Data de entrada 16/04 08:47:23
SIGVIG Status: Liberado
DI Registrada - Canal verde - entrega programada para 20/04
20/04 - Material entregue.</t>
  </si>
  <si>
    <t>EMS02R10000485HWA01H
EMS02R10000456HWA01H
EMS02R10000509HWA01H
EMS02R10000512HWA01H
EMS02R10000511HWA01H
EMS02R10000513HWA01H
EMS02R10000490HWA05H
EMS02R10000474HWA06H
EMS02R10000456HWA02H
EMS02R10000524HWA01H
EMS02R10000567HWA13H
EMS02R10000578HWA01H
EMS02R10000594HWA01H
EMS02R10000593HWA01H
EMS02R10000577HWA01H
EMS02R10000525HWA01H
EMS02R10000480HWA03H</t>
  </si>
  <si>
    <t>16/03 - Tender HTM2020031310385
17/03 - Material coletado em 2020/3/14 19:52 - ETA SSZ 2020/4/12
19/03 - Recebido BL draft - encaminhado para Original
MRSU4105752 ML-CN9304738 40 DRY 9'6 24 Cases 1706.340 KGS 34.8600 CBM
MRSU3796259 ML-CN9304728 40 DRY 9'6 48 Cases 6774.000 KGS 55.6300 CBM
23/03 - Recebidas Invoices PLs assinados, OBL será emitido no Brasil
20/04 - Conteiner MRSU4105752 - Data de entrada 17/04 03:21:17
Conteiner MRSU3796259 - Data de entrada 16/04 09:46:34
SIGVIG Status: Liberado
DI Registrada - Canal verde - entrega programada para 22/04
22/04 - Material entregue.</t>
  </si>
  <si>
    <t>EMS02R10000528HWA01H
EMS02R10000481HWA04H
EMS02R10000581HWA01H
EMS02R10000475HWA02H
EMS02R10000529HWA01H</t>
  </si>
  <si>
    <t>17/03 - Tender HTM2020031500024
17/03 - Material coletado em 2020/3/16 4:37 - ETA SSZ 2020/4/16
19/03 - Recebido BL draft - encaminhado para Original
25/03 - Recebidas Invoices e PLs assinados
20/04 - Data Entrada: 17/04/2020 07:23:00
Contêiner: EMCU8254694
Status SIGVIG: Liberado
DI Registrada - Canal verde - entrega programada para 22/04
22/04 - Material entregue.</t>
  </si>
  <si>
    <t>EMS02R10000538HWA01H
EMS02R10000480HWA04H
EMS02R10000481HWA05H</t>
  </si>
  <si>
    <t>19/03 - Tender HTM2020031700003
23/03 - Material coletado em 2020-03-18 03:09:02 - ETA SSZ 2020-04-19
Recebido BL draft  - encaminhado para Original
MRSU3798740 ML-CN9304724 40 DRY 9'6 55 Case 5957.130 KGS 50.2500 CBM
22/04 - Data da Presença 21/04/2020
Status SIGVIG: Liberado
Registrada DI - entrega programada para 23/04.
23/04 - Material entregue.</t>
  </si>
  <si>
    <t>EMS02R10000513HWA02H
EMS02R10000476HWA06H
EMS02R10000477HWA06H
EMS02R20000027HWA0001H 
EMS02R10000478HWA06H
EMS02R10000475HWA03H
EMS02R10000599HWA01H
EMS01J10000189HWA02H
EMS01J10000189HWA07H
EMS02R20000018HWA0002H
EMS02R20000056HWA0002K
EMS02R20000026HWA0002H</t>
  </si>
  <si>
    <t>23/03 - Tender HTM2020031700003
Material coletado em 2020-03-22 00:05:38 - ETA SSZ 2020-04-23
Recebido BL draft  - encaminhado para Original
02/04 - OBL será emitido na origem, recebidas cópias de invoices e pls assinados
27/04 - Data de entada 24/04/2020 - 04:25:20
Conteineres EMCU8252726 / EMCU8252752 / EMCU8252768
Status SIGVIG: Liberado
30/04 - DI registrada - Canal verde - entrega programada para dia 04/05.
04/05 - Material entregue.</t>
  </si>
  <si>
    <t>EMS02R20000031HWA0001H
EMS02R20000026HWA0001H
EMS02R20000048HWA0001H
EMS02R20000057HWA0001H
EMS02R20000059HWA0001H
EMS02R20000058HWA0001H
EMS01J20000018HWA0008H
EMS02R20000027HWA0005H
EMS02R20000030HWA0004H
EMS02R20000030HWA0002H
EMS02R10000476HWA01H
EMS02R10000516HWA01H
EMS02R10000480HWA05H
EMS02R10000481HWA03H
EMS02R10000563HWA01H
EMS02R10000582HWA01H
EMS01J10000189HWA01H
EMS01J10000192HWA01H
EMS01J10000189HWA08H
EMS01J10000189HWA09H
EMS01J10000189HWA10H
EMS01J10000191HWA05H
EMS01J10000191HWA07H
EMS02R10000538HWA06H
EMS02R10000479HWA06H
EMS02R10000586HWA04H
EMS02R10000518HWA06H
EMS02R10000587HWA04H
EMS01J10000189HWA11H
EMS01J10000189HWA12H
EMS01J10000189HWA13H
EMS01J10000189HWA14H
EMS01J10000189HWA15H
EMS01J10000189HWA16H
EMS01J10000189HWA17H
EMS01J10000189HWA19H
EMS01J10000189HWA20H
EMS01J10000189HWA22H
EMS01J10000189HWA23H
EMS01J10000189HWA25H
EMS01J10000189HWA26H
EMS02R10000512HWA02H
EMS02R10000535HWA06H
EMS02R10000536HWA06H
EMS02R10000537HWA06H
EMS02R10000517HWA06H
EMS02R10000534HWA06H
EMS02R10000570HWA04H
EMS02R10000588HWA04H
EMS02R10000521HWA05H</t>
  </si>
  <si>
    <t>*MAERSK*
23/10- Recebido GL 
30/10 - OBL was arranged to be issued at destination, kindly have your customer / agent to approach this Maersk office, to get originals or check issuance status,
09/11 - Alterado ETA SSZ de 23/11 para 25/11
"Please kindly note vessel delay due to port congestion in Singapore."
26/11 - Data Atracação 25/11/2020 02:18:00
Status SIGVIG: Liberado
Sem divergência de peso
DI registrada - Canal verde - entrega programada para dia 27/11.
27/11 - Material entregue.</t>
  </si>
  <si>
    <t>EMS01J20000100HWA0002H
EMS01J20000106HWA0003H
EMS01J20000108HWA0001H
EMS01J20000106HWA0002H
EMS01J20000108HWA0002H</t>
  </si>
  <si>
    <t xml:space="preserve">*MAERSK*
21/10- Recebido GL #EMS01J20000091HWA0001H
23/10 - Recebido draft bl
24/10 - Pick up hj
23/11 - Data Atracação 23/11/2020 04:48:00
Status SIGVIG: Liberado
Divergência de peso dentro dos 10%
24/11 - DI registrada - Canal verde - entrega programada para dia 25/11
26/11 - Devido ao alto volume de cargas no terminal a transportadora não conseguiu entregar dentro do horário no dia 25/11. Entrega realizada na manhã do dia 26/11 - Material entregue
</t>
  </si>
  <si>
    <t>EMS01J20000091HWA0001H
EMS01J20000091HWA0003H
EMS01J20000091HWA0004H
EMS01J20000096HWA0002H
EMS01J20000096HWA0003H
EMS01J20000096HWA0005H
EMS01J20000104HWA0001H
EMS01J20000100HWA0001H</t>
  </si>
  <si>
    <t xml:space="preserve">*MAERSK*
13/10- Tender: 
Material coletado em  - ETA SSZ
15/10 - Recebido draft bl
24/10 - Pick up hj
03/11 - Recebido BL draft - encaminhado para Original
TCLU1445977 ML-CN9059670 20 DRY 8'6 81 Cases 1791.530 KGS 18.9800 CBM
24/11 - Data Atracação 23/11/2020 04:48:00
Status SIGVIG: Liberado
Divergência de peso dentro dos 10%
24/11 - DI registrada - Canal verde - entrega programada para dia 25/11
26/11 - Devido ao alto volume de cargas no terminal a transportadora não conseguiu entregar dentro do horário no dia 25/11. Entrega realizada na manhã do dia 26/11 - Material entregue
</t>
  </si>
  <si>
    <t>EMS01J20000076HWA0013H
EMS01J20000093HWA0001H
EMS01J20000096HWA0006H
EMS01J20000090HWA0003H
EMS01J20000076HWA0009H
EMS01J20000076HWA0010H
EMS01J20000076HWA0011H
EMS01J20000076HWA0012H</t>
  </si>
  <si>
    <r>
      <t xml:space="preserve">*MAERSK*
29/09 - Tender: HTM2020100100360
</t>
    </r>
    <r>
      <rPr>
        <sz val="9"/>
        <rFont val="Arial"/>
        <family val="2"/>
      </rPr>
      <t>30/09 - Incluído PL EMS01J20000076HWA0001H.
01/10 - Removido PL EMS01J20000076HWA0009H.
Material coletado em 2020-09-30 23:22:09 - ETA SSZ 2020-11-01
CNIU2458645 ML-CN6061561 40 DRY 9'6 84 Cases 2999.880 KGS 26.9400 CBM
09/10 - Alterado navio de: SEASPAN FALCON 039W para: MOL TRADITION 012W
16/10 - Mensagem da Maersk: ETD of last vessel is delay from East China Ports due to congestion and ETA was unchanged - iria sair dia 16 e agora vai sair dia 19
22/10 -  vessel delay due to port congestion in China ports - antes o ETA Santos era dia 2 e agora mudou para dia 7
27/10 - Navio previsto para atracar dia 02
30/10 - Atracação mudou novamente para dia 07
09/11 - Data Descarga: 08/11/2020 01:40:29
Status SIGVIG: NÃO SELECIONADO
Sem divergência de peso
12/11 - DI Registrada - Canal verde - entrega programada para dia 16/11.
16/11 - Material entregue.</t>
    </r>
  </si>
  <si>
    <t>EMS01J20000076HWA0002H
EMS01J20000076HWA0003H
EMS01J20000076HWA0004H
EMS01J20000076HWA0005H
EMS01J20000076HWA0006H
EMS01J20000076HWA0007H
EMS01J20000076HWA0008H
EMS01J20000076HWA0009H
EMS01J20000079HWA0001H
EMS01J20000083HWA0001H
EMS01J20000076HWA0001H</t>
  </si>
  <si>
    <t>*MAERSK*
03/09 - Tender: HTM2020090201450
08/09 - Material coletado em 2020-09-03 09:17:22 - ETA SSZ 2020-10-04
Recebido BL draft encaminhado para Original
HASU4130740 ML-CN6108195 40 DRY 9'6 49 Cases 7028.760 KGS 52.5700 CBM
Navio alterado de:SEASPAN HARRIER/035W / para:MSC DESIREE 036A
07/10 - Navio alterado de: MSC DESIREE 036A / para: MSC Gayane
16/10 - Email da Maersk: Due to vessel schedule delay in East China ports as port congestion, we need to divert cargo to a new vessel in Singapore to recover the schedule to avoid further delay to Latin America. ETA SANTOS was updated as Oct 18
16/10 - 16/10 - Hoje no site da BTP a tarcação mudou do dia 27 para dia 24
25/10 - Navio atracado dia 25 - está operando
26/10 - Presença de carga hj - SIGVIG liberado - DI registrada - canal verde
30/10 - Mercadoria entregue</t>
  </si>
  <si>
    <t>EMS02R20000320HWA0006H
EMS02R20000320HWA0002H
EMS02R20000320HWA0005H
EMS02R20000323HWA0003H
EMS02R20000323HWA0006H</t>
  </si>
  <si>
    <t>*MAERSK*
14/09 - Tender: HTM2020091101657
Material coletado em 2020-09-12 14:46:35 - ETA SSZ 2020-10-18
MRKU7469966 ML-CN5917988 20 DRY 8'6 24 Cases 1992.670 KGS 17.7900 CBM
15/09 - Recebido BL draft encaminhado para Original
18/10 - Navio atracado
19/10 - Presença de carga ok - SIGVIG liberado
21/10 - DI registrada - canal verde
23/10 - Mercadoria entregue</t>
  </si>
  <si>
    <t>EMS02R20000320HWA0004H
EMS01J20000065HWA0001H</t>
  </si>
  <si>
    <t>*PANALPINA*
31/08 - Tender: HTM2020083101351
01/09 - Material coletado em 2020-09-01 06:44:45 - ETA SSZ 2020-10-04
03/09 - Recebido BL draft encaminhado para Original
MRKU2495582 ML-CN6106889 40 DRY 9'6 78 Case 5172.230 KGS 45.5500 CBM
Navio alterado de:SEASPAN HARRIER/035W / para:MSC DESIREE 036A
saindo de Yantian no dia 14/09 e chegada em Santos no dia 11/10/2020
15/10 - Navio previsto para atracar hoje
16/10 - Navio atracado hj
19/10 - presença de carga hj - SIGVIG liberado
21/10 - DI registrada - canal verde
23/10 - Mercadoria entregue</t>
  </si>
  <si>
    <t>EMS01J20000064HWA0001H
EMS02R20000319HWA0002H
EMS02R20000320HWA0009H
EMS02R20000323HWA0007H</t>
  </si>
  <si>
    <t>*MAERSK*
31/08 - Tender: HTM2020082504817
03/09 - Recebido BL draft encaminhado para Original
MSKU0899967 ML-CN6117534 40 DRY 9'6 83 Cases 9685.540 KGS 49.1500 CBM
04/09 - Material coletado em 2020-08-27 04:08:46 - ETA SSZ 2020-09-27
28/09 - Data Descarga: 28/09/2020 10:26:25
Status SIGVIG: Liberado
Sem divergência de peso
07/10 - DI registrada - canal verde - entrega programada para 09/10.
09/10 - Mercadoria entregue</t>
  </si>
  <si>
    <t>EMS02R20000321HWA0001H
EMS02R20000320HWA0003H
EMS02R20000322HWA0001H
EMS02R20000324HWA0001H
EMS02R20000323HWA0005H
EMS02R20000319HWA0004H
EMS02R20000320HWA0010H
EMS02R10000953HWA04H</t>
  </si>
  <si>
    <t>*PANALPINA*
18/08 - Tender: HTM2020081801792
20/08 - Material coletado em 2020-08-19 21:30:15 - ETA SSZ 2020-09-22
21/08 - Recebido BL draft encaminhado para Original
MRKU3122639 ML-CN6068907 40 DRY 9'6 47 Case 6450.750 KGS 49.9100 CBM
Transporte Santos / Jundiaí será feito com a MSK Brazil.
22/09 - Alterado ETA SSZ para 25/09 "Please kindly note ETA change due to vessel delay from China ports as port congestion and bad weather in east china."
28/09 - Data Descarga: 26/09/2020 07:22:03
Status SIGVIG: Liberado
Sem divergência de peso
07/10 - DI registrada - canal verde - entrega programada para 09/10.
09/10 - Material entregue.</t>
  </si>
  <si>
    <t>EMS02R20000089HWA0001H
EMS02R20000089HWA0003H
EMS02R20000089HWA0007H
EMS02R20000297HWA0002H
EMS02R20000297HWA0009H
EMS02R20000297HWA0011H</t>
  </si>
  <si>
    <t>*PANALPINA*
31/08 - Tender: HTM2020082704740
Material coletado em 2020-08-28 14:10:47 - ETA SSZ 2020-09-27
03/09 - Recebido BL draft encaminhado para Original
HASU5187605 ML-CN6113901 40 DRY 9'6 50 Case 6413.000 KGS 49.6100 CBM
28/09 - Data Descarga: 28/09/2020 10:06:01
Status SIGVIG: Liberado
Sem divergência de peso
07/10 - DI registrada - canal verde - entrega programada para 08/10.
08/10 - Material entregue.</t>
  </si>
  <si>
    <t>EMS02R20000319HWA0001H
EMS02R20000319HWA0003H
EMS02R20000320HWA0011H
EMS02R20000323HWA0001H
EMS02R20000323HWA0004H
EMS02R20000324HWA0002H</t>
  </si>
  <si>
    <t>*PANALPINA*
31/08 - Tender: HTM2020082902241
01/09 - Material coletado em 2020-08-30 11:35:58 - ETA SSZ 2020-10-01
08/09 - Recebido BL draft encaminhado para Original
Conteiner TCLU6297975
05/10 - Data Entrada: 03/10/2020 04:00:11
Status SIGVIG: Liberado
Sem divergência de peso
07/10 - DI registrada - canal verde - entrega programada para 08/10.
08/10 - Material entregue.</t>
  </si>
  <si>
    <t>EMS02R20000089HWA0004H
EMS02R20000320HWA0001H
EMS02R20000320HWA0008H
EMS02R20000323HWA0002H
EMS02R20000324HWA0003H</t>
  </si>
  <si>
    <t>*DSV*
25/08 - Tender: HTM2020082201621
26/08 - Material coletado em 2020-08-23 14:38:11 - ETA SSZ 2020-09-24
02/09 - Recebido BL draft encaminhado para Original
Conteiner EMCU8264835
28/09 - Data Entrada: 25/09/2020 23:07:45
Status SIGVIG: Liberado
Sem divergência de peso
01/10 - DI registrada - canal verde - entrga programada para 02/10.
02/10 - Material entregue.</t>
  </si>
  <si>
    <t>EMS01J20000059HWA0001H
EMS02R20000292HWA0004H
EMS02R20000297HWA0001H
EMS02R20000297HWA0005H
EMS02R20000297HWA0010H
EMS02R20000305HWA0001H</t>
  </si>
  <si>
    <t>*PANALPINA*
14/08 - Tender: HTM2020081305164
17/08 - Material coletado em 2020-08-15 04:00:14 - ETA SSZ 2020-09-15
Recebido HAWB encaminhado para Original
MRSU3923395 ML-CN6198441 40 DRY 9'6 55 Case 5898.870 KGS 45.2200 CBM
MRSU4092125 ML-CN6198403 40 DRY 9'6 52 Case 8337.500 KGS 58.0400 CBM
Transporte Santos / Jundiaí será feito com a MSK Brazil.
15/09 - Data Descarga: 14/09/2020 16:03:44
Status SIGVIG: NÃO SELECIONADO
Sem divergência de peso.
18/09 - DI Registrada - Canal verde - entrega programada para dia 25/09.
25/09 - Material entregue.</t>
  </si>
  <si>
    <t>EMS02R20000291HWA0004H
EMS02R20000291HWA0005H
EMS02R20000292HWA0001H
EMS02R20000292HWA0002H
EMS02R20000296HWA0002H
EMS02R20000296HWA0003H
EMS02R20000296HWA0004H
EMS02R20000296HWA0005H
EMS02R20000296HWA0006H
EMS02R20000296HWA0008H
EMS02R20000296HWA0009H
EMS02R20000297HWA0006H
EMS02R20000297HWA0012H</t>
  </si>
  <si>
    <t>*PANALPINA*
14/08 - Tender: HTM2020081402522
17/08 - Material coletado em 2020-08-15 05:50:46 - ETA SSZ 2020-09-13
Recebido BL draft encaminhado para Original
MRSU3840958 ML-CN6198451 40 DRY 9'6 47 Cases 6024.650 KGS 47.7500 CBM
15/09 - Data Descarga: 15/09/2020 02:28:22
Status SIGVIG: NÃO SELECIONADO
Sem divergência de peso.
18/09 - DI Registrada - Canal verde - entrega programada para dia 25/09.
24/09 - Material entregue.</t>
  </si>
  <si>
    <t>EMS02R20000292HWA0003H
EMS02R20000291HWA0001H
EMS02R20000297HWA0003H
EMS02R20000297HWA0008H
EMS02R20000297HWA0007H</t>
  </si>
  <si>
    <t>*PANALPINA*
10/08 - Tender: HTM2020080803117
11/08 - Material coletado em 2020-08-10 00:29:53 - ETA SSZ 2020-09-10
21/08 - Recebido BL draft encaminhado para Original.
Conteiner: EGHU9212750 
10/09 - ETA SSZ alterado para 14/09
17/09 - Data entrada: 17/09/2020 10:07:30
Status SIGVIG: Liberado
Sem divergência de peso
21/09 - DI registrada - Canal verde - entrega programada para 24/09
24/09 - Material entregue.</t>
  </si>
  <si>
    <t>EMS02R10000950HWA03H
EMS02R10000952HWA06H
EMS02R10000953HWA02H
EMS02R20000089HWA0002H
EMS02S20000020HWA0001H</t>
  </si>
  <si>
    <t>*PANALPINA*
10/08 - Tender: HTM2020081001124
11/08 - Material coletado em 2020-08-11 00:29:53 - ETA SSZ 2020-09-13
17/08 - Recebido BL draft encaminhado para Original
MIEU0035588 ML-CN9072236 40 DRY 9'6 54 Case 6933.500 KGS 52.8900 CBM
MRKU9386644 ML-CN9059900 20 DRY 8'6 28 Case 3666.000 KGS 22.8600 CBM
MRSU3457419 ML-CN9072280 40 DRY 9'6 59 Case 6860.300 KGS 52.3800 CBM
15/09 - Data Atracação 13/09/2020 23:42:00
Status SIGVIG: Liberado
Sem divergência de peso.
17/09 - DI registrada - Canal verde - entrega programada conforme abaixo
Conteiner MRSU3457419 entrega em 18/09
Conteineres MRKU9386644 e MIEU0035588 entrega em 22/09
18/09 - Conteiner MRSU3457419 entregue.
22/09 - Conteineres MRKU9386644 e MIEU0035588 entregues.</t>
  </si>
  <si>
    <t xml:space="preserve">
EMS02S20000020HWA0002H
EMS02R10000814HWA03H
EMS02R10000952HWA03H
EMS02R20000205HWA0004H
EMS02R20000291HWA0002H
EMS02R20000291HWA0003H
EMS02R20000292HWA0005H
EMS02R20000293HWA0001H
EMS02R20000294HWA0001H
EMS02R20000296HWA0001H
EMS02R20000296HWA0007H
EMS02R20000297HWA0004H
EMS02R20000298HWA0001H
EMS02R20000299HWA0001H  EMS02R20000300HWA0001H</t>
  </si>
  <si>
    <t>*PANALPINA*
07/08 - Tender: HTM2020080705074
10/08 - Material coletado em 2020-08-08 08:50:56 ETA SSZ 2020-09-10
21/08 - Recebido BL draft encaminhado para Original.
Conteiner: TLLU4075920
10/09 - ETA SSZ alterado para 14/09
17/09 - Data entrada: 17/09/2020 10:07:30
Status SIGVIG: Liberado
Sem divergência de peso
18/09 - DI registrada - entrega programada para dia 21/09.
21/09 - Material entregue.</t>
  </si>
  <si>
    <t>EMS01J20000055HWA0001H
EMS02R10000604HWA01H
EMS02R10000769HWA03H
EMS02R10000772HWA03H
EMS02R10000815HWA03H
EMS02R10000816HWA03H
EMS02R20000089HWA0005H</t>
  </si>
  <si>
    <t xml:space="preserve">*PANALPINA*
20/07 - Tender: HTM2020071705900
21/07 - Material coletado em 2020-07-18 16:18:20 - ETA SSZ 2020-08-20
27/07 - Recebido BL draft encaminhado para Original.
Conteiner: DRYU2448492
24/08 - Data de entrada: 23/08/2020 18:41:36
Status SIGVIG - Liberado
Divergência de peso em 11%, informado para Zeic  - Seguiremos com desembaraço
27/08 - DI Registrada - Canal verde - entrega programada para 28/08
28/08 - Material entregue.
</t>
  </si>
  <si>
    <t>EMS01J20000042HWA0001H
EMS01J20000044HWA0001H</t>
  </si>
  <si>
    <t>*PANALPINA*
17/07 - Tender: HTM2020071102897
Material coletado em 2020-07-12 12:22:56 - ETA SSZ 2020-08-13
Recebido BL recebido BL draft encaminhado para Original.
Conteiner: TGCU5158718
17/08 - Data de entrada: 17/08/2020 01:10:59
Status SIGVIG - Liberado
Sem divergência de peso
20/08 - DI Registrada - Canal verde - entrega programada para 24/08
24/08 - Material entregue.</t>
  </si>
  <si>
    <t>EMS01J20000036HWA0007H
EMS01J20000038HWA0001H
EMS01J20000041HWA0001H
EMS02R10000960HWA01H
EMS02R10000960HWA02H
EMS02R10000960HWA03H</t>
  </si>
  <si>
    <t>*PANALPINA*
30/06 - Tender: HTM2020062903385
01/07 - Material coletado em 2020-06-30 14:52:40 - ETA SSZ 2020-08-02
Recebido BL draft encaminhado para Original.
TTNU3942329 ML-CN6174886 20 DRY 8'6 14 Case 2007.080 KGS 12.6400 CBM
MRSU3136907 ML-CN5346976 40 DRY 9'6 49 Case 7361.760 KGS 52.0500 CBM
07/08 - Data Descarga: 06/08/2020 07:58:34
Status SIGVIG - Liberado
Sem divergência de peso
11/08 - DI registrada - Canal verde - entrega programada para 14/08.
14/08 - Material entregue.</t>
  </si>
  <si>
    <t>EMS02R10000774HWA03H
EMS02R10000813HWA03H
EMS02R20000193HWA0007H
EMS02R20000205HWA0005H
EMS02R10000812HWA03H
EMS02R20000102HWA0006H
EMS02R20000193HWA0006H</t>
  </si>
  <si>
    <t>*PANALPINA*
01/07 - Tender: HTM2020070101637
02/07 - Material coletado em 2020-07-01 22:04:23 - ETA SSZ 2020-08-06
13/07 - Recebido BL draft encaminhado para Original.
Conteiner: SEGU5503331
07/08 - Data de entrada: 07/08/2020 10:13:47
Status SIGVIG - Liberado
Sem divergência de peso
11/08 - DI registrada - Canal verde - entrega programada para 14/08.
14/08 - Material entregue.</t>
  </si>
  <si>
    <t>EMS02R10000949HWA02H
EMS02R10000959HWA02H
EMS02R10001002HWA04H
EMS02R20000102HWA0004H
EMS02R20000189HWA0005H</t>
  </si>
  <si>
    <t>*PANALPINA*
19/06 - Tender: HTM2020062801409
Foxconn Purchasing comments: You do not have my GL for PLs EMS02S20000002HWA0020H, EMS02R20000236HWA0001H and EMS02R20000205HWA0006H. Material needs to be hold in China for Now. You have my GL for Invoices HWC2020062885154, HWC2020062885201, HWC2020062885202 only
30/06 - Material coletado em 2020-06-29 04:54:40 - ETA SSZ 2020-07-30
01/07 - Recebido BL draft encaminhado para Original
Conteiner TGCU5164238
31/07 - Data Descarga: 31/07/2020 05:13:03
Status SIGVIG: Liberado
06/08 - DI Registrada - Canal verde - entrega programada para 07/08.
07/08 - Material entregue.</t>
  </si>
  <si>
    <t>EMS01J20000033HWA0002H
EMS01J20000036HWA0004H
EMS01J20000036HWA0005H
EMS02R20000091HWA0001K
EMS02R20000103HWA0004H
EMS02R20000152HWA0005K
EMS02R20000158HWA0003K
EMS02R20000192HWA0005H
EMS02R20000205HWA0006H
EMS02R20000236HWA0001H
EMS02S20000002HWA0020H</t>
  </si>
  <si>
    <t>*PANALPINA*
18/06 - Tender: HTM2020061802132
19/06 - Material coletado em 2020-06-19 03:22:28 - ETA SSZ 2020-07-23
29/06 - Recebido BL draft encaminhado para Original
27/07 - Data Descarga: 27/07/2020 06:28:14
Status SIGVIG: Liberado
Sem divergência de peso.
Conteiner EMCU8237439
30/07 - DI Registrada - Canal verde - Entrega programada para 03/08.
03/08 - Material entregue.</t>
  </si>
  <si>
    <t>EMS01J20000036HWA0001H
EMS02R10000948HWA08H
EMS02R20000204HWA0005H
EMS02R20000205HWA0003H</t>
  </si>
  <si>
    <t>*PANALPINA*
17/06 - Tender: HTM2020061701783
19/06 - Material coletado em 2020-06-17 22:44:43 - ETA SSZ 2020-07-23
29/06 - Recebido BL draft encaminhado para Original
28/07 - Data Descarga: 27/07/2020 17:35:41
Status SIGVIG: Liberado
Sem divergência de peso.
Conteiner EMCU8237465
30/07 - DI Registrada - Canal verde - Entrega programada para 03/08.
03/08 - Material entregue.</t>
  </si>
  <si>
    <t>EMS02R20000204HWA0001H
EMS01J20000033HWA0003H
EMS02R10000958HWA04H
EMS02R10000959HWA05H</t>
  </si>
  <si>
    <t>*PANALPINA*
19/06 - Tender: HTM2020061903908
21/06 - Material coletado em 2020-06-20 11:11:22 - ETA SSZ 2020-07-23
29/06 - Recebido BL draft encaminhado para Original
27/07 - Data Descarga: 27/07/2020 12:55:04
Status SIGVIG: Liberado
Sem divergência de peso.
Conteiner EMCU8253701 / EITU0601664
30/07 - DI Registrada - Canal verde - Entrega programada para 03/08.
03/08 - Material entregue.</t>
  </si>
  <si>
    <t>EMS01J20000033HWA0001H
EMS01J20000036HWA0002H
EMS02R10000452HWA03H
EMS02R20000205HWA0001H
EMS02R20000206HWA0002H
EMS02R20000208HWA0002H</t>
  </si>
  <si>
    <t>*PANALPINA*
16/06 - Tender: HTM2020061601941
18/06 - Material coletado em 2020-06-17 00:06:37 - ETA SSZ 2020-07-19
22/06 - Recebido BL draft encaminhado para Original
SUDU5603789 ML-CN6202226 40 DRY 9'6 50 Case 7654.500 KGS 56.4600 CBM
TLLU2224217 ML-CN6204076 20 DRY 8'6 16 Case 2645.500 KGS 16.2500 CBM
21/07 - Data Descarga: 21/07/2020 03:01:11
Status SIGVIG: Liberado
Sem divergência de peso.
Conteineres: TLLU2224217 / SUDU5603789
23/07 - DI registrada - Canal verde - aguardando autorização de carregamento pela CEVA.
28/07 - Material entregue.</t>
  </si>
  <si>
    <t>EMS01J20000036HWA0003H
EMS02R10000773HWA03H
EMS02R10000959HWA03H
EMS02R10000959HWA04H
EMS02R20000204HWA0003H</t>
  </si>
  <si>
    <t>*PANALPINA*
15/06 - Tender: HTM2020061503234
18/06 - Material coletado em 2020-06-16 11:01:28 - ETA SSZ 2020-07-19
Recebido BL draft encaminhado para Original
HASU4254606 ML-CN9195793 40 DRY 9'6 47 Case 6811.500 KGS 52.9300 CBM
20/07 - Data Atracação 20/07/2020 02:12:00
Status SIGVIG: Liberado
Sem divergência de peso.
Conteiner: HASU4254606
23/07 - DI registrada - Canal verde - aguardando autorização de carregamento pela CEVA.
28/07 - Material entregue.</t>
  </si>
  <si>
    <t>EMS02R20000204HWA0004HEMS02R10000948HWA05H</t>
  </si>
  <si>
    <t>*PANALPINA*
15/06 - Tender: HTM2020061105788
16/06 - Material coletado em 2020-06-12 09:11:22 - ETA SSZ 2020-07-16
20/07 - Data Atracação 17/07/2020
Status SIGVIG: Liberado
Sem divergência de peso.
Conteiner: EMCU8256953
23/07 - DI registrada - Canal verde - aguardando autorização de carregamento pela CEVA.
27/07 - Material entregue.</t>
  </si>
  <si>
    <t>EMS02R10000948HWA04H
EMS02R10000948HWA06H
EMS02R10000952HWA04H
EMS02R10000952HWA05H
EMS01J20000029HWA0004H
EMS01J20000029HWA0005H
EMS02R10000950HWA01H
EMS02R10000953HWA01H
EMS02R20000211HWA0004H
EMS02R20000219HWA0001H</t>
  </si>
  <si>
    <t>*PANALPINA*
10/06 - Tender: HTM2020061002469
15/06 - Material coletado em 2020-06-11 11:30:41 - ETA SSZ 2020-07-16
19/06 - Recebido BL draft encaminhado para Original
17/07 - Data Atracação 17/07/2020
Status SIGVIG: Liberado
Sem divergência de peso.
Conteiners: EMCU8248876 / EMCU8248881 / EMCU8248897 / EMCU8249851
23/07 - DI registrada - Canal verde - aguardando autorização de carregamento pela CEVA.
24/07 - Conteiners: EMCU8248876 / EMCU8248881 entregues.
27/07 - Conteiners: EMCU8248897 / EMCU8249851 entregues.
Entrega finalizada.</t>
  </si>
  <si>
    <t>EMS02R10000951HWA02H
EMS02R10000957HWA02H
EMS02R10000953HWA06H
EMS02R10000958HWA05H
EMS02R20000203HWA0002H
EMS02R20000203HWA0001H
EMS02S20000003HWA0005K
EMS02R10000959HWA01H
EMS02R20000203HWA0005H</t>
  </si>
  <si>
    <t>*PANALPINA*
15/06 - Tender: HTM2020061302325
16/06 - Material coletado em 2020-06-14 05:49:56 - ETA SSZ 2020-07-16
19/06 - Recebido BL draft encaminhado para Original
17/07 - Data Atracação 17/07/2020
Status SIGVIG: Liberado
Sem divergência de peso.
Conteiners: EGHU3884607 / EMCU8248855
23/07 - DI registrada - Canal verde - aguardando autorização de carregamento pela CEVA.
24/07 - Material entregue.</t>
  </si>
  <si>
    <t>EMS01J20000029HWA0003H
EMS02R10000957HWA05H
EMS02R10000958HWA02H
EMS02R10000948HWA07H
EMS02R20000203HWA0004H
EMS01J20000025HWA0001H</t>
  </si>
  <si>
    <t>*PANALPINA*
08/06 - Tender: HTM2020060602497
09/06 - Material coletado em 2020-06-07 10:07:31 - ETA SSZ 2020-07-09
15/06 - Recebido BL draft encaminhado para Original
Conteineres: BEAU5186847 / DRYU2996238 / 
13/07 - Data de entrada 10/07/2020
Status SIGVIG: Liberado
Sem divergência de peso.
16/07 - DI registrada - Canal verde - entrega programada para 21/07.
21/07 - Material entregue.</t>
  </si>
  <si>
    <t>EMS02R10000951HWA04H
EMS02R10000957HWA03H
EMS02R10000953HWA05H
EMS02R10000811HWA05H
EMS02R20000207HWA0001H
EMS02R10000958HWA01H
EMS02R10000952HWA01H</t>
  </si>
  <si>
    <t>*PANALPINA*
08/06 - Tender: HTM2020060801463
09/06 - Material coletado em 2020-06-09 04:31:11 - ETA SSZ 2020-07-09
10/06 - Recebido BL draft encaminhado para Original
MRKU4866110 ML-CN9111930 40 DRY 9'6 42 Case 6651.000 KGS 47.1700 CBM
MRKU8894527 ML-CN9148020 20 DRY 8'6 24 Case 2829.000 KGS 23.3600 CBM
13/07 - Data Atracação 12/07/2020 22:42:00
Status SIGVIG: Liberado
Sem divergência de peso.
16/07 - DI registrada - Canal verde - entrega programada para 20/07.
20/07 - Material entregue.</t>
  </si>
  <si>
    <t>EMS02R20000198HWA0002H
EMS02R20000199HWA0004H
EMS02R10000956HWA04H
EMS02R10000958HWA03H</t>
  </si>
  <si>
    <t>*PANALPINA*
08/06 - Tender: HTM2020060702088
09/06 - Material coletado em 2020-06-08 04:53:36 - ETA SSZ 2020-07-09
15/06 - Recebido BL draft encaminhado para Original
Conteiner: EGHU9256085
13/07 - Data de entrada: 10/07/2020
Status SIGVIG: Liberado
Sem divergência de peso.
16/07 - DI registrada - Canal verde - entrega programada para 20/07.
20/07 - Material entregue.</t>
  </si>
  <si>
    <t>*PANALPINA*
05/06 - Tender: HTM2020060502264
08/06 - Material coletado em 2020-06-06 05:54:55 - ETA SSZ 2020-07-09
15/06 - Recebido BL draft encaminhado para Original
Conteiner EITU1652732
13/07 - Data de entrada: 10/07/2020
Status SIGVIG: Liberado
Sem divergência de peso.
16/07 - DI registrada - Canal verde - entrega programada para 17/07.
17/07 - Material entregue.</t>
  </si>
  <si>
    <t>EMS02R20000199HWA0002H
EMS02R10000951HWA01H
EMS02R10000953HWA07H</t>
  </si>
  <si>
    <t>*PANALPINA*
05/06 - Tender: HTM2020060401093
08/06 - Material coletado em 2020-06-05 03:31:58 - ETA SSZ 2020-07-09
15/06 - Recebido BL draft encaminhado para Original
Conteiner EGHU9110830 / TGCU2008890
13/07 - Data de entrada: 10/07/2020
Status SIGVIG: Liberado
Sem divergência de peso.
16/07 - DI registrada - Canal verde - entrega programada para 17/07.
17/07 - Material entregue.</t>
  </si>
  <si>
    <t>EMS02R20000199HWA0001H
EMS02R10000952HWA02H
EMS02R10000956HWA03H
EMS02R10000952HWA07H</t>
  </si>
  <si>
    <t>*PANALPINA*
02/06 - Tender: HTM2020053101143
Material coletado em 2020-05-31 22:36:53 - ETA SSZ 2020-06-25
05/06 - Recebido BL draft encaminhado para Original
Conteineres: EGHU3699384 / EMCU8259227
06/07 - Data de entrada: 05/07/2020
Status SIGVIG: Liberado
Sem divergência de peso.
07/07 - DI registrada - Canal verde - entrega programada para 10/07.
10/07- Conteineres EGHU3699384 / EMCU8259227 entregues.
Entrega finalizada.</t>
  </si>
  <si>
    <t>EMS02R20000200HWA0002H
EMS02R10000949HWA03H
EMS02R10000950HWA02H
EMS02R10000951HWA03H</t>
  </si>
  <si>
    <t>*PANALPINA*
27/05 - Tender: HTM2020052901467
02/06 - Material coletado em 2020-05-29 23:59:27 - ETA SSZ 2020-06-25
05/06 - Recebido BL draft encaminhado para Original
Conteineres: EMCU8259192 / EMCU8259844
06/07 - Data de entrada: 05/07/2020
Status SIGVIG: Liberado
Sem divergência de peso.
07/07 - DI registrada - Canal verde - entrega programada para 10/07.
10/07 - Conteineres EMCU8259192 / EMCU8259844 entregues.
Entrega finalizada.</t>
  </si>
  <si>
    <t>EMS02R10000948HWA01H
EMS02R10000948HWA02H
EMS02R10000948HWA03H
EMS02R10000950HWA06H
EMS01J20000021HWA0001H
EMS02R10000770HWA03H
EMS02R10000771HWA03H
EMS02R10000957HWA01H
EMS02R20000123HWA0001H</t>
  </si>
  <si>
    <t>*PANALPINA*
27/05 - Tender: HTM2020052605207
28/05 - Material coletado em 2020-05-27 14:30:25 - ETA SSZ 2020-06-25
05/06 - Recebido BL draft encaminhado para Original
Conteineres: EMCU8238902 / EMCU8238923
06/07 - Data de entrada: 04/07/2020
Status SIGVIG: Liberado
Sem divergência de peso.
07/07 - DI registrada - Canal verde - entrega programada para 09/07.
09/07 - Conteineres EMCU8238902 / EMCU8238923 entregues.
Entrega finalizada.</t>
  </si>
  <si>
    <t>EMS02R10000946HWA04H
EMS02R10000946HWA05H
EMS02R10000949HWA06H
EMS02R10000808HWA03H
EMS02R10000809HWA05H
EMS02R10000955HWA01H
EMS02R10000956HWA01H
EMS02R10000454HWA04H
EMS02R10000810HWA03H
EMS02R10000809HWA03H
EMS02R10000945HWA01H
EMS02R10000454HWA03H
EMS02R20000115HWA0001H</t>
  </si>
  <si>
    <t>*PANALPINA*
29/05 - Tender: HTM2020052904188
02/06 - Material coletado em 2020-05-30 02:05:11 - ETA SSZ 2020-06-25
05/06 - Recebido BL draft encaminhado para Original
Conteiner: EMCU8259994
06/07 - Data de entrada: 05/07/2020
Status SIGVIG: Liberado
Sem divergência de peso.
07/07 - DI registrada - Canal verde - entrega programada para 09/07.
09/07 - Conteiner EMCU8259994 entregue.
Entrega finalizada.</t>
  </si>
  <si>
    <t>EMS02R10000811HWA03H
EMS02R10000950HWA04H
EMS02R10000950HWA05H
EMS02R10000956HWA02H</t>
  </si>
  <si>
    <t>EMS01J20000027HWA0001H
EMS02R10000769HWA04H
EMS02R10000957HWA04H
EMS02R10000958HWA06H
EMS02R20000198HWA0003H
EMS02R20000199HWA0005H</t>
  </si>
  <si>
    <t>26/03 - Tender HTM2020032506656
02/04 - Material coletado em 2020/3/26 21:26 - ETA SSZ 2020/4/30
03/04 - Recebido BL draft - encaminhado para Original
14/04 - OBL será emitido no Brasil
04/05 - Data de entada 01/05/2020 - 02:08:58
Conteiner EMCU8253105 / TEMU0694801 / TLLU4139140
Status SIGVIG: Liberado
DI registrada - Canal verde - entrega programada para 06/05.
06/05 - Material entregue.</t>
  </si>
  <si>
    <t>EMS02R10000536HWA01H
EMS02R10000570HWA01H
EMS02R10000592HWA01H
EMS02R10000587HWA01H
EMS02R10000586HWA01H
EMS01J10000191HWA09H
EMS01J10000189HWA06H
EMS02R10000513HWA05H
EMS02R10000456HWA05H
EMS02R10000521HWA01H
EMS02R10000535HWA01H
EMS02R10000479HWA01H
EMS01J10000189HWA30H
EMS01J10000189HWA31H
EMS01J10000189HWA32H
EMS02R10000586HWA02H
EMS02R10000522HWA05H
EMS01J10000189HWA27H
EMS02R10000640HWA02H
EMS02R10000536HWA02H
EMS01J10000189HWA28H
EMS02R10000587HWA02H
EMS01J10000189HWA24H
EMS02R20000048HWA0002H
EMS02R20000028HWA0001H
EMS02R20000029HWA0001H
EMS02R20000011HWA0001H</t>
  </si>
  <si>
    <t>31/03 - Tender HTM2020032802562
30/03 - Material coletado em 2020/3/29 10:45 - ETA SSZ 2020/4/30
03/04 - Recebido BL draft - encaminhado para Original
14/04 - OBL será emitido no Brasil
04/05 - Data de entada 01/05/2020 - 01:46:09
Conteiner EMCU8254858 / EMCU8254945
Status SIGVIG: Liberado
DI registrada - Canal verde - entrega programada para 06/05.
06/05 - Material entregue.</t>
  </si>
  <si>
    <t>EMS02R20000013HWA0001H
EMS02R20000044HWA0001H
EMS02R20000016HWA0001H
EMS02R20000015HWA0001H
EMS02R20000062HWA0001H
EMS02R20000031HWA0003H
EMS02R20000034HWA0004H
EMS02R10000478HWA01H
EMS02R10000522HWA01H
EMS02R10000518HWA01H
EMS02R10000564HWA01H
EMS01J10000190HWA01H
EMS01J10000189HWA18H
EMS01J10000189HWA21H
EMS02R10000537HWA02H
EMS01J10000189HWA33H
EMS01J10000189HWA34H
EMS01J10000189HWA38H
EMS01J10000189HWA40H
EMS02R10000641HWA02H
EMS02R10000589HWA04H
EMS02R10000590HWA04H
EMS02R10000591HWA04H
EMS02R10000639HWA02H</t>
  </si>
  <si>
    <t>*PANALPINA*
25/05 - Tender: HTM2020052107037
26/05 - Material coletado em 2020-05-22 23:39:01 - ETA SSZ 2020-06-25
29/06 - Data de entrada 26/06
Status SIGVIG: Liberado
Sem divergência de peso
Conteineres EMCU8240957 / EMCU8241043 / EMCU8243690 / EMCU8243880
30/06 - DI Registrada - Canal verde - entrega programada conforme abaixo.
Conteineres EMCU8240957 / EMCU8243690 / EMCU8243880 entrega em 02/07.
Conteiner  EMCU8241043 entrega em 03/07.
02/07 - Conteineres EMCU8240957 / EMCU8243690 / EMCU8243880 entregues.
03/07 - Conteiner  EMCU8241043 entregue.
Entrega finalizada.</t>
  </si>
  <si>
    <t>EMS02R20000132HWA0001H
EMS02R10000455HWA03H
EMS02R20000125HWA0001H
EMS02R10000591HWA03H
EMS02R10000590HWA03H
EMS02R10000823HWA01H
EMS02R10000592HWA03H
EMS02R10000591HWA06H
EMS02R10000590HWA05H
EMS02R20000126HWA0001H
EMS02R20000130HWA0001H
EMS02R20000129HWA0001H
EMS02R20000134HWA0001H
EMS02R20000124HWA0001H
EMS02R20000127HWA0001H
EMS02R10000954HWA02H
EMS02R10000955HWA02H
EMS02R10000890HWA01H
EMS02R10000955HWA05H
EMS02R10000490HWA03H
EMS02R10000455HWA04H
EMS02R10000587HWA05H
EMS02R10000807HWA04H
EMS02R10000946HWA02H
EMS02R10000944HWA01H
EMS02R10000453HWA05H</t>
  </si>
  <si>
    <t>*PANALPINA*
26/05 - Tender: HTM2020052303151
Material coletado em 2020-05-24 14:20:03 - ETA SSZ 2020-06-25
28/05 - Recebido BL draft encaminhado para Original
29/06 - Data de entrada 26/06
Status SIGVIG: Liberado
Sem divergência de peso
Conteineres EMCU8246976 / EMCU8246981 / EGHU3788603 / EMCU8246955
30/06 - DI registrada - Canal verde - entrega programada conforme abaixo
Conteineres EMCU8246976 / EMCU8246981 / EGHU3788603 entrega em 01/06.
Conteiner EMCU8246955 entrega dia 02/06.
01/06 - Conteineres EMCU8246976 / EMCU8246981 / EGHU3788603 entregues.
02/06 - Conteiner EMCU8246955 entregue.
Entrega finalizada.</t>
  </si>
  <si>
    <t>EMS02R20000113HWA0001H
EMS02R20000116HWA0001H
EMS02R20000118HWA0001H
EMS02R20000121HWA0001H
EMS02R20000119HWA0001H
EMS02R20000111HWA0001H
EMS02R20000135HWA0001H
EMS02R20000117HWA0001H
EMS02R10000589HWA03H
EMS02R20000123HWA0003H
EMS02R20000112HWA0001H
EMS02R10000955HWA04H
EMS02R20000120HWA0001H
EMS02R10000949HWA04H
EMS02R10000949HWA05H
EMS02R10000589HWA06H
EMS02R10000956HWA05H
EMS02R10000943HWA01H
EMS02R10000949HWA01H
EMS02R10000946HWA03H
EMS02R10000955HWA03H
EMS02R10000592HWA05H
EMS02R10000807HWA03H</t>
  </si>
  <si>
    <t>*PANALPINA*
19/05 - Tender: HTM2020051602943
20/05 - Material coletado em 2020-05-17 14:56:28 - ETA SSZ 2020-06-18
22/05 - Recebido BL draft encaminhado para Original
19/06 - Data entrada: 19/06/2020
Status SIGVIG: Liberado
Conteineres: EMCU8242902 / EMCU8247268 / EMCU8247360 / EMCU8247397 / EMCU8247416
24/06 - DI registrada - Canal verde - Programação de entrega
Conteiner EMCU8242902 em 25/06.
Conteineres EMCU8247268 / EMCU8247397 / EMCU8247416 em 26/06
Conteiner EMCU8247360 em 29/06.
25/06 - Conteiner EMCU8242902 entregue.
26/06 - Conteineres EMCU8247268 / EMCU8247397 / EMCU8247416 entregues.
29/06 - Conteiner EMCU8247360 entregue.
Entrega finalizada.</t>
  </si>
  <si>
    <t>EMS02R20000096HWA0002H
EMS02R20000107HWA0001H
EMS02R20000101HWA0001H
EMS02R20000102HWA0002H
EMS02R20000103HWA0001H
EMS02R10000818HWA01H
EMS02R10000821HWA01H
EMS02R10000946HWA01H
EMS02R20000109HWA0001H
EMS02R10000511HWA03H
EMS02R20000123HWA0002H
EMS02R20000099HWA0002H
EMS02R20000131HWA0001H
EMS02R10000820HWA01H
EMS02R20000095HWA0001H
EMS02R20000100HWA0002H</t>
  </si>
  <si>
    <t>*PANALPINA*
14/05 - Tender: HTM2020051402703
15/05 - Material coletado em 2020-05-15 11:30:38 - ETA SSZ 2020-06-18
21/05 - Recebido BL draft encaminhado para Original
19/06 - Data entrada: 19/06/2020
Status SIGVIG: Liberado
Conteineres: EMCU8255427 / EMCU8255448 / EMCU8255704 / EMCU8255730 / EMCU8255772 
23/06 - DI registrada - Canal verde - programação de entrega abaixo. 
Conteiner EMCU8255772 - 23/06
Conteiner EMCU8255427 - 24/06
Conteineres EMCU8255448 / EMCU8255704 / EMCU8255730 - 25/06
Conteiner EMCU 825577-2 entregue.
24/06 - Conteiner EMCU825542-7 entregue.
25/06 - Conteineres EMCU8255448 / EMCU8255704 / EMCU8255730 entregues.
Entrega finalizada.</t>
  </si>
  <si>
    <t>EMS02R20000106HWA0001H
EMS02R20000105HWA0001H
EMS02R20000110HWA0001H
EMS02R10000818HWA02H
EMS02R10000820HWA02H
EMS02R10000821HWA02H
EMS02R10000625HWA03H
EMS02R10000632HWA02H
EMS02R10000954HWA01H
EMS02R10000889HWA01H
EMS02R10000813HWA01H</t>
  </si>
  <si>
    <t>*PANALPINA*
11/05 - Tender: HTM2020050905537
12/05 - Material coletado em 2020-05-11 05:39:44 - ETA SSZ 2020-06-11
15/05 - Recebido BL draft - encaminhado para Original
15/06 - Data entrada: 12/06/2020
Status SIGVIG: Liberado
Conteineres: EGHU3748690 / EMCU8258386
DI Registrada - Canal verde - entrega programada para 19/06
17/06 - Solicitada alteração na data de entrega pelo WH, alterada para 22/06.
22/06 - Material entregue.</t>
  </si>
  <si>
    <t>EMS02R10000814HWA04H
EMS02R10000817HWA02H
EMS02R10000819HWA02H
EMS02R10000816HWA01H
EMS02R10000816HWA04H
EMS02R10000814HWA01H
EMS02R10000844HWA01H
EMS02R10000810HWA04H
EMS02R10000811HWA04H
EMS02R10000811HWA01H
EMS02R10000810HWA01H
EMS02R20000031HWA0004H
EMS02R10000817HWA01H
EMS02R10000819HWA01H</t>
  </si>
  <si>
    <t>*PANALPINA*
06/05 - Tender: HTM2020050606023
08/05 - Material coletado em 2020-05-07 06:30:39 - ETA SSZ 2020-06-11
15/05 - Recebido BL draft - encaminhado para Original
15/06 - DI Registrada - Canal verde - entrega programada para 19/06
17/06 - Solicitada antecipação de entrega por planejamento para o dia 18/06.
18/06 - Material entregue.</t>
  </si>
  <si>
    <t>EMS02R10000586HWA03H
EMS02R10000630HWA02H
EMS02R10000809HWA04H
EMS02R10000811HWA02H
EMS02R10000453HWA03H
EMS02R10000485HWA04H</t>
  </si>
  <si>
    <r>
      <t xml:space="preserve">*PANALPINA*
06/05 - Tender: HTM2020050401742
08/05 - Recebido BL draft encaminhado para Original
TCNU2774399 ML-CN9112555 40 DRY 9'6 53 CASE 8782.000 KGS 59.9500 CBM
MRKU3731851 ML-CN9112556 40 DRY 9'6 27 CASE 2023.500 KGS 36.2800 CBM
MSKU0229728 ML-CN9112460 40 DRY 9'6 22 CASE 1804.000 KGS 34.7800 CBM
MRKU3191563 ML-CN9112512 40 DRY 9'6 51 CASE 7086.500 KGS 37.1800 CBM
TCNU1221531 ML-CN9112501 40 DRY 9'6 50 CASE 6939.500 KGS 55.9700 CBM
08/05 - Material coletado em 2020-05-05 21:38:29 - ETA SSZ 2020-06-07
08/06 - Data Atracação 07/06/2020 19:18:00
Status SIGVIG: Liberado
Conteineres: </t>
    </r>
    <r>
      <rPr>
        <sz val="9"/>
        <color indexed="10"/>
        <rFont val="Arial"/>
        <family val="2"/>
      </rPr>
      <t>TCNU2774399</t>
    </r>
    <r>
      <rPr>
        <sz val="9"/>
        <rFont val="Arial"/>
        <family val="2"/>
      </rPr>
      <t xml:space="preserve"> / </t>
    </r>
    <r>
      <rPr>
        <sz val="9"/>
        <color indexed="51"/>
        <rFont val="Arial"/>
        <family val="2"/>
      </rPr>
      <t>MRKU3191563</t>
    </r>
    <r>
      <rPr>
        <sz val="9"/>
        <rFont val="Arial"/>
        <family val="2"/>
      </rPr>
      <t xml:space="preserve"> / </t>
    </r>
    <r>
      <rPr>
        <sz val="9"/>
        <color indexed="10"/>
        <rFont val="Arial"/>
        <family val="2"/>
      </rPr>
      <t>MSKU0229728</t>
    </r>
    <r>
      <rPr>
        <sz val="9"/>
        <rFont val="Arial"/>
        <family val="2"/>
      </rPr>
      <t xml:space="preserve"> / MRKU3731851 / </t>
    </r>
    <r>
      <rPr>
        <sz val="9"/>
        <color indexed="51"/>
        <rFont val="Arial"/>
        <family val="2"/>
      </rPr>
      <t>TCNU1221531</t>
    </r>
    <r>
      <rPr>
        <sz val="9"/>
        <rFont val="Arial"/>
        <family val="2"/>
      </rPr>
      <t xml:space="preserve">
Conteiner TCNU 277.439-9 com com divergência de 31,07% no peso
Conteiner MRKU 373.185-1 com com divergência de 22,64% no peso
Solicitada repesagem para 09/06
10/06 - Recebido extrato de repesagem 
Container TCNU 277.439-9 não está com divergencia de peso (1,88%)
Container MRKU 373.185-1 com 12,42%
DI Registrada - Canal verde - Programada entrega conforme abaixo
Conteineres: TCNU2774399 / MSKU0229728 entrega em 15/06
Conteineres: MRKU3191563 / TCNU1221531 entrega em 16/06
Conteiner: MRKU3731851 entrega em 17/06
15/06 - Conteineres entregues: TCNU2774399 / MSKU0229728.
16/06 - Conteineres entregues: MRKU3191563 / TCNU1221531.
17/06 - Conteiner entregue: MRKU3731851
Entrega finalizada.</t>
    </r>
  </si>
  <si>
    <t>EMS02R10000587HWA03H
EMS02R10000457HWA04H
EMS02R10000807HWA01H
EMS02R10000808HWA01H
EMS02R10000812HWA01H
EMS02R10000809HWA01H
EMS02R10000629HWA02H
EMS02R10000822HWA01H
EMS02R10000626HWA03H
EMS02R10000810HWA02H
EMS02R10000814HWA02H
EMS02R10000630HWA03H
EMS02R10000816HWA02H
EMS02R10000875HWA01H
EMS02R10000876HWA01H
EMS02R10000877HWA01H
EMS02R10000624HWA03H
EMS02R10000631HWA02H
EMS02R10000632HWA03H</t>
  </si>
  <si>
    <t>27/04 - Tender HTM2020042502760
Material coletado em 2020-04-26 22:18:19  - ETA SSZ 2020-05-28
30/04 - Recebido BL draft encaminhado para Original
29/05 - Data de entrada 29/05/2020
Status SIGVIG: Liberado
Contêineres: EMCU8248325 / EMCU8248602 / EMCU8248618 / EMCU8248562 / EMCU8248599
04/06 - DI Registrada - Canal verde - entrega programada para 09/06.
09/06 - Material entregue.</t>
  </si>
  <si>
    <t>EMS02R10000885HWA01H
EMS02R10000625HWA04H
EMS02R10000878HWA01H
EMS02R10000627HWA02H
EMS02R10000626HWA02H
EMS02R10000628HWA02H
EMS02R10000627HWA03H
EMS02R10000628HWA04H
EMS02R10000628HWA03H
EMS02R10000872HWA01H
EMS02R10000873HWA01H
EMS02R10000883HWA01H
EMS02R10000874HWA01H
EMS02R10000629HWA03H
EMS02R10000804HWA01H
EMS02R10000769HWA01H
EMS01J10000191HWA19H
EMS01J10000191HWA21H
EMS01J10000193HWA02H
EMS02R10000774HWA04H
EMS02R10000812HWA02H
EMS01J10000191HWA14H
EMS01J10000191HWA15H
EMS01J10000191HWA16H
EMS01J10000191HWA18H
EMS01J10000193HWA03H
EMS02R10000804HWA02H</t>
  </si>
  <si>
    <t>27/04 - Tender HTM2020042601930
Material coletado em 2020-04-27 10:22:31  - ETA SSZ 2020-05-28
30/04 - Recebido BL draft encaminhado para Original
29/05 - Data de entrada 29/05/2020
Status SIGVIG: Liberado
Contêineres: EMCU8251041 / EMCU8250981 / EMCU8250940
04/06 - DI Registrada - Canal verde - entrega programada para 08/06.
08/06 - Material entregue.</t>
  </si>
  <si>
    <t>EMS02R10000826HWA01H
EMS02R10000881HWA01H
EMS02R10000880HWA01H
EMS02R10000879HWA01H
EMS02R10000772HWA01H
EMS02R10000773HWA01H
EMS02R10000815HWA01H
EMS02R10000631HWA03H
EMS02R10000774HWA01H</t>
  </si>
  <si>
    <t xml:space="preserve">16/04 - Tender HTM2020041406164
20/04 - Material coletado em 2020-04-16 04:15:38 - ETA SSZ 2020-05-21
23/04 - Recebido BL draft encaminhado para Original
22/05 - Data de entrada: 22/05/2020
Status SIGVIG: Liberado
Conteineres: EMCU8255350 / EMCU8255406 / EMCU8255411 / EMCU8255854 / EMCU8255880
28/05 - DI registrada - Canal verde - programação de entrega abaixo
29/mai - EMCU8255880 / contêiner entregue
01/jun - EMCU8255406 / EMCU8255854 / contêineres entregues
02/jun - EMCU8255350 / contêiner entregue
03/jun - EMCU8255411 / contêiner entregue
03/06 - Entrega finalizada.
</t>
  </si>
  <si>
    <t>EMS02R20000030HWA0001H
EMS02R10000456HWA03H
EMS02R20000048HWA0005H
EMS02R10000627HWA01H
EMS02R10000625HWA01H
EMS02R10000664HWA01H
EMS02R10000626HWA01H
EMS02R10000663HWA01H
EMS02R10000646HWA01H
EMS02R10000774HWA02H
EMS02R10000779HWA03H
EMS02R10000779HWA04H
EMS02R10000673HWA01H
EMS02R10000813HWA02H
EMS02R10000607HWA10H
EMS02R10000623HWA02H
EMS02R10000624HWA02H
EMS02R10000773HWA02H
EMS02R10000711HWA01H
EMS02R10000756HWA01H</t>
  </si>
  <si>
    <t>20/04 - Tender HTM2020041804644
22/04 - Material coletado em 2020-04-19 16:44:00 - ETA SSZ 2020-05-21
23/04 - Recebido BL draft encaminhado para Original
22/05 - Data de entrada: 22/05/2020
Status SIGVIG: Liberado
Conteineres: EMCU8254293 / EMCU8254971 / EMCU8255031 / EMCU8254225 / EMCU8254267
28/05 - DI Registrada - Canal verde - programação de entrega abaixo
29/mai - EMCU8254971 / contêiner entregue
01/jun - EMCU8254293 / contêiner entregue
02/jun - EMCU8255031 / contêiner entregue
03/jun - EMCU8254225 / EMCU8254267 / contêineres entregues
Entrega finalizada.</t>
  </si>
  <si>
    <t>EMS02R10000706HWA01H
EMS02R10000696HWA01H
EMS02R10000705HWA01H
EMS02R10000709HWA01H
EMS02R10000707HWA01H
EMS02R10000797HWA01H
EMS02R10000759HWA01H
EMS02R10000799HWA01H
EMS02R10000801HWA01H
EMS02R10000640HWA04H
EMS02R10000708HWA01H
EMS02R10000513HWA03H
EMS02R10000645HWA01H
EMS02R10000449HWA03H
EMS02R20000030HWA0003H
EMS02R20000029HWA0004H
EMS02R10000758HWA01K
EMS02R10000786HWA02H
EMS02R10000798HWA01H
EMS02R10000786HWA03H
EMS02R10000825HWA02H
EMS02R10000882HWA01H
EMS02R10000870HWA01H
EMS02R10000586HWA05H
EMS02R10000760HWA01K
EMS02R10000800HWA01H
EMS01J10000193HWA01H</t>
  </si>
  <si>
    <t>17/04 - Tender HTM2020041602805
20/04 - Material coletado em 2020-04-17 15:28:26 - ETA SSZ 2020-05-21
23/04 - Recebido BL draft encaminhado para Original
22/05 - Data de entrada: 22/05/2020
Status SIGVIG: Liberado
Conteineres: EMCU8250615 / EMCU8250662 / EMCU8250723 / EMCU8254328 / EMCU8250702
28/05 - DI Registrada -  Canal verde - programação de entrega abaixo
29/mai - EMCU8250662 / contêiner entregue
01/jun - EMCU8250702 / contêiner entregue
02/jun - EMCU8250615 / EMCU8254328 / contêineres entregues
03/jun - EMCU8250723 / contêiner entregue
Entrega finalizada.</t>
  </si>
  <si>
    <t>EMS02R10000667HWA01H
EMS02R10000665HWA01H
EMS02R10000668HWA01H
EMS02R10000666HWA01H
EMS02R10000672HWA01H
EMS02R10000512HWA03H
EMS02R10000692HWA01H
EMS02R10000710HWA01H
EMS02R10000694HWA01H
EMS02R10000712HWA01H
EMS02R10000695HWA01H
EMS02R10000691HWA01H
EMS02R10000693HWA01H
EMS02R10000589HWA05H
EMS02R10000770HWA01H
EMS02R10000771HWA01H
EMS02R10000786HWA01H
EMS02R10000803HWA01H
EMS02R10000802HWA01H
EMS02R10000591HWA05H
EMS02R10000871HWA01H
EMS02R10000457HWA05H
EMS02R10000625HWA02H
EMS02R10000779HWA02H
EMS02R10000807HWA02H
EMS02R10000808HWA02H</t>
  </si>
  <si>
    <t>20/04 - Tender HTM2020042004356
22/04 - Material coletado em 2020-04-22 03:52:52 - ETA SSZ 2020-05-24
Recebido BL draft encaminhado para Original
MRSU3319641 ML-CN9186288 40 DRY 9'6 46 Case 6581.880 KGS 50.7700 CBM
GESU5641573 ML-CN9112375 40 DRY 9'6 22 Case 1633.000 KGS 34.8600 CBM
HASU4076150 ML-CN9124391 40 DRY 9'6 50 Case 7028.000 KGS 54.9700 CBM
MRKU3198932 ML-CN9186295 40 DRY 9'6 22 Case 1555.500 KGS 34.9900 CBM
SUDU8612830 ML-CN9186368 40 DRY 9'6 25 Case 1706.040 KGS 28.9600 CBM
25/05 - Data Atracação 24/05/2020 17:36:00
Status SIGVIG: Liberado
Conteineres: HASU4076150 / SUDU8612830 / MRSU3319641 / GESU5641573 / MRKU3198932
27/05 - DI registrada - Canal verde -entrega programada conforme abaixo
GESU5641573 / HASU4076150  - entrega 27/05
SUDU8612830 / MRSU3319641 / MRKU3198932 - entrega 28/05
28/05 - Material entregue.</t>
  </si>
  <si>
    <t>EMS02R10000671HWA01H
EMS02R10000590HWA01H
EMS02R10000670HWA01H
EMS02R10000669HWA01H
EMS02R10000646HWA02H
EMS02R10000753HWA01H
EMS02R10000822HWA02H
EMS02R10000769HWA02H
EMS02R10000825HWA01H
EMS01J10000191HWA12H
EMS01J10000191HWA13H
EMS02R10000731HWA02H
EMS02R10000731HWA03H
EMS02R10000757HWA01K
EMS02R10000825HWA03H
EMS02R10000884HWA01H
EMS02R10000693HWA02H</t>
  </si>
  <si>
    <t>14/04 - Tender HTM2020041201434
15/04 - Material coletado em 2020-04-13 22:39:02 - ETA SSZ 2020-05-17
17/04 - Recebido BL draft encaminhado para Original
MSKU0751943 ML-CN9182793 40 DRY 9'6 55 Case 8563.000 KGS 58.4500 CBM
TCLU8183272 ML-CN9182758 40 DRY 9'6 48 Case 6808.500 KGS 55.1200 CBM
MSKU0489643 ML-CN9182786 40 DRY 9'6 52 Case 9086.500 KGS 61.5800 CBM
MRSU3281382 ML-CN9182788 40 DRY 9'6 31 Case 1949.620 KGS 28.4500 CBM
TCLU8005780 ML-CN9153377 40 DRY 9'6 48 Case 6876.500 KGS 56.4500 CBM
19/05 - Data Atracação 17/05/2020 23:00:00
Status SIGVIG: Liberado
20/05 - DI registrada - Canal verde - entrega programada para 22/05.
25/05 - Material entregue em 23/05.</t>
  </si>
  <si>
    <t>EMS02R20000027HWA0004H
EMS02R20000028HWA0002H
EMS02R20000028HWA0003H
EMS02R20000030HWA0006H
EMS01J10000191HWA01H
EMS02R10000592HWA02H
EMS02R10000754HWA01H
EMS02R10000607HWA04H
EMS02R10000622HWA02H
EMS02R10000622HWA03H
EMS02R10000622HWA04H
EMS02R10000623HWA03H
EMS02R10000644HWA02H
EMS02R10000644HWA03H
EMS02R10000770HWA02H
EMS02R10000771HWA02H
EMS02R10000772HWA02H
EMS02R10000809HWA02H
EMS02R10000815HWA02H</t>
  </si>
  <si>
    <t>14/04 - Tender HTM2020041102488
15/04 - Material coletado em 2020-04-12 19:06:00 - ETA SSZ 2020-05-14
17/04 - Recebido BL draft encaminhado para Original
15/05 - Data de entrada: 15/05/2020 00:52:17
Conteineres: EMCU8250533 / EMCU8251669 / EMCU8251777
Status SIGVIG: Liberado.
20/05 - DI registrada - Canal verde - entrega programada para 21/05.
25/05 - Material entregue em 22/05.</t>
  </si>
  <si>
    <t>EMS02R10000731HWA01H
EMS02R10000589HWA02H
EMS02R10000755HWA01H
EMS02R10000552HWA01H
EMS02R10000607HWA07H
EMS02R10000632HWA01H
EMS02R10000624HWA01H
EMS02R10000628HWA01H
EMS01J10000191HWA08H
EMS02R10000490HWA02H
EMS02R10000623HWA01H
EMS02R20000048HWA0004H
EMS02R20000027HWA0002H</t>
  </si>
  <si>
    <t>14/04 - Tender HTM2020040909383
15/04 - Material coletado em 2020-04-10 19:06:00 - ETA SSZ 2020-05-14
15/05 - Data de entrada: 15/05/2020 01:26:24
Conteineres: EMCU8250209 / EMCU8250220 / EMCU8250256 / EMCU8250425
Status SIGVIG: Liberado.
20/05 - DI Registrada - Canal verde - Entrega programada para 21/05
21/05 - Entrega alterada para 22/05 devido feriado no dia 21/05 e falta de capacidade da transportadora.
22/05 - Material entregue.</t>
  </si>
  <si>
    <t>EMS02R20000014HWA0001H
EMS02R20000026HWA0004H
EMS02R20000031HWA0002H
EMS02R10000588HWA01H
EMS02R10000621HWA01H
EMS02R10000631HWA01H
EMS02R10000630HWA01H
EMS02R10000629HWA01H
EMS02R10000644HWA01H
EMS02R10000622HWA01H
EMS02R10000659HWA01H
EMS02R10000661HWA01H
EMS02R10000662HWA01H
EMS01J10000191HWA06H
EMS01J10000191HWA10H
EMS02R10000729HWA01H
EMS02R10000730HWA01H
EMS01J10000189HWA41H
EMS01J10000189HWA43H
EMS02R10000607HWA06H
EMS02R10000607HWA08H
EMS02R10000645HWA02H
EMS02R10000645HWA03H
EMS02R10000646HWA03H</t>
  </si>
  <si>
    <t>06/04 - Tender HTM2020040501058
07/04 - Material coletado em 2020-04-06 07:14:48 - ETA SSZ 2020-05-07
08/04 - Recebidos invoices e pls assinados
13/04 - Recebido BL draft - encaminhado para Original
08/05 - Data de entada 08/05/2020 - 08:20:10
Conteiner EMCU8253260
Status SIGVIG: Liberado
11/05 - DI registrada - Canal verde - entrega programada para 13/05.
13/05 - Veículo apresentou problemas mecânicos - entrega re-agendada para 14/05.
14/05 - Material entregue.</t>
  </si>
  <si>
    <t>EMS02R10000684HWA02H
EMS02R10000685HWA02H
EMS02R10000686HWA02H
EMS02R10000687HWA02H
EMS02R10000589HWA01H
EMS02R10000591HWA01H
EMS02R10000640HWA03H
EMS02R10000590HWA02H
EMS02R20000030HWA0005H
EMS02R10000532HWA01H</t>
  </si>
  <si>
    <t>02/04 - Tender HTM2020040103328
03/04 - Material coletado em 2020-04-02 09:36:05 - ETA SSZ 2020-05-07
08/04 - Recebidos invoices e pls assinados
13/04 - Recebido BL draft - encaminhado para Original
08/05 - Data de entada 08/05/2020 - 05:13:29
Conteiner EMCU8251611 / EMCU8250699 / EMCU8251632 / EMCU8251817 / EMCU8251885
Status SIGVIG: Retido
11/05 - DI registrada - Canal verde - entrega programada para 12/05.
12/05 - Material entregue.</t>
  </si>
  <si>
    <t>EMS02R10000517HWA01H
EMS02R10000530HWA01H
EMS02R10000531HWA01H
EMS02R10000660HWA01H
EMS02R10000534HWA01H
EMS02R10000536HWA03H
EMS02R10000477HWA02H
EMS02R10000588HWA02H
EMS02R10000537HWA03H
EMS02R20000063HWA0001H
EMS02R20000018HWA0003H
EMS02R20000061HWA0001H
EMS02R20000060HWA0001H
EMS02R20000065HWA0001H
EMS02R20000046HWA0001H
EMS02R20000012HWA0001H
EMS02R20000047HWA0001H
EMS02R20000043HWA0001H
EMS02R20000041HWA0001H
EMS02R10000638HWA03H
EMS02R10000639HWA03H
EMS02R10000642HWA02H
EMS02R10000521HWA02H
EMS01J10000189HWA04H
EMS01J10000189HWA36H
EMS01J10000189HWA37H
EMS01J10000189HWA39H
EMS02R10000638HWA02H
EMS01J10000189HWA29H
EMS01J10000189HWA35H</t>
  </si>
  <si>
    <t>06/04 - Tender HTM2020040601906
08/04 - Material coletado em 2020-04-07 21:21:34 - ETA SSZ 2020-05-08
11/05 - Data Atracação 08/05/2020 20:00:00
Status SIGVIG: Liberado
Conteineres: EGHU9223604 / EGHU9548699 / CAIU9103887 / EITU1665848
11/05 - DI Registrada - Canal verde - entrega programada para 13/05.
13/05 - Material entregue.</t>
  </si>
  <si>
    <t xml:space="preserve">
EMS02R10000690HWA01H
EMS01J10000189HWA42H
EMS02R10000537HWA01H
EMS02R10000521HWA03H
EMS02R10000545HWA01H
EMS02R10000544HWA01H
EMS02R10000641HWA04H
EMS02R10000641HWA03H
EMS02R10000546HWA01H
EMS02R20000029HWA0002H
EMS02R10000522HWA03H
EMS02R10000522HWA02H
EMS02R10000638HWA04H
EMS02R20000048HWA0003H
EMS02R20000031HWA0005H
EMS02R10000591HWA02H
EMS02R10000658HWA01H
EMS02R10000588HWA03H
EMS02R20000045HWA0001H
EMS02R20000028HWA0005H
EMS02R20000029HWA0005H
EMS02R10000687HWA01H
EMS02R10000685HWA01H
EMS02R10000686HWA01H
EMS02R10000684HWA01H
EMS02R10000616HWA01H
EMS02R10000617HWA01H
EMS02R10000615HWA01H
EMS02R10000620HWA01H
EMS02R10000607HWA02H
EMS02R10000607HWA03H
EMS02R10000607HWA05H
EMS02R10000639HWA04H
EMS02R10000607HWA09H
EMS02R10000619HWA01H
EMS02R10000762HWA01H
EMS02R10000643HWA02H
EMS02R10000547HWA01H
EMS02R10000643HWA03H
EMS02R10000643HWA04H
EMS02R10000618HWA01H
EMS02R10000642HWA03H
EMS02R10000642HWA04H</t>
  </si>
  <si>
    <t>21/1200476-9</t>
  </si>
  <si>
    <t>MAERSK LETICIA 123W</t>
  </si>
  <si>
    <t>*Shenker*
11/05 - Tender: 
13/05 - Recebido BL draft encaminhado para Original
TXGU5738865 / 40H / EMCGLU5031 / 73 CASES
TXGU5738891 / 40H / EMCGLU6381 / 58 CASES
18/05 - Material coletado em 2021-05-12 02:12:40 - ETA SSZ 2021-06-22
15/06 - Data Entrada 14/06/2021
Status SIGVIG: Liberado
Sem divergência de peso
17/06 - Enviada divisão de container
23/06 - Gentileza notar que consta 30 dias de free time para o processo em questão, com vencimento até 14/07/2021.
24/06 - DI Registrada - Canal verde - entrega programada para 25/06.
25/06 - Material entregue.</t>
  </si>
  <si>
    <t>HWC2021062757433
HWC2021062757434
HWC2021062757435
HWC2021062757436
HWC2021062757400
HWC2021062757441
HWC2021062757442
HWC2021062757443</t>
  </si>
  <si>
    <t>EMS02R20000837HWA0015H
EMS02R20000837HWA0016H
EMS02R20000857HWA0001H
EMS02R20000862HWA0001H
EMS02R20000863HWA0007H
EMS02R20000865HWA0003H
EMS02R20000870HWA0001H
EMS02R20000870HWA0002H</t>
  </si>
  <si>
    <t>ETA
SSZ (Atracação)</t>
  </si>
  <si>
    <t>KOTA CABAR 0054W</t>
  </si>
  <si>
    <t>MAERSK LEON 121W</t>
  </si>
  <si>
    <t>21/1254047-4</t>
  </si>
  <si>
    <t>21/1255943-4</t>
  </si>
  <si>
    <t>21/1258686-5</t>
  </si>
  <si>
    <t>*Shenker*
24/05 - Tender: HTM2021052202119
Material coletado em 2021-05-23 14:56:15 - ETA SSZ 2021-07/03
02/06 - Alterações feitas:
número do BL de EGLV149103215211 para EGLV149105919917.
Porto de origem de Yantian para Hong Kong
Conteiner TCLU 7958133 / 40H / EMCRLR7570 / 62 CASES
01/07 - Navio CMA CGM Jaques Junior atracou dia 30/06
Data Entrada: 01/07/2021 05:16:51
Status SIGVIG: Liberado
Sem divergência de peso
02/07 - DI registrada - Canal verde - entrega programada para dia 05/07.
05/07 - Material entregue.</t>
  </si>
  <si>
    <t>*Shenker*
01/06 - Tender: HTM2021052902476
07/06 - Material coletado em 2021-05-30 19:29:26 - ETA SSZ 2021-07-10
Recebido BL draft encaminhado para Original
TXGU5744739 / 40H / EMCRLS5750 / 61 CASES
TXGU5746876 / 40H / EMCRLS5790 / 56 CASES
TXGU5740311 / 40H / EMCRKA1330 / 63 CASES
TXGU5745627 / 40H / EMCRLS6130 / 50 CASES
01/07 - Navio CMA CGM Jaques Junior atracou dia 30/06
Data Entrada: 01/07/2021 15:29:09
Status SIGVIG: Liberado
Sem divergência de peso
02/07 - DI registrada - Canal verde - entrega programada conforme abaixo.
TXGU5744739 - 02/07 - entregue
TXGU5746876 - 05/07
TXGU5740311 - 05/07
TXGU5745627 - 05/07
05/07 - Material entregue.</t>
  </si>
  <si>
    <t>*Shenker*
01/06 - Tender: HTM2021053000523
07/06 - Material coletado em 2021-05-31 05:30:25 - ETA SSZ 2021-07-11
Recebido BL draft encaminhado para Original
TXGU5737154 / 40H / EMCRLS5160 / 20 CASES
TXGU5734520 / 40H / EMCRLS5150 / 21 CASES
TXGU5740311 / 40H / EMCRKA1330 / 63 CASES
17/06 - Enviada divisão de container
01/07 - Navio CMA CGM Jaques Junior atracou dia 30/06
Data Entrada: 01/07/2021 01:09:43
Status SIGVIG: Liberado
Divergência de peso no container TXGU5734520 de 16,35%, não será solicitada repesagem, reportaremos em caso de divergência no recebimento.
02/07 - DI registrada - Canal verde - entrega programada conforme abaixo.
TXGU5734520 - 02/07 - entregue
TXGU5737154 - 05/07
TXGU5740311 - 06/07
06/07 - Material entregue.</t>
  </si>
  <si>
    <t>HWC2021070767131
HWC2021070767132
HWC2021070767133
HWC2021070767134
HWC2021070767135
HWC2021070767136
HWC2021070767137
HWC2021070767138
HWC2021070767139</t>
  </si>
  <si>
    <t>EMS02R20000880HWA0001H
EMS02R20000880HWA0003H
EMS02R20000880HWA0004H
EMS02R20000880HWA0005H
EMS02R20000880HWA0006H
EMS02R20000880HWA0007H
EMS02R20000881HWA0001H
EMS02R20000882HWA0001H
EMS02R20000882HWA0004H</t>
  </si>
  <si>
    <t>RRU L10
272J</t>
  </si>
  <si>
    <t>4800015751
4800015752
4800015753</t>
  </si>
  <si>
    <t>EGLV149106442987</t>
  </si>
  <si>
    <t>BBU L06
RRU L06
RRU L10
272J</t>
  </si>
  <si>
    <t>HWC2021070969556
HWC2021070969557
HWC2021070969558
HWC2021070969559
HWC2021070969560
HWC2021070969561
HWC2021070969562</t>
  </si>
  <si>
    <t>EMS02R20000880HWA0009H
EMS02R20000880HWA0010H
EMS02R20000880HWA0011H
EMS02R20000880HWA0012H
EMS02R20000880HWA0013H
EMS02R20000880HWA0014H
EMS02R20000882HWA0005H</t>
  </si>
  <si>
    <t>EVER LIFTING 1442-041W</t>
  </si>
  <si>
    <t>EGLV149108391671</t>
  </si>
  <si>
    <t>STORAGE
RRU L10
272J</t>
  </si>
  <si>
    <t>EVER LAUREL 1439-047W</t>
  </si>
  <si>
    <t>4800015751
4800015753</t>
  </si>
  <si>
    <t>21/1313225-6</t>
  </si>
  <si>
    <t>CMA CGM CARL ANTOINE 0AA9JW1MA</t>
  </si>
  <si>
    <t>EGLV149106036237</t>
  </si>
  <si>
    <t>*Shenker*
17/05 - Tender: HTM2021051006279
18/05 - Material coletado em 2021-05-15 03:17:47 - ETA SSZ 2021-06-25
TRHU7761952 / 40H / EMCGLU6201 / 60 CASES
TRHU7762537 / 40H / EMCGLU6101 / 48 CASES
07/06 - Recebido novo BL draft alterando porto de origem e navio
BL anterior EGLV149103215190 / Novo BL EGLV149105953881
Navio de ANTHEA Y 027W para CMA CGM CORNEILLE 0BE9HW1MA
Porto origem de YANTIAN para SHEKOU
16/06 - Mudou para o Navio Cardiff
24/06- Due to the virus effect, the vessel will be arrive destination port on 7.3th
07/07 - Data Atracação 06/07/2021 13:00:00
Status SIGVIG: Liberado
Sem divergência de peso.
12/07 - DI Registrada - Canal verde - entrega programada para 13/07.
13/07 - Material entregue.</t>
  </si>
  <si>
    <t>HWC2021071477525
HWC2021071477526
HWC2021071477527
HWC2021071477543
HWC2021071477542
HWC2021071477530
HWC2021071477524
HWC2021071477541
HWC2021071477523
HWC2021071477529
HWC2021071477528</t>
  </si>
  <si>
    <t>EMS02R20000898HWA0002H
EMS02R20000898HWA0003H
EMS02R20000898HWA0004H
EMS02R20000900HWA0001H
EMS02R20000880HWA0008H
EMS02R20000900HWA0007H
EMS02R20000882HWA0003H
EMS02R20000879HWA0001H
EMS02R20000881HWA0002H
EMS02R20000900HWA0006H
EMS02R20000900HWA0004H</t>
  </si>
  <si>
    <t>21/1344536-0</t>
  </si>
  <si>
    <t>21/1344123-2</t>
  </si>
  <si>
    <t xml:space="preserve">4800015750
4800015751
4800015752
4800015753
4800015803
4800015805
</t>
  </si>
  <si>
    <t>4800015598
4800015662
4800015671
4800015672
4800015643
4800015674</t>
  </si>
  <si>
    <t>*Shenker*
17/05 - Tender: HTM2021051701814
18/05 - Material coletado em 2021-05-17 22:00:00 - ETA SSZ 2021-06-27
TRHU7756299 / 40H / EMCGLU7131 / 43 CASES
TRHU7762650 / 40H / EMCGLU6091 / 54 CASES
31/05 - Alterações feitas:
número do BL de EGLV149105309221 para EGLV149105889155.
Porto de origem de Yantian para Shekou
Navio de Anthea Y 027 W para CMA CGM CORNEILLE 0BE9HW1MA
12/06 - Alterado ETA SSZ para 2021-07-03
16/06 - Mudou para o Navio Cardiff
07/07 - Data Atracação 06/07/2021 13:00:00
Status SIGVIG: Liberado
Com divergência de peso dentro dos 10%
15/07 - DI registrada - Canal verde - entrega programada conforme abaixo
Conteiner TRHU7756299 - entrega em 16/07
Conteiner TRHU7762650 - entrega em 19/07
19/07 - Material entregue.</t>
  </si>
  <si>
    <t>*Shenker*
12/06 - Tender: HTM2021061201613
15/06 - Material coletado em 2021-06-14 - ETA SSZ 2021-07-25
17/06 - Recebido BL draft encaminhado para Original
DRYU9797109 / 40H / EMCGLY3351 / 38 CASES
CAAU5115550 / 40H / EMCGHX0241 / 53 CASES
15/07 - DataEntrada: 14/07/2021 22:13:14
Status SIGVIG: Liberado
Sem divergência de peso
15/07 - DI registrada - Canal verde - entrega programada para 19/07
19/07 - Material entregue.</t>
  </si>
  <si>
    <t>21/1364962-3</t>
  </si>
  <si>
    <t>21/1365177-6</t>
  </si>
  <si>
    <t>21/1365084-2</t>
  </si>
  <si>
    <t>21/1365248-9</t>
  </si>
  <si>
    <t>21/1365476-7</t>
  </si>
  <si>
    <t>21/1365739-1</t>
  </si>
  <si>
    <t>27/02 - Recebido GL tender HTM2019022603624 / HTM2019022603625
01/03 - Recebido PO line e SISFAC. 
Recebido BL. 
Solicitado alteração das taxas collect. 
ETA SSZ 31/03.
06/03 - Recebido draft BL correto.
03/04 - Presença de carga ok, autorizado registro de DI pela seguradora.
08/04 - DI Registrada em 08/04 Canal Verde. Liberado para transportadora.
10/04 - Mercadoria Entregue</t>
  </si>
  <si>
    <t>EMS02R10000006HWA02H
EMS02R10000006HWA03H
EMS02R10000006HWA04H
EMS02R10000011HWA01H
EMS02R10000011HWA02H
EMS02R10000011HWA03H
EMS02R10000011HWA04H
EMS02R10000012HWA01H
EMS02R10000012HWA02H
EMS02R10000012HWA03H
EMS02R10000012HWA04H
EMS02R10000013HWA02H
EMS02R10000013HWA04H</t>
  </si>
  <si>
    <t>14/03 - Recebido GL tender HTM2019031405751 / HTM2019031405752
14/03 - Recebido PO line e SISFAC.
20/03 - Material coletado
25/03 - Recebemos cópia do BL. ETA SSZ 21/04
23/04 - Prevista Presença de carga para às 16hs
24/04 - DI Registrada
25/04 - Mercadoria Entregue</t>
  </si>
  <si>
    <t>EMS02R10000005HWA01H
EMS02R10000016HWA01H
EMS02R10000005HWA02H
EMS02R10000017HWA03H
EMS02R10000017HWA04H</t>
  </si>
  <si>
    <t>01/04 - Recebido GL. Tender HTM2019033000734/ HTM2019033000735
02/04 - Material coletado
04/04 - Recebemos cópia do BL ETA SSZ 02/05
10/04 - Recebido BL final
06/05 - Aguardando registro da DI
09/05 - DI registrada - pragramado carregamento para Segunda-feira
13/05 - Marcadoria entregue</t>
  </si>
  <si>
    <t>EMS02R10000024HWA03H
EMS01J10000037HWA01H</t>
  </si>
  <si>
    <t>01/04 - Recebido GL. Tender HTM2019040102546 / TM2019040102547
04/04 - Material coletado  - Recebemos cópia do BL ETA SSZ 05/05
10/04 - Recebido BL final
06/05 - Navio atracou hoje, aguardando descarga dos containeres.
09/05 - Aguardando autorização para registro de DI
15/05 - Autorizado registro de DI - canal verde - entrega programada para 17/05
17/05 - Mercadoria entregue</t>
  </si>
  <si>
    <t>EMS01J10000035HWA01H
EMS01J10000042HWA01H
EMS01J10000042HWA02H
EMS02R10000019HWA03H
EMS02R10000021HWA02H
EMS02R10000024HWA02H</t>
  </si>
  <si>
    <t>02/04 - Recebido GL. Tender HTM2019040201578/ HTM2019040201579
04/04 - Material coletado  - Recebemos cópia do BL ETA SSZ 05/05
10/04 - Recebido BL final
06/05 - Navio atracou hoje, aguardando descarga dos containeres.
09/05 - Aguardando autorização para registro de DI
15/05 - Autorizado registro de DI - canal verde - entrega programada para 17/05
17/05 - Mercadoria entregue</t>
  </si>
  <si>
    <t>EMS01J10000035HWA02H
EMS01J10000035HWA03H
EMS01J10000039HWA01H
EMS01J10000039HWA02H</t>
  </si>
  <si>
    <t>03/04 - Recebido GL. Tender HTM2019040302235/ HTM2019040302236
04/04 - Material coletado  - Recebemos cópia do BL ETA SSZ 05/05
10/04 - Recebido BL final
06/05 - Navio atracou hoje, aguardando descarga dos containeres.
09/05 - Aguardando autorização para registro de DI
15/05 - Autorizado registro de DI - canal verde - entrega programada para 17/05
17/05 - Mercadoria entregue</t>
  </si>
  <si>
    <t>EMS02R10000019HWA02H
EMS02R10000020HWA04H
EMS02R10000020HWA05H
EMS02R10000020HWA06H
EMS02R10000023HWA03H
EMS02R10000024HWA01H</t>
  </si>
  <si>
    <t>08/04 - Recebido GL. Tender HTM2019040605003/ HTM2019040605004
11/04 - Material coletado
15/04 - Recebemos cópia do BL
18/04 - Recebido BL original
14/05 - Navio atracou em 13/05 - Status SIGVIG liberado - Aguardando autorização para registro de DI
15/05 - Autorizado registro de DI
15/05 - Autorizado registro de DI - canal verde - entrega programada para 17/05
17/05 - Mercadoria entregue</t>
  </si>
  <si>
    <t>EMS01J10000048HWA01H
EMS02R10000019HWA01H
EMS02R10000019HWA04H
EMS02R10000020HWA01H
EMS02R10000020HWA02H
EMS02R10000020HWA03H
EMS02R10000021HWA01H
EMS02R10000021HWA03H
EMS02R10000023HWA01H
EMS02R10000023HWA02H</t>
  </si>
  <si>
    <t>17/04 - Recebido GL. Tender HTM2019041209471/ HTM2019041209472
18/04 - Carga coletada MAWB 606421398
19/04 - Recebemos cópia do BL 581696404
20/05 - Navio atracou hoje. Aguardando a entrada dos containers.
21/05 - Informada divergência de peso de 38%, solicitada repesagem.
24/05 - Resultado da repesagem sem divergência, aguardando autorização para registrar.
27/05 - Autorizado registro - DI Registrada - Canal verde - programada entrega para 28/05.
28/05 - Mercadoria entregue</t>
  </si>
  <si>
    <t>EMS01J10000046HWA01H
EMS01J10000046HWA02H
EMS01J10000046HWA03H
EMS01J10000046HWA06H
EMS01J10000047HWA02H
EMS01J10000048HWA02H
EMS01J10000048HWA03H
EMS01J10000052HWA01H
EMS01J10000052HWA02H
EMS01J10000052HWA03H
EMS01J10000053HWA01H
EMS01J10000055HWA02H</t>
  </si>
  <si>
    <t>17/04 - Recebido GL. Tender HTM2019041503881/ HTM2019041503882
18/04 - Carga coletada MAWB 606421398
19/04 - Recebemos cópia do BL 581696456
20/05 - Navio atracou hoje. Aguardando a entrada dos containers.
21/05 - Informada divergência de peso de 21%, solicitada repesagem.
24/05 - Resultado da repesagem sem divergência, aguardando autorização para registrar.
28/05 - Autorizado registro - DI Registrada - Canal verde - programada entrega para 29/05.
29/05 - Mercadoria entregue.</t>
  </si>
  <si>
    <t>EMS01J10000046HWA04H
EMS01J10000046HWA05H
EMS01J10000047HWA01H
EMS01J10000047HWA03H
EMS01J10000055HWA01H
EMS01J10000055HWA06H
EMS01J10000058HWA01H
EMS01J10000058HWA02H
EMS01J10000058HWA03H
EMS01J10000062HWA01H
EMS01J10000062HWA02H</t>
  </si>
  <si>
    <t>29/04 - Recebido GL. Tender HTM2019042609807/ HTM2019042609808
30/04 - Carga coletada - MAWB 606450469
06/05 - Recebemos cópia do BL 606450469 com algumas divergências, devolvido para devidas correções.
08/05 - Recebemos cópia do BL corrigido.
10/05 - Recebemos BL original
02/06 - Navio atracou
06/06 - Autorizado registro da DI -- DI registrada -  canal verde - agendado carregamento para 07/06.
07/06 - Material entregue</t>
  </si>
  <si>
    <t>EMS01J10000055HWA03H
EMS01J10000055HWA04H
EMS01J10000055HWA05H
EMS01J10000068HWA01H
EMS01J10000072HWA02H
EMS02R10000022HWA01H
EMS02R10000022HWA02H
EMS02R10000022HWA03H
EMS02R10000035HWA01H
EMS02R10000035HWA02H
EMS02R10000035HWA03H
EMS02R10000036HWA02H
EMS02R10000036HWA03H
EMS02R10000042HWA02H
EMS02R10000042HWA04H</t>
  </si>
  <si>
    <t>29/04 - Recebido GL. Tender HTM2019042905625/ HTM2019042905626
30/04 - Carga coletada - MAWB 606450469
06/05 - Recebemos cópia do BL 581993350
10/05 - Recebemos BL original
02/06 - Navio atracou
06/06 - Autorizado registro da DI - DI registrada - canal verde - agendado carregamento para 07/06.
07/06 - Material entregue</t>
  </si>
  <si>
    <t>EMS02R10000036HWA01H
EMS02R10000038HWA02H
EMS02R10000038HWA03H
EMS02R10000038HWA04H
EMS02R10000038HWA05H
EMS02R10000040HWA01H
EMS02R10000040HWA05H
EMS02R10000042HWA03H</t>
  </si>
  <si>
    <t>03/05 - Recebido GL. Tender HTM2019050301901/ HTM2019050301902
07/05 - Carga coletada - MAWB 606469631
10/05 - Recebemos cópia do BL 582177320
20/05 - Recebemos BL original
10/06 - Navio atracado em 09/06/19 15:48 - SIGVIG liberado
12/06 - Liberado registro de DI - programada entrega para Sexta-feira 14/06.
13/06 - DI registrada - canal verde
14/06 - Material entregue</t>
  </si>
  <si>
    <t>EMS02R10000038HWA01H
EMS02R10000040HWA02H
EMS02R10000040HWA03H
EMS02R10000040HWA04H
EMS02R10000042HWA01H</t>
  </si>
  <si>
    <t>08/05 - Recebido GL. Tender HTM2019050802271/ HTM2019050802272
08/05 - Carga coletada - MAWB 606469631
10/05 - Recebemos cópia do BL 606469631 com algumas correções à serem feitas
14/05 - Recebemos cópia do BL corrigido.
20/05 - Recebemos BL original
10/06 - Navio atracado em 09/06/19 15:48
11/06 - Divergência de peso acima de 10 % - solicitada repesagem
12/06 - Liberado registro de DI, programada entrega para Sexta-feira 14/06
13/06 - DI registrada - canal verde
14/06 - Material entregue</t>
  </si>
  <si>
    <t>EMS01J10000073HWA01H</t>
  </si>
  <si>
    <t>15/05 - Recebido GL. Tender HTM2019051501248/ HTM2019051501249
16/05 - Carga coletada - MAWB/BL 606502522
17/05 - Recebemos cópia do BL 606502522
21/05 - Recebemos BL original
17/06 - Navio atracou em 16/06/2019 14:30:00  - Status SIGVIG Retido
24/06 - DI registrada - canal verde - entrega programada para dia 25.06
25/06 - Mercadoria entregue.</t>
  </si>
  <si>
    <t>EMS01J10000076HWA01H
EMS01J10000079HWA01H
EMS02R10000045HWA01H
EMS02R10000045HWA02H
EMS02R10000045HWA03H</t>
  </si>
  <si>
    <t>29/05 - Recebido GL. Tender HTM2019052503970
03/06 - BL draft recebido com divergência - Documentation fee &amp; Terminal Handling Service estão como collect, aguardando revisão.
06/06 - Recebemos cópia do BL revisada.
02/07 - DI registrada - canal verde - entrega programada para 03/07
03/07 - Material entregue</t>
  </si>
  <si>
    <t>EMS02R10000049HWA01H
EMS02R10000049HWA02H
EMS02R10000049HWA03H
EMS02R10000049HWA04H</t>
  </si>
  <si>
    <t>24/05 - Recebido GL. TenderHTM2019062405698/ HTM2019062405699
27/06 - BL draft recebido
19/07 - Retirado BL Original no armador.
28/07 - Navio Maersk Lirquen atracou.
30/07 - Container com divergência de peso, solicitada repesagem.
06/08 - DI Registrada - canal verde - entrega programada para 07/08.
07/08 - Material entregue.</t>
  </si>
  <si>
    <t>EMS01J10000087HWA01H
EMS01J10000089HWA01H
EMS01J10000090HWA01H
EMS01J10000092HWA01H</t>
  </si>
  <si>
    <t>02/07 - Recebido GL. Tender HTM2019070105106/ HTM2019070105107
03/07 - Material coletado
05/07 - BL draft recebido
24/07 - Retirado BL Original no armador
06/08 - Navio Maersk La Paz atracou.
07/08 - Recebida presença de carga.
12/08 - DI Registrada - canal verde - entrega programada para 13/08.
14/08 - Material entregue.</t>
  </si>
  <si>
    <t>EMS02R10000053HWA01H
EMS02R10000053HWA02H
EMS02R10000053HWA03H
EMS02R10000053HWA04H</t>
  </si>
  <si>
    <t>25/07 - Recebido GL. Tender HTM2019072507994
Enviadas NCMs
29/07 - Material coletado em 2019-07-26 19:50:34
30/07 - Recebido BL draft encaminhado para Original.
29/08 - Recebido extrato de descarga de container - sem avarias
SIGVIG Liberado
DI Registrada - Canal verde - Entrega programada para 30/08.
30/08 - Material entregue.</t>
  </si>
  <si>
    <t>EMS01J10000091HWA02H
EMS01J10000091HWA03H
EMS01J10000091HWA06H
EMS01J10000094HWA01H
EMS01J10000094HWA02H
EMS02R10000051HWA01H
EMS02R10000064HWA01H
EMS02R10000065HWA01H
EMS02R10000066HWA01H
EMS02R10000067HWA01H
EMS02R10000076HWA01H
EMS02R10000082HWA01H
EMS02R10000083HWA01H
EMS02R10000086HWA01H</t>
  </si>
  <si>
    <t>01/08 - Recebido GL. Tender HTM2019073101545 / HTM2019073101546
Enviadas NCMs
02/08 - Material coletado em 2019-08-01 23:46:37
06/08 - Recebido BL draft encaminhado para Original.
CAAU5431587 ML-CN5481476 40 DRY 9'6 43 Case 6353.490 KGS 37.4300 CBM
04/09 - Navio atracou em 03/09 - aguardando presença de carga.
05/09 - Confirmada presença de carga, com divergência de peso.
Peso corrigido no sistema DEICMAR - embarque disponível para registro.
10/09 - DI Registrada - Canal verde - entrega programada para 11/09.
11/09 - Material entregue.</t>
  </si>
  <si>
    <t>EMS02R10000099HWA02H
EMS02R10000099HWA03H
EMS02R10000099HWA04H
EMS01J10000102HWA01H
EMS02R10000099HWA01H</t>
  </si>
  <si>
    <t xml:space="preserve">06/08 - Recebido GL. Tender 
Enviadas NCMs
08/08 - Material coletado em 2019-08-06 23:53:29
12/08 - MRKU6153891 ML-CN0437739 40 DRY 9'6 21 Case
HASU1214554 ML-CN0499753 20 DRY 8'6 4 Case
Recebida cópia do BL, encaminhada para Original.
09/09 - Navio atracou em 08/09 - aguardando presença de carga.
Recebida presença de carga - com divergência de peso - solicitada repesagem
10/09 - SIGVIG Liberado
Repesagem ainda com divergência - informar HW - embarque disponível para registro.
13/09 - DI Registrada - Canal verde - entrega programada para 16/09.
16/09 - Material entregue
</t>
  </si>
  <si>
    <t>EMS02R10000116HWA01H
EMS02R10000121HWA01H
EMS01J10000103HWA01H</t>
  </si>
  <si>
    <t>09/08 - Recebido GL. Tender 
Enviadas NCMs
14/08 - Material coletado em 2019-08-09 22:30:22
15/08 - Recebida cópia do BL, encaminhada para Original.
MSKU0282640 ML-CN9220833 40 DRY 9'6 22 Case 1492.000 KGS 35.3300 CBM
MSKU0509884 ML-CN9220818 40 DRY 9'6 18 Case 1201.000 KGS 26.9800 CBM
16/08 - Solicitado para Original retirar BL original direto na MSK.
Navio alterado de SKYROS 931W para CROATIA / 932W
16/09 - Recebida lista de separação de material por container.
SIGVIG Liberado
18/09 - Recebida presença de carga - informada divergência de peso.
Liberado para registro sem repesagem devido necessidade de produção.
19/09 - DI Registrada - Canal verde - programada entrega para amanhã 20/09.
20/09 - Material entregue.</t>
  </si>
  <si>
    <t>EMS02R10000117HWA02H
EMS02R10000126HWA01H
EMS02R10000136HWA01H
EMS02R10000124HWA01H
EMS02R10000123HWA01H
EMS02R10000122HWA01H
EMS02R10000117HWA01H</t>
  </si>
  <si>
    <t>15/08 - Recebido GL. Tender HTM2019080907880 / HTM2019080907881
Enviadas NCMs em 09/08
Material coletado em 2019-08-10 10:08:00
Recebida cópia do BL, encaminhada para Original.
TCLU2329689 ML-CN9220904 20 DRY 8'6 6 Case 393.500 KGS 8.1600 CBM
16/08 - Solicitado para Original retirar BL original direto na MSK.
Navio alterado de SKYROS 931W para CROATIA / 932W
16/09 - SIGVIG Liberado
18/09 - Recebida presença de carga - informada divergência de peso.
Liberado para registro sem repesagem devido necessidade de produção.
19/09 - DI Registrada - Canal verde - programada entrega para amanhã 20/09.
20/09 - Material entregue.</t>
  </si>
  <si>
    <t>EMS02R10000134HWA01H
EMS02R10000135HWA01H
EMS02R10000146HWA01H
EMS02R10000147HWA01H
EMS02R10000148HWA01H
EMS02R10000149HWA01H</t>
  </si>
  <si>
    <t>27/08 - Recebido GL. Tender 
Enviadas NCMs
28/08 - Material coletado em 2019-08-27 06:00:23
02/09 - Recebida cópia do BL - encaminhada para Original.
30/09 - Navio Maersk Lima atracou dia 29/09 (Operador Santos Brasil).
Recebida presença de carga
Aguardando autorização para registro.
07/10 - DI Registrada - Canal verde - programada entrega para 08/10.
08/10 - Material entregue.</t>
  </si>
  <si>
    <t>EMS02R10000119HWA29H
EMS02R10000120HWA22H
EMS02R10000120HWA23H
EMS02R10000120HWA25H
EMS02R10000118HWA27H
EMS02R10000119HWA25H</t>
  </si>
  <si>
    <t>23/08 - Recebido GL. Tender HTM2019082103087 / HTM2019082103088
26/08 - Enviadas NCMs
Material coletado em 2019-08-22 06:01:07
28/08 - Recebida cópia do BL - encaminhada para Original
11/09 - Retiramos o BL Original no Armador
26/09 - Navio MSC Sofia Celeste atracou dia 26/09 (Operador BTP – Deicmar)
30/09 - Recebida presença de carga
Aguardando autorização para registro.
07/10 - DI Registrada - Canal verde - programada entrega para 09/10.
09/10 - Material entregue.</t>
  </si>
  <si>
    <t>EMS02R10000118HWA24H
EMS02R10000118HWA25H
EMS02R10000119HWA19H
EMS02R10000119HWA27H
EMS02R10000140HWA01H
EMS02R10000141HWA01H
EMS02R10000142HWA01H
EMS02R10000143HWA01H
EMS02R10000144HWA01H
EMS02R10000145HWA01H
EMS02R10000162HWA01H
EMS02R10000163HWA01H</t>
  </si>
  <si>
    <t>02/09 - Recebido GL. Tender HTM2019082906341
Enviadas NCMs em 30/08
04/09 - Material coletado em 2019-08-30 00:05:00
Recebida cópia do BL - encaminhada para Original.
03/10 - Navio Czech atracou dia 30/09 (Operador BTP – Deicmar). 
Recebida presença de carga.
Aguardando autorização para registro.
07/10 - DI Registrada - Canal verde - programada entrega para 09/10.
09/10 - Material entregue.</t>
  </si>
  <si>
    <t>EMS02R10000118HWA26H
EMS02R10000120HWA24H
EMS02R10000164HWA01H
EMS02R10000165HWA01H
EMS02R10000166HWA01H
EMS02R10000167HWA01H
EMS02R10000168HWA01H
EMS02R10000169HWA01H
EMS02R10000170HWA01H
EMS02R10000172HWA01H
EMS02R10000173HWA01H</t>
  </si>
  <si>
    <t>20/09 - Recebido GL. Tender HTM2019092002130
Enviadas NCMs
23/09 - Material coletado em 2019-09-20 22:38:32
Recebida cópia do BL - encaminhada para Original.
23/10 - Presença de carga em 22/10/2019
SIGVIG Retido, Inspeção da Madeira agendada para o dia 24/10
25/10 - DI registrada - Canal verde - Entrega programada para dia 28/10.
28/10 - Material entregue.</t>
  </si>
  <si>
    <t>EMS01J10000112HWA01H
EMS01J10000114HWA01H
EMS02R10000151HWA01H
EMS02R10000199HWA01H
EMS02R10000200HWA01H</t>
  </si>
  <si>
    <t>01/10 - Tender HTM2019092903285
Enviadas NCMs em 29/09
Material coletado em 2019-09-29 23:53:16
09/10 - Recebida cópia do BL - encaminhada para Original.
MRSU3694771 ML-CN9166046 40 DRY 9'6 16 Case 1577.500 KGS 18.0600 CBM
25/10 - Retirado BL Original no Armador em 25/10.
04/11 - Atracação no terminal Santos Brasil 03/11/19 16:24
Recebida presença de carga - Processo sem divergência
DI Registrada - Canal verde - aguardando SIGVIG em analise para agendar carregamento.
06/11 - SIGVIG Liberado - Material entregue.</t>
  </si>
  <si>
    <t>EMS02R10000201HWA01H
EMS01J10000123HWA01H
EMS02R10000232HWA01H
EMS02R10000225HWA01H
EMS02R10000226HWA01H
EMS02R10000230HWA01H
EMS02R10000229HWA01H
EMS02R10000231HWA01H
EMS02R10000228HWA01H</t>
  </si>
  <si>
    <t>08/10 - Tender HTM2019100702015
Enviadas NCM
09/10 - Material coletado em 2019-10-08 04:39:37
11/10 - Recebida cópia do BL - encaminhada para Original.
TCKU2054959 ML-CN9171430 20 DRY 8'6 17 Case 2338.940 KGS 15.3800 CBM
30/10 - Necessidade de receber o material em 14/11 para NPI do projeto FYQ conforme informação de planejamento 
11/11 - navio atracou em 10/11/2019 20:06:00
12/11 - Presença de carga - com divergência de peso
DI registrada - Canal verde - Carregamento programado para 13/11.
13/11 - Material entregue.</t>
  </si>
  <si>
    <t>EMS02R10000215HWA01H
EMS02R10000215HWA02H
EMS02R10000215HWA03H</t>
  </si>
  <si>
    <t>14/10 - Tender HTM2019101406597
Enviadas NCM
16/10 - Material coletado em 2019-10-15 09:17:00
21/10 - Recebida cópia do BL - encaminhada para Original.
SUDU1998633 ML-CN6958277 20 DRY 8'6 19 Case 1322.980 KGS 13.5100 CBM
30/10 - OBL liberado para retirar no armador - enviada solicitação para Original.
18/11 - Navio Kota Pemimpin atracou dia 18/11 aguardando entrada.
21/11 - Presença de carga - com divergência de peso -1,73 %
22/11 - DI registrada - Canal verde - entrega programada para 25/11.
25/11 - Material entregue.</t>
  </si>
  <si>
    <t>EMS01J10000127HWA01H
EMS01J10000129HWA01H
EMS01J10000127HWA02H</t>
  </si>
  <si>
    <t>14/10 - Tender HTM2019102601700 / HTM2019102601701
29/10 - Material coletado em 2019-10-26 19:32:09
30/10 - Recebida cópia do BL - encaminhada para Original.
MSKU5952508 ML-CN6941219 20 DRY 8'6 11 Case 725.000 KGS 14.5700 CBM
26/11 - Mol Beauty atracou dia 24/11. Aguardando entrada.
27/11 - SIGVIG RETIDO. Inspeção da Madeira em 28/11.
05/12 - DI Registrada - Canal verde - entrega programada para 06/12.
06/12 - Material entregue.</t>
  </si>
  <si>
    <t>EMS02R10000248HWA01H
EMS02R10000251HWA01H
EMS02R10000252HWA01H
EMS02R10000253HWA01H
EMS02R10000254HWA01H
EMS02R10000256HWA01H</t>
  </si>
  <si>
    <t>04/11 - Tender HTM2019110201751 / HTM2019110201752
06/11 - Material coletado em 2019-11-03 05:55:05
08/11 - Recebida cópia do BL - encaminhada para Original
FFAU1276742 / 1 x 40 H / EMCEAF9119 / 45 CASE
14/11 - Recebido OBL - solicitada alteração para Prepaid.
18/11 - Recebida revisão do BL - encaminhado para Original.
06/12 - Atracação em 06/12/2019 10:27
09/12 - Recebido extrato com presença de carga - sem divergência.
Estão sendo cobradas as taxas de liberação para esse BL, solicitada correção para Huawei/Evergreen.
12/12 - DI Registrada - Canal verde - entrega programada para 13/12.
Ainda sem definição para pagamento de taxa de liberação de BL, podendo alterar data de entrega.
13/12 - Material entregue.</t>
  </si>
  <si>
    <t>EMS01J10000134HWA01H
EMS02R10000286HWA02H
EMS02R10000286HWA03H
EMS02R10000286HWA04H
EMS02R10000286HWA07H
EMS02R10000286HWA08H</t>
  </si>
  <si>
    <t>12/11 - Tender HTM2019110201751 / HTM2019110201752
13/11 - Material coletado em 2019-11-12 04:59:56 - ETA SSZ 2019-12-13
14/11 - Recebida cópia do BL - solicitada alteração para Prepaid.
18/11 - Recebida revisão do BL - encaminhado para Original.
16/12 - Recebido extrato com os dados da descarga do container.
Processo sem divergência.
18/12 - DI Registrada - Canal verde - entrega programada para 19/12.
19/12 - Material entregue.</t>
  </si>
  <si>
    <t>EMS02R10000271HWA02H
EMS02R10000276HWA02H
EMS02R10000280HWA01H
EMS02R10000282HWA01H
EMS02R10000282HWA02H
EMS02R10000282HWA03H
EMS02R10000314HWA01H</t>
  </si>
  <si>
    <t>13/11 - Tender HTM2019110902789
Material coletado em 2019-11-10 16:19:37 - ETA SSZ 2019-12-12
14/11 - Recebida cópia do BL - solicitada alteração para Prepaid.
18/11 - Recebida revisão do BL - encaminhado para Original.
13/12 - Recebida presença de carga com divergência de peso em -11,31%. Enviado email para Huawei (Zeic)
16/12 - Enviado email para Lemon/Apple aguardando ok para registro de embarque.
18/12 - DI Registrada - Canal verde - entrega programada para 19/12.
19/12 - Material entregue.</t>
  </si>
  <si>
    <t>EMS01J10000131HWA01H
EMS02R10000278HWA01H
EMS02R10000271HWA01H
EMS02R10000286HWA06H
EMS01J10000141HWA01H
EMS01J10000144HWA01H
EMS02R10000272HWA02H
EMS02R10000272HWA03H
EMS02R10000272HWA04H
EMS02R10000267HWA02H
EMS02R10000267HWA03H
EMS02R10000276HWA03H
EMS02R10000271HWA03H</t>
  </si>
  <si>
    <t>*Shenker*
05/06 - Tender: HTM2021060405300
Recebido draft BL para conferência
Conteiner EITU1148589 / 40H / EMCRJZ6720 / 52 CASES
11/06 - Material coletado em 2021-06-06 22:00:00 - ETA SSZ 2021-07-17
12/07 - Data de atracação alterada de 10/07 para 12/07
13/07 - DataEntrada: 13/07/2021 01:38:13
Status SIGVIG: Liberado
Sem divergência de peso
19/07 - DI Registrada - Canal verde - entrega programada para 21/7
21/7 - Material entregue.</t>
  </si>
  <si>
    <t>*Shenker*
03/06 - Tender: HTM2021060206573
11/06 - Material coletado em 2021-06-03 22:00:00 - ETA SSZ 2021-07-14
17/06 - Recebido BL draft encaminhado para Original
MRKU5962823 ML-CN3077124 40 DRY 9'6 22 CASES 1373.500 KGS 29.2100 CBM
MRSU3555740 ML-CN3077125 40 DRY 9'6 20 CASES 1146.000 KGS 31.9500 CBM
07/07 - Data Atracação 06/07/2021 10:24:00
Status SIGVIG: Liberado
Com divergência de peso de 14,60%
19/07 - DI Registrada - Canal verde - entrega programada para 21/7
21/07 - Material entregue.</t>
  </si>
  <si>
    <t>*Shenker*
01/06 - Tender: HTM2021052902476
Recebido draft BL para conferência
Conteiner EGHU8301600 / 40H / EMCGLQ8971 / 27 CASES
11/06 - Material coletado em 2021-06-01 - ETA SSZ 2021-07-12
12/07 - Data de atracação alterada de 10/07 para 12/07
13/07 - Data Entrada: 12/07/2021 19:37:15
Status SIGVIG: Liberado
Sem divergência de peso
19/07 - DI Registrada - Canal verde - entrega programada para 21/7
21/07 - Material entregue.</t>
  </si>
  <si>
    <t>*Shenker*
03/06 - Tender: HTM2021060303618
11/06 - Material coletado em 2021-06-05 11:37:22 - ETA SSZ 2021-07-16
24/06 - Recebido BL draft encaminhado para Original
MSKU9469930 ML-CN3076758 40 DRY 9'6 49 CASES 6957.600 KGS 51.3400 CBM
12/07 - Data de atracação alterada de 16/07 para 18/07
19/07 - Data Atracação 16/07/2021 18:46:00
Status SIGVIG: Liberado
Sem divergência de peso
DI Registrada - Canal verde - entrega programada para 22/7
22/07 - Material entregue.</t>
  </si>
  <si>
    <t>EGLV149109297554</t>
  </si>
  <si>
    <t>HWC2021072285877
HWC2021072285874
HWC2021072285817
HWC2021072285870
HWC2021072285872
HWC2021072285882
HWC2021072285883
HWC2021072285876
HWC2021072285878
HWC2021072285879
HWC2021072285881
HWC2021072285873
HWC2021072285871
HWC2021072285875
HWC2021072285869
HWC2021072285880</t>
  </si>
  <si>
    <t>EMS02R20000898HWA0009H
EMS02R20000898HWA0001H
EMS02R20000909HWA0001H
EMS02R20000881HWA0003H
EMS02R20000885HWA0001H
EMS02R20000904HWA0001H
EMS02R20000909HWA0002H
EMS02R20000898HWA0006H
EMS02R20000899HWA0001H
EMS02R20000900HWA0002H
EMS02R20000900HWA0005H
EMS02R20000886HWA0001H
EMS02R20000882HWA0002H
EMS02R20000898HWA0005H
EMS01J20000169HWA0001H
EMS02R20000900HWA0003H</t>
  </si>
  <si>
    <t>*Shenker*
08/06 - Tender: HTM2021060804487
Recebido draft BL para conferência
Conteiner TCNU2707765 / 40H / EMCRKC5860 / 45 CASES
11/06 - Material coletado em 2021-06-09 22:00:00 - ETA SSZ 2021-07-20
12/07 - Data de atracação alterada de 14/07 para 15/07
15/07 - Data  Entrada: 14/07/2021 20:45:53
Status SIGVIG: Liberado
Sem divergência de peso
19/07 - DI Registrada - Canal verde - entrega programada para 23/7
23/07 - Material entregue.</t>
  </si>
  <si>
    <t>*Shenker*
07/06 - Tender: HTM2021060711566
Recebido draft BL para conferência
Conteiner MRKU5422337 ML-CN3071292 40 DRY 9'6 51 CASES
14/06 - Material coletado em 2021-06-08 22:00:00 - ETA SSZ 2021-07-219
12/07 - Data de atracação alterada de 16/07 para 18/07
19/07 - Data Atracação 16/07/2021 18:46:00
Status SIGVIG: Liberado
Sem divergência de peso
19/07 - DI Registrada - Canal verde - entrega programada para 23/7
23/07 - Material entregue.</t>
  </si>
  <si>
    <t>4800015877
4800015752
4800015753
4800015756
4800015757
4800015803
4800015804
4800015805
4800015810
4800015827</t>
  </si>
  <si>
    <t>STORAGE
BBU L06
RRU L06</t>
  </si>
  <si>
    <t>EGLV149109398172</t>
  </si>
  <si>
    <t>HWC2021072691161
HWC2021072691165
HWC2021072691154
HWC2021072691162
HWC2021072691166
HWC2021072691164
HWC2021072691163
HWC2021072691167
HWC2021072691232
HWC2021072691234
HWC2021072691233
HWC2021072691210
HWC2021072691235</t>
  </si>
  <si>
    <t>EMS01J20000168HWA0005H
EMS02R20000925HWA0002H
EMS02R20000937HWA0005H
EMS02R20000880HWA0002H
EMS02R20000925HWA0006H
EMS02R20000898HWA0008H
EMS02R20000898HWA0007H
EMS02S20000178HWA0002H
EMS02R20000923HWA0009H
EMS02S20000178HWA0004H
EMS02S20000178HWA0003H
EMS02R20000925HWA0004H
EMS02S20000178HWA0001H</t>
  </si>
  <si>
    <t xml:space="preserve">4800015874
4800015751
4800015803
4800015868
4800015870
4800015910
4800015873
</t>
  </si>
  <si>
    <t>STORAGE
BBU L06
RRU L06
RRU L10
272J</t>
  </si>
  <si>
    <t>21/1414398-7</t>
  </si>
  <si>
    <t>*Shenker*
17/05 - Tender: HTM2021051304778
18/05 - Material coletado em 2021-05-16 10:48:30  - ETA SSZ 2021-06-26
Recebido BL draft encaminhado para Original
07/06 - Recebido novo BL draft alterando porto de origem e navio
BL anterior EGLV149105220859 / Novo BL EGLV149106142215
Navio de ANTHEA Y 027W para VENETIKO 010W
Porto origem de YANTIAN para SHEKOU
17/06 - The vessel will be departure on 6.18th, will  provide you final BL tomorrow
Enviada divisão de container
24/06 - Due to the virus effect, the vessel will be arrive destination port on 7.26th
TRHU7762440 / 40H / EMCGLU7221 / 61 CASES
TRHU7762481 / 40H / EMCGLU5501 / 50 CASES
01/07 - Transship container loaded on outbound vessel KOTA CABAR 0054W at SINGAPORE (SG)
12/07 - Data de atracação alterada de 23/07 para 24/07
26/07 - Data Atracação 24/07/2021 02:06:00
Status SIGVIG: Liberado
Sem divergência de peso
26/07 - DI registrada - Canal verde - entrega programada para 28/07
28/07 - Material entregue.</t>
  </si>
  <si>
    <t>21/1436035-0</t>
  </si>
  <si>
    <t>21/1447884-9</t>
  </si>
  <si>
    <t>*Shenker*
14/06 - Tender: HTM2021061001865
Material coletado em 2021-06-11 22:00:00 - ETA SSZ 2021-07-22
18/06 - Recebido BL draft encaminhado para Original
Conteiner TCLU7912066 / 40H / EMCMMU1790 / 41 CASES
12/07 - Data de atracação alterada de 15/07 para 18/07
20/07 - Data Entrada: 19/07/2021 07:30:08
Status SIGVIG: Liberado
Sem divergência de peso
29/07 - DI Registrada - Canal verde - entrega programada para 30/07
30/07 - Material entregue.</t>
  </si>
  <si>
    <t>MSC ABIDJAN 127A</t>
  </si>
  <si>
    <t>*Shenker*
18/06 - Tender: HTM2021061704120
22/06 - Material coletado em 2021-06-19 22:00:00 - ETA SSZ 2021-07-30
24/06 - Recebido BL draft encaminhado para Original
TCNU4222697 ML-CN3077599 40 DRY 9'6 46 CASES 6995.980 KGS 50.9600 CBM
22/07 - Data Atracação 21/07/2021 13:12:00
Status SIGVIG: Liberado
Sem divergência de peso
30/07 - DI Registrada - Canal verde - entrega programada para 04/08
04/08 - Material entregue.</t>
  </si>
  <si>
    <t>HWC2021072995141
HWC2021072995142
HWC2021072995143
HWC2021072995144
HWC2021072995145
HWC2021072995146
HWC2021072995147
HWC2021072995148
HWC2021072995149
HWC2021072995150
HWC2021072995151
HWC2021072995152
HWC2021072995153
HWC2021072995154
HWC2021072995123
HWC2021072995155
HWC2021072995156
HWC2021072995157
HWC2021072995158
HWC2021072995159
HWC2021072995160</t>
  </si>
  <si>
    <t>EMS01J20000168HWA0003H
EMS02R20000923HWA0001H
EMS02R20000923HWA0006H
EMS02R20000923HWA0007H
EMS02R20000924HWA0001H
EMS02R20000924HWA0003H
EMS02R20000924HWA0006H
EMS02R20000924HWA0007H
EMS02R20000924HWA0008H
EMS02R20000924HWA0010H
EMS02R20000924HWA0013H
EMS02R20000925HWA0003H
EMS02R20000930HWA0002H
EMS02R20000930HWA0003H
EMS02R20000930HWA0007H
EMS02R20000931HWA0002H
EMS02R20000932HWA0004H
EMS02R20000933HWA0005H
EMS02R20000937HWA0011H
EMS02R20000938HWA0007H
EMS02R20000946HWA0003H</t>
  </si>
  <si>
    <t>EGLV149108392090</t>
  </si>
  <si>
    <t>COSCO SHIPPING THAMES 019W</t>
  </si>
  <si>
    <t xml:space="preserve">STORAGE
RRUL10
RRUL06
BBUL10
</t>
  </si>
  <si>
    <t>4800015874
4800015868
4800015869
4800015870
4800015898
4800015903
4800015904
4800015905
4800015910
4800015911
4800015913</t>
  </si>
  <si>
    <t>HWC2021080402541
HWC2021080402542
HWC2021080402543
HWC2021080402544
HWC2021080402545
HWC2021080402546
HWC2021080402547
HWC2021080402548
HWC2021080402549
HWC2021080402550
HWC2021080402551
HWC2021080402552
HWC2021080402553
HWC2021080402554</t>
  </si>
  <si>
    <t>EMS02R20000899HWA0002H
EMS02R20000923HWA0002H
EMS02R20000923HWA0003H
EMS02R20000923HWA0005H
EMS02R20000923HWA0008H
EMS02R20000923HWA0010H
EMS02R20000923HWA0011H
EMS02R20000923HWA0012H
EMS02R20000924HWA0009H
EMS02R20000924HWA0011H
EMS02R20000924HWA0012H
EMS02R20000930HWA0001H
EMS02R20000932HWA0001H
EMS02R20000937HWA0008H</t>
  </si>
  <si>
    <t>4800015804
4800015868
4800015869
4800015898
4800015904
4800015910</t>
  </si>
  <si>
    <t>HWC2021080705637
HWC2021080705638
HWC2021080705639
HWC2021080705640
HWC2021080705641
HWC2021080705642
HWC2021080705592
HWC2021080705593
HWC2021080705594
HWC2021080705595
HWC2021080705596
HWC2021080705597
HWC2021080705598
HWC2021080705599
HWC2021080705600
HWC2021080705643
HWC2021080705644
HWC2021080705645
HWC2021080705646
HWC2021080705647</t>
  </si>
  <si>
    <t>EMS01J20000171HWA0001H
EMS01J20000171HWA0005H
EMS01J20000171HWA0007H
EMS01J20000171HWA0008H
EMS01J20000171HWA0011H
EMS01J20000171HWA0012H
EMS02R20000923HWA0004H
EMS02R20000924HWA0002H
EMS02R20000924HWA0004H
EMS02R20000924HWA0005H
EMS02R20000925HWA0001H
EMS02R20000931HWA0001H
EMS02R20000933HWA0001H
EMS02R20000933HWA0004H
EMS02R20000933HWA0007H
EMS02R20000933HWA0016H
EMS02R20000933HWA0019H
EMS02R20000937HWA0012H
EMS02R20000955HWA0001H
EMS02R20000963HWA0002H</t>
  </si>
  <si>
    <t>BUENOS AIRES EXPRESS 128 W</t>
  </si>
  <si>
    <t>STORAGE
RRU L10</t>
  </si>
  <si>
    <t>4800015921
4800015868
4800015869
4800015870
4800015903
4800015905
4800015910
4800015957
4800015940</t>
  </si>
  <si>
    <t>EGLV149108392707</t>
  </si>
  <si>
    <t>EVER LUCENT 1445 - 047W</t>
  </si>
  <si>
    <t>4800015874
4800015921
4800015870
4800015898
4800015905
4800015906
4800015910
4800015911
4800015950</t>
  </si>
  <si>
    <t>21/1532069-6</t>
  </si>
  <si>
    <t>EGLV149110523228</t>
  </si>
  <si>
    <t>HWC2021081008905
HWC2021081008906
HWC2021081008902
HWC2021081008908
HWC2021081008904
HWC2021081008894
HWC2021081008896
HWC2021081008895
HWC2021081008899
HWC2021081008898
HWC2021081008897
HWC2021081008909
HWC2021081008900
HWC2021081008903
HWC2021081008907
HWC2021081008910
HWC2021081008901
HWC2021081211972
HWC2021081211973
HWC2021081211974
HWC2021081212043
HWC2021081212044
HWC2021081212045
HWC2021081212046</t>
  </si>
  <si>
    <t>EMS02R20000934HWA0008H
EMS02R20000937HWA0002H
EMS02R20000930HWA0005H
EMS02R20000938HWA0004H
EMS02R20000933HWA0017H
EMS01J20000168HWA0002H
EMS01J20000168HWA0008H
EMS01J20000168HWA0007H
EMS01J20000171HWA0009H
EMS01J20000168HWA0010H
EMS01J20000168HWA0009H
EMS02R20000938HWA0009H
EMS01J20000171HWA0013H
EMS02R20000930HWA0006H
EMS02R20000938HWA0002H
EMS02S20000184HWA0002H
EMS02R20000925HWA0005H
EMS02R20000932HWA0006H
EMS02R20000933HWA0006H
EMS02R20000933HWA0021H
EMS02R20000938HWA0006H
EMS02R20000938HWA0011H
EMS02R20000946HWA0004H
EMS02R20000972HWA0001H</t>
  </si>
  <si>
    <t>*Shenker*
27/06 - Tender: HTM2021062701184
30/06 - Material coletado em 2021-06-28 22:00:00 - ETA SSZ 2021-08-08
08/07 - Recebido BL draft encaminhado para Original
EMCU3969606 / 20' / EMCGHZ9491 / 27 CASES / 1 X 20'
Navio informado no BL EVER LIBRA 1440 - 057W
21/07 - Alterada previsão de atracação no site do armador para 07/08/2021 21:00
09/08 - Data Entrada: 08/08/2021 12:45:07
Status SIGVIG: Liberado
Sem divergência de peso
12/08 - DI Registrada - Canal verde - entrega programada para 13/08
13/08 - Material entregue.</t>
  </si>
  <si>
    <t>HWC2021081616186
HWC2021081616183
HWC2021081616185
HWC2021081616187
HWC2021081616184
HWC2021081616190
HWC2021081616188
HWC2021081616189</t>
  </si>
  <si>
    <t>EMS02R20000933HWA0018H
EMS02R20000930HWA0004H
EMS02R20000932HWA0002H
EMS02R20000946HWA0005H
EMS02R20000931HWA0003H
EMS02R20000937HWA0009H
EMS02R20000972HWA0002H
EMS02R20000937HWA0001H</t>
  </si>
  <si>
    <t>4800015898
4800015903
4800015904
4800015905
4800015910
4800015913
4800016023</t>
  </si>
  <si>
    <t>XIN FEI ZHOU 079W</t>
  </si>
  <si>
    <t>HWC2021081717507
HWC2021081717506
HWC2021081717503
HWC2021081717501
HWC2021081717502
HWC2021081717505
HWC2021081717504</t>
  </si>
  <si>
    <t>EMS02R20000954HWA0008H
EMS02R20000912HWA0001H
EMS02R20000938HWA0010H
EMS02R20000938HWA0001H
EMS02R20000938HWA0005H
EMS02R20000946HWA0002H
EMS02R20000946HWA0001H</t>
  </si>
  <si>
    <t>4800015830
4800015911
4800015913
4800015956</t>
  </si>
  <si>
    <t>HWC2021081818701
HWC2021081818702
HWC2021081818704
HWC2021081818705
HWC2021081818700
HWC2021081818706
HWC2021081818707
HWC2021081818721
HWC2021081818722
HWC2021081818723
HWC2021081818708
HWC2021081818709
HWC2021081818724</t>
  </si>
  <si>
    <t>EMS02R20000932HWA0003H
EMS02R20000932HWA0005H
EMS02R20000933HWA0002H
EMS02R20000933HWA0003H
EMS02R20000933HWA0009H
EMS02R20000933HWA0010H
EMS02R20000933HWA0011H
EMS02R20000933HWA0020H
EMS02R20000937HWA0003H
EMS02R20000937HWA0004H
EMS02R20000938HWA0003H
EMS02R20000938HWA0008H
EMS02R20000954HWA0006H</t>
  </si>
  <si>
    <t>4800015904
4800015905
4800015910
4800015911
4800015956</t>
  </si>
  <si>
    <t>21/1604171-5</t>
  </si>
  <si>
    <t>HWC2021082021084
HWC2021082021070
HWC2021082021083
HWC2021082021085</t>
  </si>
  <si>
    <t>EMS02R20000954HWA0007H
EMS02R20000937HWA0013H
EMS02R20000934HWA0001H
EMS02R20000964HWA0001H</t>
  </si>
  <si>
    <t>4800015906
4800015910
4800015956
4800016001</t>
  </si>
  <si>
    <t>MONTEVIDEO EXPRESS 131W</t>
  </si>
  <si>
    <t>HWC2021082122805
HWC2021082122806
HWC2021082122807
HWC2021082122808
HWC2021082122809
HWC2021082122810
HWC2021082122811
HWC2021082122812</t>
  </si>
  <si>
    <t>EMS02R20000933HWA0008H
EMS02R20000933HWA0012H
EMS02R20000933HWA0013H
EMS02R20000933HWA0014H
EMS02R20000934HWA0006H
EMS02R20000934HWA0009H
EMS02R20000954HWA0004H
EMS02R20000972HWA0003H</t>
  </si>
  <si>
    <t>HWC2021081920734
HWC2021081920717
HWC2021081920718
HWC2021081920719
HWC2021081920720
HWC2021081920735</t>
  </si>
  <si>
    <t>EMS02R20000933HWA0015H
EMS02R20000954HWA0001H
EMS02R20000954HWA0002H
EMS02R20000954HWA0003H
EMS02R20000966HWA0001H
EMS02S20000184HWA0001H</t>
  </si>
  <si>
    <t>RRUL10</t>
  </si>
  <si>
    <t>4800015905
4800015906
4800015956
4800016023</t>
  </si>
  <si>
    <t>RRUL10
BBUL10</t>
  </si>
  <si>
    <t>4800015905
4800015956
4800016003
4800015950</t>
  </si>
  <si>
    <t>*Shenker*
15/07 - Recebidas invoices
19/07 - Tender: HTM2021071406345
Materia lcoletado em 2021-07-16 23:00:00 - ETA SSZ 2021-08-26
Recebido BL draft encaminhado para Original
TXGU5806580 / 40H / EMCGMH9651 / 45 CASES
21/07 - Alterada previsão de atracação no site do armador para 18/08/2021 21:00
23/07 - Recebido BL draft alterando navio de EVER LIFTING 1442-041W para CMA CGM CARL ANTOINE 0AA9JW1MA e número do BL de EGLV149108968820 para EGLV149109297554
27/07 - Alterada previsão de atracação no site do armador para 17/08/2021 23:00
12/08 - Alterada previsão de atracação no site do armador para 20/08/2021 02:00
23/08 - DataEntrada: 21/08/2021 16:32:12
Status SIGVIG: Liberado
Sem divergência de peso
24/08 - DI Registrada - Canal verde - entrega programada para 25/08
25/08 - Material entregue.</t>
  </si>
  <si>
    <t>21/1652416-3</t>
  </si>
  <si>
    <t>21/1652370-1</t>
  </si>
  <si>
    <t>*Shenker*
07/07 - Recebidas invoices
12/07 - Tender: HTM2021070704582
Material coletado em 2021-07-08 22:00:00 - ETA SSZ 2021-08-18
13/07 - Recebido BL draft encaminhado para Original
BMOU5281324 / 40H / EMCGKJ3961 / 40 CASES
21/07 - Alterada previsão de atracação no site do armador para 14/08/2021 01:00
27/07 - Alterada previsão de atracação no site do armador para 17/08/2021 23:00
12/08 - Alterada previsão de atracação no site do armador para 20/08/2021 02:00
23/08 - DataEntrada: 21/08/2021 15:05:16
Status SIGVIG: Liberado
Sem divergência de peso
31/08 - DI Registrada - Canal verde - entrega programada para 01/09.
01/09 - Material entregue.</t>
  </si>
  <si>
    <t>*Shenker*
23/07 - Recebidas invoices
26/07 - Recebido BL draft encaminhado para Original
TXGU5767987 / 40H / EMCGMK2201 / 62 CASES
27/07 - Tender: HTM2021072106500
Material coletado em 2021-07-24 23:00:00 - ETA SSZ 2021-09-03
27/07 - Alterada previsão de atracação no site do armador para 21/08/2021 07:00
12/08 - Alterada previsão de atracação no site do armador para 20/08/2021 17:00
23/08 - DataEntrada: 21/08/2021 20:52:22
Status SIGVIG: Liberado
Sem divergência de peso
31/08 - DI Registrada - Canal verde - entrega programada para 01/09.
01/09 - Material entregue.</t>
  </si>
  <si>
    <t>HWC2021082831677
HWC2021082831678
HWC2021082831679
HWC2021082831680</t>
  </si>
  <si>
    <t>EMS02R20000954HWA0005H
EMS02R20000963HWA0001H
EMS02R20000985HWA0003H
EMS02R20000986HWA0006H</t>
  </si>
  <si>
    <t>EGLV149111408414</t>
  </si>
  <si>
    <t>CMA CGM JACQES JUNIOR 0AA9VW1MA</t>
  </si>
  <si>
    <t>HWC2021083033826
HWC2021083033827
HWC2021083033825
HWC2021083033809
HWC2021083033810
HWC2021083033811
HWC2021083033828</t>
  </si>
  <si>
    <t>EMS02R20000934HWA0002H
EMS02R20000934HWA0010H
EMS02R20000985HWA0025H
EMS02R20000990HWA0003H
EMS02R20000990HWA0006H
EMS02R20000992HWA0005H
EMS02R20000992HWA0007H</t>
  </si>
  <si>
    <t>21/1667824-1</t>
  </si>
  <si>
    <t>21/1667892-6</t>
  </si>
  <si>
    <t>RRUL10
RRUL06</t>
  </si>
  <si>
    <t>4800015956
4800015940
4800016073
4800016076</t>
  </si>
  <si>
    <t>4800015906
4800016073
4800016080
4800016077</t>
  </si>
  <si>
    <t>EGLV149111538831</t>
  </si>
  <si>
    <t>*Shenker*
12/07 - Recebidas invoices
Tender: HTM2021070903152
Material coletado em 2021-07-10 09:05:59 - ETA SSZ 2021-08-20
Recebido BL draft encaminhado para Original
TXGU5801401 / 40H / EMCGLT8821 / 44 CASES
21/07 - Alterada previsão de atracação no site do armador para 18/08/2021 21:00
27/07 - Alterada previsão de atracação no site do armador para 21/08/2021 07:00
12/08 - Alterada previsão de atracação no site do armador para 20/08/2021 17:00
23/08 - DataEntrada: 21/08/2021 22:11:12
Status SIGVIG: Liberado
Sem divergência de peso
01/09 - DI Registrada - Canal verde - entrega programada para 03/09.
03/09 - Material entregue.</t>
  </si>
  <si>
    <t>*Shenker*
26/07 - Recebidas invoices
02/08 - Tender: HTM2021072605010
Material coletado em 2021-07-27 23:00:00 - ETA SSZ 2021-09-06
Recebido BL draft encaminhado para Original
MRSU3171472 ML-CN3078481 40 DRY 9'6 49 CASES 4373.530 KGS 43.6800 CBM
MRKU3624750 ML-CN3082029 40 DRY 9'6 36 CASES 3018.540 KGS 36.4400 CBM
MRKU7520184 ML-CN5837322 20 DRY 8'6 10 CASES 602.500 KGS 16.0000 CBM
12/08 - Alterada data de atracação no site do armador para 04/09/2021 06:00:00
30/08 - Data Descarga: 27/08/2021 22:10:29
Status SIGVIG: Liberado
Sem divergência de peso
01/09 - DI Registrada - Canal verde - entrega programada para 03/09.
03/09 - Material entregue.</t>
  </si>
  <si>
    <t>21/1702394-0</t>
  </si>
  <si>
    <t>HWC2021090338466
HWC2021090338451
HWC2021090338452
HWC2021090338468
HWC2021090338453
HWC2021090338470
HWC2021090338469
HWC2021090338454
HWC2021090338467</t>
  </si>
  <si>
    <t>EMS02R20000934HWA0003H
EMS02R20000937HWA0006H
EMS02R20000990HWA0002H
EMS02R20000985HWA0012H
EMS02R20000999HWA0001H
EMS02R20001002HWA0002H
EMS02R20001002HWA0001H
EMS02R20000985HWA0034H
EMS02R20000985HWA0006H</t>
  </si>
  <si>
    <t>4800015906
4800015910
4800016073
4800016080
4800016112
4800016116</t>
  </si>
  <si>
    <t>EGLV149111688662</t>
  </si>
  <si>
    <t>HWC2021090237164
HWC2021090237163
HWC2021090237090
HWC2021090237165</t>
  </si>
  <si>
    <t>EMS02R20000985HWA0017H
EMS02R20000986HWA0004H
EMS02R20000990HWA0007H
EMS02R20000990HWA0011H</t>
  </si>
  <si>
    <t>EGLV149111620103</t>
  </si>
  <si>
    <t>4800016073
4800016076
4800016080</t>
  </si>
  <si>
    <t>21/1706707-6</t>
  </si>
  <si>
    <t>HWC2021090439385
HWC2021090439383
HWC2021090439317
HWC2021090439384</t>
  </si>
  <si>
    <t>EMS02R20001003HWA0003H
EMS02R20000986HWA0007H
EMS02R20000986HWA0010H
EMS02R20000990HWA0008H</t>
  </si>
  <si>
    <t>EGLV149111712628</t>
  </si>
  <si>
    <t>HWC2021090642359
HWC2021090642361
HWC2021090642358
HWC2021090642360
HWC2021090642364
HWC2021090642365</t>
  </si>
  <si>
    <t>EMS02R20000986HWA0009H
EMS02R20000995HWA0001H
EMS02R20000937HWA0010H
EMS02R20000985HWA0005H
EMS02R20000994HWA0002K
EMS02R20000994HWA0003K</t>
  </si>
  <si>
    <t>YM TIPTOP 002W</t>
  </si>
  <si>
    <t>EGLV149109829033</t>
  </si>
  <si>
    <t>HWC2021090540096
HWC2021090540099
HWC2021090540095
HWC2021090540097
HWC2021090540098</t>
  </si>
  <si>
    <t>EMS02R20000934HWA0005H
EMS02R20000937HWA0007H
EMS02R20000934HWA0004H
EMS02R20000986HWA0005H
EMS02R20000986HWA0012H</t>
  </si>
  <si>
    <t>HWC2021090844478
HWC2021090844617
HWC2021090844480
HWC2021090844479
HWC2021090844618
HWC2021090844619
HWC2021090844620
HWC2021090844625
HWC2021090844626
HWC2021090844627
HWC2021090844622
HWC2021090844623
HWC2021090844624
HWC2021090844628</t>
  </si>
  <si>
    <t>EMS02R20000985HWA0010H
EMS02R20000985HWA0011H
EMS02R20000985HWA0014H
EMS02R20000985HWA0019H
EMS02R20000990HWA0001H
EMS02R20000990HWA0004H
EMS02R20000990HWA0005H
EMS02R20000994HWA0001K
EMS02R20000994HWA0004K
EMS02R20000994HWA0005K
EMS02R20000994HWA0006K
EMS02R20000994HWA0008K
EMS02R20000994HWA0010H
EMS02R20000995HWA0007H</t>
  </si>
  <si>
    <t>4800016076
4800016080
4800016113</t>
  </si>
  <si>
    <t>4800015910
4800016073
4800016076
4800016106
4800016107</t>
  </si>
  <si>
    <t>4800016073
4800016080
4800016106
4800016107</t>
  </si>
  <si>
    <t>4800015906
4800016076
4800015910</t>
  </si>
  <si>
    <t>EGLV149111919613</t>
  </si>
  <si>
    <t>HWC2021090844992
HWC2021090844993
HWC2021090844994
HWC2021090844995
HWC2021090844996
HWC2021090844997</t>
  </si>
  <si>
    <t>EMS02R20000934HWA0007H
EMS02R20000934HWA0011H
EMS02R20000985HWA0004H
EMS02R20000985HWA0001H
EMS02R20000990HWA0010H
EMS02R20000994HWA0007K</t>
  </si>
  <si>
    <t>HWC2021090945793
HWC2021090945794
HWC2021090945795
HWC2021090945789
HWC2021090945791
HWC2021090945790</t>
  </si>
  <si>
    <t>EMS02R20000995HWA0005H
EMS02R20000995HWA0006H
EMS02R20000992HWA0001H
EMS02R20000985HWA0002H
EMS02R20000985HWA0013H
EMS02R20000985HWA0016H</t>
  </si>
  <si>
    <t>*Shenker*
30/07 - Recebidas invoices
02/08 - Tender: HTM2021072904099
Material coletado em 2021-07-30 23:59:04 - ETA SSZ 2021-09-09
Recebido BL draft encaminhado para Original
TXGU5728110 - 40H - EMCGMK6951 - 56 CASES
TXGU5774230 - 40H - EMCGMD6611 - 61 CASES
TXGU5731243 - 40H - EMCGMK5031 - 65 CASES
TXGU5773871 - 40H - EMCGMD6321 - 74 CASES
12/08 - Alterada data de atracação no site do armador para 05/09/2021 13:00
08/09 - Data Entrada : 05/09/2021
Status SIGVIG: Liberado
Sem divergência de peso
08/09 - DI Registrada - entrega programada para 09/09
09/09 - Material entregue.</t>
  </si>
  <si>
    <t>21/1742936-9</t>
  </si>
  <si>
    <t>*Shenker*
05/08 - Recebidas invoices
08/08 - Tender:HTM2021080405865
Material coletado em 2021-08-06 - ETA SSZ 2021-09-16
11/08 - Recebido BL draft encaminhado para Original
INKU2693930 ML-CN8054000 40 DRY 9'6 46 Case 5449.860 KGS 45.4700 CBM
MSKU1754490 ML-CN8053832 40 DRY 9'6 50 Case 7387.000 KGS 56.4100 CBM
08/09 - Data Descarga: 05/09/2021 19:06:17
Status SIGVIG: Liberado
Sem divergência de peso
08/09 - DI Registrada - Canal verde - entrega programada para 13/09.
13/09 - Material entregue.</t>
  </si>
  <si>
    <t>EGLV149111961539</t>
  </si>
  <si>
    <t>BBUL10
RRUL10
RRUL06</t>
  </si>
  <si>
    <t>BBUL10
RRUL10</t>
  </si>
  <si>
    <t>EGLV149111966905</t>
  </si>
  <si>
    <t>4800015906
4800016073
4800016080
4800016106</t>
  </si>
  <si>
    <t>4800016073
4800016077
4800016107</t>
  </si>
  <si>
    <t>EGLV149112002501</t>
  </si>
  <si>
    <t>HWC2021091148365
HWC2021091148363
HWC2021091148361
HWC2021091148367
HWC2021091148364
HWC2021091148362
HWC2021091148366
HWC2021091148370
HWC2021091148369
HWC2021091148368
HWC2021091148340
HWC2021091148339</t>
  </si>
  <si>
    <t>EMS02R20000985HWA0009H
EMS02R20000985HWA0015H
EMS02R20000985HWA0018H
EMS02R20000985HWA0020H
EMS02R20000985HWA0024H
EMS02R20000985HWA0027H
EMS02R20000985HWA0029H
EMS02R20000995HWA0002H
EMS02R20000995HWA0003H
EMS02R20000995HWA0004H
EMS02R20001003HWA0001H
EMS02R20001003HWA0002H</t>
  </si>
  <si>
    <t>4800016073
4800016107
4800016113</t>
  </si>
  <si>
    <t>HWC2021091046942
HWC2021091046965
HWC2021091046927
HWC2021091046941
HWC2021091046923
HWC2021091046925
HWC2021091046857
HWC2021091046966
HWC2021091046854
HWC2021091046969</t>
  </si>
  <si>
    <t>EMS02R20000986HWA0003H
EMS02R20000992HWA0006H
EMS02R20000986HWA0002H
EMS02R20000986HWA0001H
EMS02R20000986HWA0008H
EMS02R20000986HWA0013H
EMS02R20000992HWA0004H
EMS02R20000992HWA0010H
EMS02R20000986HWA0011H
EMS02R20000990HWA0009H</t>
  </si>
  <si>
    <t>4800016076
4800016080
4800016077</t>
  </si>
  <si>
    <t>EGLV149112001890</t>
  </si>
  <si>
    <t>HWC2021091450818
HWC2021091450819
HWC2021091450817</t>
  </si>
  <si>
    <t>EMS02R20000985HWA0007H
EMS02R20000985HWA0022H
EMS02R20000985HWA0021H</t>
  </si>
  <si>
    <t>CMA CGM RODOLPHE 0AA9ZW1MA</t>
  </si>
  <si>
    <t>EGLV149112254941</t>
  </si>
  <si>
    <t>HWC2021091553029
HWC2021091553030
HWC2021091553031
HWC2021091553032
HWC2021091553041
HWC2021091553033</t>
  </si>
  <si>
    <t>EMS02R20000985HWA0031H
EMS02R20000985HWA0030H
EMS02R20000992HWA0008H
EMS02R20000992HWA0003H
EMS02R20000992HWA0009H
EMS02R20001006HWA0003H</t>
  </si>
  <si>
    <t>4800016073
4800016077
4800016131</t>
  </si>
  <si>
    <t>EGLV149112281981</t>
  </si>
  <si>
    <t>*Shenker*
07/08 - Recebidas invoices
11/08 - Recebido BL draft encaminhado para Original
TEMU8803806 / 40H / EMCHXA6571 / 49 CASES
CAAU5748102 / 40H / EMCHWY8091 / 55CASES
17/08 - Tender:HTM2021080701804
Material coletado em  2021-08-09 23:00:00 - ETA SSZ 2021-09-19
13/09 - Data Descarga: 11/09/2021 05:47:37
Status SIGVIG: Liberado
Sem divergência de peso
13/09 - DI Registrada - Canal verde - entrega programada para 15/09
15/09 - Material entregue.</t>
  </si>
  <si>
    <r>
      <t xml:space="preserve">TRANSPORTADORA: </t>
    </r>
    <r>
      <rPr>
        <sz val="12"/>
        <color theme="1"/>
        <rFont val="Calibri"/>
        <family val="2"/>
        <scheme val="minor"/>
      </rPr>
      <t>Unitrading</t>
    </r>
  </si>
  <si>
    <t>HWC2021091451807
HWC2021091451808
HWC2021091451806
HWC2021091451809</t>
  </si>
  <si>
    <t>EMS02R20000985HWA0032H
EMS02R20000985HWA0026H
EMS02R20000985HWA0028H
EMS01J20000182HWA0005H</t>
  </si>
  <si>
    <t>4800016158
4800016073</t>
  </si>
  <si>
    <t>EGLV149109932152</t>
  </si>
  <si>
    <t>21/1810703-9</t>
  </si>
  <si>
    <t>EGLV149108392260</t>
  </si>
  <si>
    <t>EGLV149110765141</t>
  </si>
  <si>
    <t>EGLV149110811525</t>
  </si>
  <si>
    <t>21/1844948-7</t>
  </si>
  <si>
    <t>21/1844502-3</t>
  </si>
  <si>
    <t>*Shenker*
10/08 - Recebidas invoices
11/08 - Recebido BL draft encaminhado para Original
EGHU9386242 / 40H / EMCHWX6031 / 56 CASES
EMCU8262540 / 40H / EMCHWX5731 / 61 CASES
TXGU5740651 / 40H / EMCLRU6460 / 33 CASES
13/08 - Recebido email incluindo 7 invoices ao embarque, alterando número do BL.
17/08 - Tender:HTM2021081001411
Material coletado em 2021-08-11 09:29:49 - ETA SSZ 2021-09-21
13/09 - Data Descarga: 11/09/2021 04:30:46
Status SIGVIG: Liberado
Sem divergência de peso
22/09 - DI Registrada - Canal verde - entrega programada para 23/09.
23/09 - Material entregue.</t>
  </si>
  <si>
    <t>21/1845316-6</t>
  </si>
  <si>
    <t>HWC2021092363070
HWC2021092363053
HWC2021092363052
HWC2021092363054
HWC2021092363057
HWC2021092363067
HWC2021092363055
HWC2021092363068
HWC2021092363056
HWC2021092363069
HWC2021092363058
HWC2021092363071</t>
  </si>
  <si>
    <t>EMS01J20000189HWA0002H
EMS02R20000985HWA0008H
EMS02R20000985HWA0023H
EMS02R20000985HWA0033H
EMS02R20000992HWA0002H
EMS02R20001006HWA0001H
EMS02R20001006HWA0002H
EMS02R20001022HWA0001H
EMS02R20001022HWA0002H
EMS02R20001022HWA0003H
EMS02R20001029HWA0003H
EMS02R20001017HWA0001H</t>
  </si>
  <si>
    <t>STORAGE
BBU L06
RRU L10</t>
  </si>
  <si>
    <t>4800016177
4800016073
4800016077
4800016131
4800016161
4800016186
4800016218</t>
  </si>
  <si>
    <t>EVER LUCID 1451 - 057W</t>
  </si>
  <si>
    <t>EGLV149110342151</t>
  </si>
  <si>
    <t>HWC2021092667607
HWC2021092667606
HWC2021092667608
HWC2021092667609
HWC2021092667610
HWC2021092667611
HWC2021092667612
HWC2021092667632
HWC2021092667613</t>
  </si>
  <si>
    <t>EMS01J20000181HWA0008H
EMS01J20000181HWA0013H
EMS01J20000181HWA0021H
EMS01J20000181HWA0031H
EMS01J20000181HWA0053H
EMS01J20000194HWA0002H
EMS02R20001029HWA0002H
EMS02R20001035HWA0014H
EMS02R20001037HWA0008H</t>
  </si>
  <si>
    <t>HWC2021092870755
HWC2021092870756
HWC2021092870757
HWC2021092870759
HWC2021092870758
HWC2021092870765
HWC2021092870766
HWC2021092870760
HWC2021092870761
HWC2021092870762
HWC2021092870763
HWC2021092870764
HWC2021092870714
HWC2021092870769
HWC2021092870770
HWC2021092870713
HWC2021092870768
HWC2021092870767
HWC2021092870712
HWC2021092870771</t>
  </si>
  <si>
    <t>EMS01J20000181HWA0020H
EMS01J20000181HWA0024H
EMS01J20000181HWA0034H
EMS01J20000181HWA0035H
EMS01J20000181HWA0036H
EMS01J20000181HWA0064H
EMS01J20000181HWA0065H
EMS01J20000193HWA0001H
EMS01J20000193HWA0002H
EMS01J20000193HWA0003H
EMS01J20000193HWA0004H
EMS01J20000193HWA0005H
EMS02R20001035HWA0002H
EMS02R20001035HWA0003H
EMS02R20001035HWA0005H
EMS02R20001035HWA0006H
EMS02R20001035HWA0008H
EMS02R20001037HWA0011H
EMS02R20001037HWA0013H
EMS02R20001037HWA0016H</t>
  </si>
  <si>
    <t>HWC2021092870520
HWC2021092870532
HWC2021092870531
HWC2021092870536
HWC2021092870519
HWC2021092870538
HWC2021092870537
HWC2021092870539
HWC2021092870546
HWC2021092870515
HWC2021092870534
HWC2021092870547
HWC2021092870533
HWC2021092870535</t>
  </si>
  <si>
    <t>EMS01J20000194HWA0001H
EMS01J20000181HWA0012H
EMS01J20000181HWA0007H
EMS01J20000181HWA0058H
EMS01J20000181HWA0057H
EMS01J20000181HWA0060H
EMS01J20000181HWA0059H
EMS01J20000181HWA0056H
EMS01J20000181HWA0054H
EMS01J20000181HWA0055H
EMS01J20000181HWA0022H
EMS01J20000181HWA0067H
EMS01J20000181HWA0009H
EMS01J20000181HWA0042H</t>
  </si>
  <si>
    <t xml:space="preserve">
4800016157
4800016191
4800016235
4800016237
</t>
  </si>
  <si>
    <t>4800016157
4800016214</t>
  </si>
  <si>
    <t>4800016157
4800016214
4800016218
4800016235
4800016237</t>
  </si>
  <si>
    <t>EGLV149112796167</t>
  </si>
  <si>
    <t>*Shenker*
17/08 - Recebidas invoices
18/08 - Recebido BL draft encaminhado para Original
EISU8581426 / 40H / EMCGMA9061 / 37 CASES
26/08 - Tender: HTM2021081606080
Material coletado em 2021-08-17 23:28:27 - ETA SSZ 2021-10-03
15/09 - Data Entrada: 14/09/2021 14:23:23
Status SIGVIG: Liberado
Com divergência de peso um pouco acima dos 10%
27/09 - DI Registrada - Canal verde - entrega programada para 28/09
29/09 - Material entregue.</t>
  </si>
  <si>
    <t>*Shenker*
17/08 - Tender:HTM2021081705354
Recebidas invoices
19/08 - Recebido BL draft encaminhado para Original
EISU8575254 / 40H / EMCGMD9801 / 49 CASES
26/08 - Material coletado em 2021-08-18 22:02:41 - ETA SSZ 2021-10-04
15/09 - Data Entrada: 14/09/2021 05:31:10
Status SIGVIG: Liberado
Sem divergência de peso
27/09 - DI Registrada - Canal verde - entrega programada para 28/09
28/09 - Material entregue.</t>
  </si>
  <si>
    <t>*Shenker*
18/08 - Recebidas invoices
19/08 - Recebido BL draft encaminhado para Original
EISU9252533 / 40H / EMCHVK9831 / 50 CASES
TGBU6004333 / 40H / EMCHVG8101 / 35 CASES
26/08 - Tender: HTM2021081801623
Material coletado em 2021-08-19 06:31:11 - ETA SSZ 2021-10-05
15/09 - Data Entrada: 14/09/2021 05:54:49
Status SIGVIG: Liberado
Sem divergência de peso
27/09 - DI Registrada - Canal verde - entrega programada conforme abaixo
dia 28 - container TGBU6004333
dia 29 - container EISU9252533
29/09 - Material entregue.</t>
  </si>
  <si>
    <t>EGLV149112913643</t>
  </si>
  <si>
    <t>HWC2021093073178
HWC2021093073177
HWC2021093073159
HWC2021093073157
HWC2021093073158</t>
  </si>
  <si>
    <t>EMS02R20001035HWA0007H
EMS02R20001035HWA0010H
EMS02R20001036HWA0005H
EMS02R20001037HWA0003H
EMS02R20001037HWA0004H</t>
  </si>
  <si>
    <t>4800016235
4800016236
4800016237</t>
  </si>
  <si>
    <t>HWC2021093073186
HWC2021093073187
HWC2021093073184
HWC2021093073185
HWC2021093073183
HWC2021093073180
HWC2021093073181
HWC2021093073182</t>
  </si>
  <si>
    <t>EMS02R20001036HWA0007H
EMS02R20001036HWA0008H
EMS02R20001035HWA0012H
EMS02R20001035HWA0001H
EMS01J20000181HWA0029H
EMS01J20000181HWA0030H
EMS01J20000181HWA0032H
EMS01J20000181HWA0033H</t>
  </si>
  <si>
    <t>4800016157
4800016235
4800016236</t>
  </si>
  <si>
    <t>STORAGE
BBU L10
RRU L10</t>
  </si>
  <si>
    <t>21/1895358-4</t>
  </si>
  <si>
    <t>SEAMAX MYSTIC 0AAA7W1MA</t>
  </si>
  <si>
    <t>EGLV149112984931</t>
  </si>
  <si>
    <t>EGLV149112985008</t>
  </si>
  <si>
    <t>21/1914698-4</t>
  </si>
  <si>
    <t>21/1915045-0</t>
  </si>
  <si>
    <t xml:space="preserve">*Shenker*
19/08 - Recebidas invoices
26/08 - Tender: HTM2021081901781
Material coletado em 2021-08-20 10:16:18 - ETA SSZ 2021-10-06
MSKU1969400 ML-CN0129962 40 DRY 9'6 48 Case 5802.280 KGS 54.0500 CBM
24/09 - Data Descarga: 24/09/2021 08:02:44
Status SIGVIG: Liberado
Sem divergência de peso
06/10 - DI registrada. Canal verde. Carga será entregue dia 08/10
</t>
  </si>
  <si>
    <t xml:space="preserve">*Shenker*
30/08 - Recebidas invoices
02/09 - Recebido BL draft encaminhado para Original
EITU1090194 / 40H / EMCHYJ9921 / 59 CASES
08/09 - Tender: HTM2021082802084
Material coletado em 2021-09-01 23:17:27 - ETA SSZ 2021-10-18
Data Entrada: 03/10/2021 21:14:33
Status SIGVIG: Liberado
Com um pouco divergência de peso (11%).
06/10 - DI registrada. Canal verde. Carga será entregue dia 08/10.
</t>
  </si>
  <si>
    <t>*Shenker*
03/09 - Recebidas invoices
06/09 - Tender: HTM2021090303950
Mateial coletado em 2021-09-04 13:42:50 - ETA SSZ 2021-10-21
Recebido BL draft encaminhado para Original
EGHU9863237 / 40H / EMCHUS4651 / 54 CASES
04/10 - Data Entrada: 03/10/2021 18:40:09
Status SIGVIG: Liberado
Sem divergência de peso
04/10 - DI registrada - Canal verde - entrega programada para 06/10
06/10 - Material entregue.</t>
  </si>
  <si>
    <t>21/1916203-3</t>
  </si>
  <si>
    <t xml:space="preserve">*Shenker*
31/08 - Recebidas invoices
02/09 - Recebido BL draft encaminhado para Original
TGBU6585285 / 40H / EMCHYJ8671 / 43 CASES
TRHU5841299 / 40H / EMCHYJ9451 / 41 CASES
08/09 - Tender: HTM2021083007046
Material coletado em 2021-09-01 22:39:11 - ETA SSZ 2021-10-18
04/10 - DataEntrada: 03/10/2021 18:51:57
Status SIGVIG: Liberado
Sem divergência de peso
06/10 - DI registrada. Canal verde. Carga será entregue dia 08/10.
</t>
  </si>
  <si>
    <t>21/1916769-8</t>
  </si>
  <si>
    <t>21/1916383-8</t>
  </si>
  <si>
    <t>*Shenker*
20/08 - Recebidas invoices
24/08 - Recebido BL draft encaminhado para Original
MSKU1980965 ML-CN0129516 40 DRY 9'6 44 Case 5410.500 KGS 49.1000 CBM
26/08 - Tender: HTM2021082000724
Material coletado em 2021-08-21 08:50:09 - ETA SSZ 2021-10-07
24/09 - Data Descarga: 24/09/2021 08:25:52
Status SIGVIG: Liberado
Sem divergência de peso
06/10 - DI Registrada - Canal verde - entrega programada para 07/10.
07/10 - Material entregue.</t>
  </si>
  <si>
    <t>*Shenker*
23/08 - Recebidas invoices
26/08 - Tender: HTM2021082101975
Material coletado em 2021-08-22 15:35:51 - ETA SSZ 2021-10-08
Recebido BL draft encaminhado para Original
MSKU0491300 ML-CN0128356 40 DRY 9'6 40 Case 6669.000 KGS 45.8600 CBM
24/09 - Data Descarga: 24/09/2021 08:42:23
Status SIGVIG: Liberado
Sem divergência de peso
06/10 - DI Registrada - Canal verde - entrega programada para 07/10.
07/10 - Material entregue.</t>
  </si>
  <si>
    <t>HWC2021100574333
HWC2021100574334
HWC2021100574332
HWC2021100574331
HWC2021100574330</t>
  </si>
  <si>
    <t>EMS02R20001036HWA0006H
EMS02R20001035HWA0027H
EMS02R20001037HWA0007H
EMS02R20001037HWA0006H
EMS01J20000189HWA0001K</t>
  </si>
  <si>
    <t>Hong Kong</t>
  </si>
  <si>
    <t>4800016177
4800016235
4800016236
4800016237</t>
  </si>
  <si>
    <t>EVER LAUREL 1452 - 048W</t>
  </si>
  <si>
    <t>EGLV149112306984</t>
  </si>
  <si>
    <t>HWC2021100776603
HWC2021100675922
HWC2021100776609
HWC2021100776610
HWC2021100776608
HWC2021100776607
HWC2021100776605
HWC2021100776606
HWC2021100776604
HWC2021100776611</t>
  </si>
  <si>
    <t>EMS01J20000181HWA0048H
EMS02R20001029HWA0001H
EMS02R20001035HWA0018H
EMS02R20001035HWA0022H
EMS02R20001035HWA0024H
EMS02R20001036HWA0002H
EMS02R20001037HWA0002H
EMS02R20001037HWA0005H
EMS02R20001037HWA0012H
EMS02R20001043HWA0003H</t>
  </si>
  <si>
    <t>4800016157
4800016218
4800016235
4800016236
4800016237
4800016263</t>
  </si>
  <si>
    <t>HWC2021100473743
HWC2021100473747
HWC2021100473741
HWC2021100473746
HWC2021100473745
HWC2021100473742
HWC2021100473744</t>
  </si>
  <si>
    <t>EMS02R20001036HWA0003H
EMS02R20001035HWA0004H
EMS02R20001037HWA0010H
EMS02R20001035HWA0009H
EMS02R20001035HWA0011H
EMS02R20001037HWA0009H
EMS02R20001036HWA0001H</t>
  </si>
  <si>
    <t>HWC2021100776573
HWC2021100675923
HWC2021100675914
HWC2021100675915
HWC2021100675916
HWC2021100675917
HWC2021100675857
HWC2021100675855
HWC2021100675918
HWC2021100675856
HWC2021100675854
HWC2021100675921
HWC2021100675919
HWC2021100675920</t>
  </si>
  <si>
    <t>EMS02R20001035HWA0017H
EMS02R20001036HWA0004H
EMS01J20000181HWA0010H
EMS01J20000181HWA0019H
EMS01J20000181HWA0037H
EMS01J20000181HWA0038H
EMS01J20000181HWA0043H
EMS01J20000181HWA0044H
EMS01J20000181HWA0045H
EMS01J20000181HWA0046H
EMS01J20000181HWA0047H
EMS01J20000187HWA0009H
EMS01J20000192HWA0002H
EMS01J20000192HWA0003H</t>
  </si>
  <si>
    <t>HWC2021100878002
HWC2021100878003
HWC2021100878004
HWC2021100877980
HWC2021100878001
HWC2021100877975
HWC2021100877979
HWC2021100877976
HWC2021100877978
HWC2021100877977</t>
  </si>
  <si>
    <t>EMS02R20001035HWA0015H
EMS02R20001035HWA0020H
EMS02R20001035HWA0023H
EMS02R20001037HWA0001H
EMS02R20001037HWA0014H
EMS01J20000181HWA0025H
EMS01J20000181HWA0049H
EMS01J20000181HWA0050H
EMS01J20000181HWA0061H
EMS01J20000181HWA0062H</t>
  </si>
  <si>
    <t>*Shenker*
08/09 - Recebidas invoices
10/09 - Recebido BL draft encaminhado para Original
GAOU6685649 / 40H / EMCGMK / 48 CASES
13/09 - Tender: HTM2021090606703
Material coletado em 2021-09-09 14:25:42 - ETA SSZ 2021-09-26
11/10 - Presença de carga ok - SIGVIG liberado
13/10 - DI registrada - canal verde
14/10 - mercadoria entregue</t>
  </si>
  <si>
    <t>4800016263
4800016235</t>
  </si>
  <si>
    <t>HWC2021100978531
HWC2021100978628
HWC2021100978629
HWC2021100978530
HWC2021100978631
HWC2021100978630</t>
  </si>
  <si>
    <t>EMS02R20001043HWA0005H
EMS02R20001035HWA0013H
EMS02R20001035HWA0019H
EMS02R20001035HWA0021H
EMS02R20001043HWA0001H
EMS02R20001043HWA0002H</t>
  </si>
  <si>
    <t>*Shenker*
05/09 - Recebidas invoices
09/09 - Recebido BL draft encaminhado para Original
GAOU6681746 / 40H / EMCGMF8951 / 42 CASES
13/09 - Tender: HTM2021090500568
Material coletado em 2021-09-09 03:56:26 - ETA SSZ 2021-09-26
11/10 - Presença de carga ok - SIGVIG liberado DI registrada - canal verde
14/10 - mercadoria entregue</t>
  </si>
  <si>
    <t>*Shenker*
08/09 - Recebidas invoices
13/09 - Recebido BL draft encaminhado para Original
GAOU6682510 / 40H / EMCGMK3771 / 39 CASES
15/09 - Tender: HTM2021090805075
Mateial coletado em 2021-09-10 17:00:00 ETA SSZ 2021-10-27
11/10 - Presença de carga ok - SIGVIG liberado
14/10 - mercadoria entregue</t>
  </si>
  <si>
    <t>*Shenker*
09/09 - Recebidas invoices
13/09 - Tender: HTM2021090806588
Mateial coletado em 2021-09-10 17:00:00 - ETA SSZ 2021-10-27
Recebido BL draft encaminhado para Original
GAOU6682315 / 40H / EMCGMK3051 / 45 CASES
11/10 - Presença de carga ok - SIGVIG liberado
14/10 - mercadoria entregue</t>
  </si>
  <si>
    <t>*Shenker*
09/09 - Recebidas invoices
13/09 - Tender: HTM2021090904100
Mateial coletado em 2021-09-10 15:13:59 - ETA SSZ 2021-10-27
Recebido BL draft encaminhado para Original
GAOU6670926 / 40H / EMCGMK3621 / 44 CASES
11/10 - Presença de carga ok - SIGVIG liberado - DI registrada - canal verde
14/10 - mercadoria entregue</t>
  </si>
  <si>
    <t>*Shenker*
03/09 - Recebidas invoices
06/09 - Tender: HTM2021090205613
Mateial coletado em 2021-09-04 03:43:35 - ETA SSZ 2021-10-21
Recebido BL draft encaminhado para Original
TEMU6447373 / 40H / EMCHUS1641 / 50 CASES
04/10 - DataEntrada: 03/10/2021 18:22:32
Status SIGVIG: Liberado
Sem divergência de peso
15/10 - DI registrada - canal verde - entrega programada dia 18
18/10 - Mercadoria entregue</t>
  </si>
  <si>
    <t>*Shenker*
08/09 - Recebidas invoices
Tender: HTM2021090401588
Mateial coletado em 2021-09-05 17:10:11 - ETA SSZ 2021-10-22
09/09 - Recebido BL draft encaminhado para Original
EGHU9691781 / 40H / EMCHUS4191 / 38 CASES
04/10 - DataEntrada: 03/10/2021 20:52:52
Status SIGVIG: Liberado
Sem divergência de peso
15/10 - DI registrada - canal verde - entrega programada dia 18
18/10 - mercadoria entregue</t>
  </si>
  <si>
    <t>*Shenker*
10/09 - Recebidas invoices
13/09 - Tender: HTM2021091001489
Material coleta em 2021-09-10 23:37:21 - ETA SSZ 2021-10-27
Recebido BL draft encaminhado para Original
GAOU6685398 / 40H / EMCGMK3071 / 38 CASES
11/10 - Presença de carga ok - SIGVIG liberado
18/10 - DI registrada - canal verde - entrega programada para dia 20
20/10 - mercadoria entregue</t>
  </si>
  <si>
    <t>*Shenker*
14/09 - Recebidas invoices
16/09 - Recebido BL draft encaminhado para Original
GAOU6674650 / 40H / EMCGMA6341 / 45 CASES
23/09 - Tender: HTM2021091400858
Material coletado em 2021-09-15 21:22:30 - ETA SSZ 2021-11-01
17/10 - Navio atracado hj
18/10 - Presença de carga ok - SIGVIG liberado - DI registrada - canal verde
20/10 - mercadoria entregue</t>
  </si>
  <si>
    <t>*Shenker*
15/09 - Recebidas invoices
16/09 - Recebido BL draft encaminhado para Original
GAOU6675131 / 40H / EMCGMA6391 / 48 CASES
23/09 - Tender: HTM2021091503884
Material coletado em 2021-09-16 03:40:11 - ETA SSZ 2021-11-02
17/10 - Navio atracado hj
18/10 - Presença de carga ok - SIGVIG liberado - DI registrada - canal verde
20/10 - mercadoria entregue</t>
  </si>
  <si>
    <t>*Shenker*
14/09 - Recebidas invoices
16/09 - Recebido BL draft encaminhado para Original
GAOU6678911 / 40H / EMCGMA6961 / 46 CASES
23/09 - Tender: HTM2021091404175
Material coletado em 2021-09-15 14:52:47 - ETA SSZ 2021-11-01
17/10 - Navio atracado hj
18/10 - Presença de carga ok - SIGVIG liberado - DI registrada - canal verde
22/10 - mercadoria entregue</t>
  </si>
  <si>
    <t>SEASPAN HARRIER</t>
  </si>
  <si>
    <t>HWC2021101788830
HWC2021101788860
HWC2021101788861
HWC2021101788828
HWC2021101788862
HWC2021101788829
HWC2021101788865
HWC2021101788864
HWC2021101788863
HWC2021101788831</t>
  </si>
  <si>
    <t>EMS02R20001065HWA0001H
EMS02R20001035HWA0026H
EMS02R20001036HWA0009H
EMS02R20001043HWA0006H
EMS02R20001043HWA0007H
EMS02R20001062HWA0004H
EMS02R20001062HWA0006H
EMS02R20001063HWA0002H
EMS02R20001064HWA0003H
EMS02R20001064HWA0004H</t>
  </si>
  <si>
    <t>4800016317
4800016235
4800016236
4800016263
4800016314
4800016315
4800016316</t>
  </si>
  <si>
    <t>149112306984
(149113231201)</t>
  </si>
  <si>
    <t>EMS02R20001043HWA0004H
EMS02R20001037HWA0017H
EMS02R20001067HWA0001H</t>
  </si>
  <si>
    <t>HWC2021102093805
HWC2021102093806
HWC2021102093807</t>
  </si>
  <si>
    <t>4800016322
4800016263
4800016237</t>
  </si>
  <si>
    <t>4800016346
4800016274
4800016235
4800016290
4800016316
4800016322</t>
  </si>
  <si>
    <t>HWC2021102295806
HWC2021102295805
HWC2021102295808
HWC2021102295809
HWC2021102397537
HWC2021102295807
HWC2021102295802
HWC2021102397536</t>
  </si>
  <si>
    <t>EMS02R20001064HWA0001H
EMS02R20001064HWA0002H
EMS02R20001067HWA0003H
EMS02R20001067HWA0005H
EMS02R20001075HWA0005H
EMS02R20001035HWA0030H
EMS02R20001051HWA0002H
EMS01J20000198HWA0001K</t>
  </si>
  <si>
    <t>4800016347
4800016235
4800016290
4800016322
4800016346</t>
  </si>
  <si>
    <t>HWC2021102702806
HWC2021102702807
HWC2021102702805
HWC2021102702808
HWC2021102702809
HWC2021102702804
HWC2021102702803</t>
  </si>
  <si>
    <t>EMS02R20001067HWA0004H
EMS02R20001067HWA0006H
EMS02R20001067HWA0007H
EMS02R20001075HWA0004H
EMS02R20001076HWA0003H
EMS02R20001051HWA0001H
EMS02R20001035HWA0028H</t>
  </si>
  <si>
    <t>HWC2021110208800
HWC2021110208821
HWC2021110208822
HWC2021110208823
HWC2021110208824
HWC2021110208825
HWC2021110208826
HWC2021110208827</t>
  </si>
  <si>
    <t>EMS01J20000197HWA0003H
EMS02R20001077HWA0010H
EMS02R20001077HWA0032H
EMS02R20001077HWA0011H
EMS02R20001075HWA0013H
EMS02R20001075HWA0012H
EMS02R20001077HWA0012H
EMS02R20001077HWA0037H</t>
  </si>
  <si>
    <t>21/2129480-4</t>
  </si>
  <si>
    <t>21/2129834-6</t>
  </si>
  <si>
    <t>21/2117002-1</t>
  </si>
  <si>
    <t>21/2147489-6</t>
  </si>
  <si>
    <t>4800016270
4800016346
4800016348</t>
  </si>
  <si>
    <t>XIN FEI ZHOU 080W</t>
  </si>
  <si>
    <t>EGLV149114223849</t>
  </si>
  <si>
    <t xml:space="preserve">HWC2021102295778 
HWC2021102295803 
HWC2021102295804 
HWC2021102600765 
HWC2021102600774 
HWC2021102600767 
HWC2021102600793 
HWC2021102600772 
HWC2021102600770 
HWC2021102600768 
HWC2021102600777 
HWC2021102600776 </t>
  </si>
  <si>
    <t xml:space="preserve">EMS02R20001035HWA0016H 
EMS02R20001052HWA0003H 
EMS02R20001052HWA0004H 
EMS02R20001037HWA0015H 
EMS01J20000197HWA0002K 
EMS01J20000197HWA0001H 
EMS02R20001062HWA0007H 
EMS02R20001067HWA0008H 
EMS02R20001063HWA0003H 
EMS02R20001063HWA0001H 
EMS02R20001052HWA0006H 
EMS02R20001077HWA0020H </t>
  </si>
  <si>
    <t>4800016270
4800016235
4800016237
4800016291
4800016314
4800016315
4800016322
4800016348</t>
  </si>
  <si>
    <t>EGLV149113929586</t>
  </si>
  <si>
    <t>HWC2021110107258
HWC2021110107259
HWC2021110107260
HWC2021110107321</t>
  </si>
  <si>
    <t>EMS02R20001065HWA0002H
EMS02R20001077HWA0004H
EMS02R20001077HWA0007H
EMS02R20001077HWA0016H</t>
  </si>
  <si>
    <t>EGLV149114220041</t>
  </si>
  <si>
    <t>272J</t>
  </si>
  <si>
    <t>4800016317
4800016348</t>
  </si>
  <si>
    <t>HWC2021103005701
HWC2021103005702
HWC2021103005703
HWC2021103005680</t>
  </si>
  <si>
    <t>EMS02R20001075HWA0008H
EMS02R20001075HWA0014H
EMS02R20001075HWA0022H
EMS02R20001052HWA0002H</t>
  </si>
  <si>
    <t>4800016291
4800016346</t>
  </si>
  <si>
    <t>EGLV149113439392</t>
  </si>
  <si>
    <t>HWC2021103006264
HWC2021103006263
HWC2021103006253
HWC2021103006252
HWC2021103006254</t>
  </si>
  <si>
    <t>EMS02R20001077HWA0003H
EMS02R20001075HWA0002H
EMS02R20001077HWA0001H
EMS02R20001075HWA0024H
EMS02R20001077HWA0005H</t>
  </si>
  <si>
    <t>4800016346
4800016348</t>
  </si>
  <si>
    <t>EGLV149114149665</t>
  </si>
  <si>
    <t>HWC2021102905352
HWC2021102905364
HWC2021102905351
HWC2021102905350</t>
  </si>
  <si>
    <t>EMS02R20001075HWA0025H
EMS02R20001077HWA0026H
EMS02R20001075HWA0021H
EMS02R20001062HWA0001H</t>
  </si>
  <si>
    <t>4800016314
4800016346
4800016348</t>
  </si>
  <si>
    <t>EGLV149114247721</t>
  </si>
  <si>
    <t>HWC2021110310358
HWC2021110310359
HWC2021110310360
HWC2021110310361
HWC2021110310362
HWC2021110310363
HWC2021110310364</t>
  </si>
  <si>
    <t>EMS02R20001075HWA0001H
EMS02R20001075HWA0007H
EMS02R20001075HWA0015H
EMS02R20001075HWA0017H
EMS02R20001077HWA0034H
EMS02R20001077HWA0033H
EMS02R20001075HWA0028H</t>
  </si>
  <si>
    <t>EGLV149114318793</t>
  </si>
  <si>
    <t>HWC2021110209246
HWC2021110209251
HWC2021110209247
HWC2021110209248
HWC2021110209249
HWC2021110209250</t>
  </si>
  <si>
    <t>EMS02R20001075HWA0003H
EMS02R20001075HWA0027H
EMS02R20001075HWA0009H
EMS02R20001075HWA0010H
EMS02R20001075HWA0023H
EMS02R20001075HWA0020H</t>
  </si>
  <si>
    <t>EGLV149114272041</t>
  </si>
  <si>
    <t>26/09 - Recebidas invoices
28/09 - Recebido BL draft encaminhado para Original
FCIU4400833 / 20H / EMCHXK9531 / 38 CASES
30/09 - Tender: HTM2021092606309
Material coletado em 2021-09-27 20:27:10 - ETA SSZ 2021-11-13
26/10 - recebido copia do BL final
28/10 - Previsao de chegada no site do terminal dia 30 (status huawei dia 16)
03/11 - Data Entrada: 01/11/2021 11:16:00
Divergência de peso informada à Huawei 34.8%
Status ZIGVIG: Liberado.
08/11 - DI registrada - Canal verde
10/11 - Material entregue.</t>
  </si>
  <si>
    <t>28/09 - Recebidas invoices
30/09 - Tender: HTM2021092804454
Material coletado em 2021-09-30 03:11:42 - ETA SSZ 2021-11-16
01/10 - Recebido BL draft encaminhado para Original
EGHU3448630 / 20' / EMCHWC4301 / 17 CASES
GAOU6679878 / 40H / EMCGMC4121 / 40 CASES
28/10 - Previsao de chegada no site do terminal dia 30 (status huawei dia 16)
03/11 - Data Entrada: 01/11/2021 11:18:15
Container EGHU344.863-0 está com divergência de peso de 49,33%.
Para o container GAOU667.987-8, solicitamos posicionamento para Inspeção da Madeira, para o dia 04/11
Status ZIGVIG: Retido
08/11 - DI registrada - Canal verde
10/11 - Material entregue.</t>
  </si>
  <si>
    <t>23/09 - Recebidas invoices
27/09 - Recebido BL draft encaminhado para Original
EITU9238210 / 40H / EMCHVT0231 / 55 CASES
Material coletado em 2021-09-24 21:21:57 - ETA SSZ 2021-11-10
26/10 - recedbido copia do BL final
28/10 - Previsao de chegada no site do terminal dia 30 (status huawei dia 16)
03/11 - Data Entrada: 31/10/2021 18:23:58
Sem divergência de peso
Status ZIGVIG: Liberado
05/11 - DI Registrada - Canal verde - entrega programada par a 08/10, porém aguardando posicionamento devido à greve.
08/11 - Material entregue.</t>
  </si>
  <si>
    <t>4800016157
4800016235
4800016237</t>
  </si>
  <si>
    <t>HWC2021110512578
HWC2021110512579
HWC2021110512580
HWC2021110512581
HWC2021110512582
HWC2021110512583</t>
  </si>
  <si>
    <t>EMS02R20001052HWA0001H
EMS02R20001052HWA0007H
EMS02R20001077HWA0018H
EMS02R20001077HWA0019H
EMS02R20001077HWA0023H
EMS02R20001091HWA0002H</t>
  </si>
  <si>
    <t>4800016291
4800016348
4800016387</t>
  </si>
  <si>
    <t>EGLV149114344867</t>
  </si>
  <si>
    <t>HWC2021110411845
HWC2021110411849
HWC2021110411850
HWC2021110411842
HWC2021110411848
HWC2021110411846
HWC2021110411844
HWC2021110411843
HWC2021110411847</t>
  </si>
  <si>
    <t>EMS02R20001077HWA0021H
EMS02R20001077HWA0013H
EMS02R20001077HWA0015H
EMS02R20001077HWA0014H
EMS02R20001077HWA0008H
EMS02R20001077HWA0017H
EMS02R20001077HWA0009H
EMS02R20001077HWA0006H
EMS02R20001077HWA0024H</t>
  </si>
  <si>
    <t>EGLV149114362148</t>
  </si>
  <si>
    <t>HWC2021102904914
HWC2021102904915
HWC2021102904916
HWC2021102904917
HWC2021102904918
HWC2021102904919
HWC2021102904920
HWC2021102904921</t>
  </si>
  <si>
    <t>EMS02R20001065HWA0003H
EMS02R20001062HWA0005H
EMS02R20001067HWA0002H
EMS02R20001067HWA0009H
EMS02R20001075HWA0006H
EMS02R20001075HWA0019H
EMS02R20001035HWA0031H
EMS02R20001091HWA0003H</t>
  </si>
  <si>
    <t>4800016235
4800016314
4800016317
4800016322
4800016346
4800016387</t>
  </si>
  <si>
    <t>EGLV149114160987</t>
  </si>
  <si>
    <t>HWC2021110614398
HWC2021110614397
HWC2021110614396
HWC2021110614395
HWC2021110614394
HWC2021110614393
HWC2021110614392
HWC2021110614391</t>
  </si>
  <si>
    <t>EMS02R20001075HWA0018H
EMS02R20001076HWA0002H
EMS02R20001076HWA0005H
EMS02R20001077HWA0022H
EMS02R20001077HWA0025H
EMS02R20001077HWA0029H
EMS02R20001077HWA0030H
EMS02R20001077HWA0031H</t>
  </si>
  <si>
    <t>4800016346
4800016347
4800016348</t>
  </si>
  <si>
    <t>EVER LUCENT 1458 - 048W</t>
  </si>
  <si>
    <t>EGLV149113240979</t>
  </si>
  <si>
    <t>HWC2021102904851
HWC2021102904847
HWC2021102904848
HWC2021102904849
HWC2021102904852
HWC2021102904850</t>
  </si>
  <si>
    <t>EMS02R20001075HWA0026H
EMS02R20001062HWA0003H
EMS02R20001062HWA0002H
EMS02R20001077HWA0002H
EMS02R20001077HWA0036H
EMS02R20001075HWA0011H</t>
  </si>
  <si>
    <t>EGLV149114149126</t>
  </si>
  <si>
    <t>HWC2021111119869
HWC2021111119868
HWC2021111119871
HWC2021111119870
HWC2021111119873
HWC2021111119872
HWC2021111119874</t>
  </si>
  <si>
    <t>EMS02R20001091HWA0001H
EMS02R20001101HWA0001H
EMS02R20001076HWA0009H
EMS02R20001077HWA0027H
EMS02R20001076HWA0001H
EMS02R20001076HWA0008H
EMS02R20001075HWA0016H</t>
  </si>
  <si>
    <t>4800016346
4800016347
4800016348
4800016387
4800016415</t>
  </si>
  <si>
    <t>COSCO SHIPPING THAMES 020w</t>
  </si>
  <si>
    <t>EGLV149114039380</t>
  </si>
  <si>
    <t>EGLV149114600171</t>
  </si>
  <si>
    <t>21/2171376-9</t>
  </si>
  <si>
    <t>21/2184449-9</t>
  </si>
  <si>
    <t>EVER LOTUS 1454-046W</t>
  </si>
  <si>
    <t>*Shenker*
13/09 - Recebidas invoices
15/09 - Recebido BL draft encaminhado para Original
CAAU5956404 ML-CN0104088 40 DRY 9'6 48 Case 4182.000 KGS 48.7300 CBM
FSCU8290517 ML-CN0104019 40 DRY 9'6 48 Case 6547.000 KGS 54.9600 CBM
MRSU4042438 ML-CN0104006 40 DRY 9'6 26 Case 1591.500 KGS 25.4300 CBM
MAERSK TUKANG 132W
23/09 - Tender: HTM2021091101838
Material coletado em 2021-09-14 22:00:00 - ETA SSZ 2021-10-31
19/10 - Transbordo seaspan Harrier - ETA Santos 04/11
05/11 - Data Descarga: 04/11/2021 16:01:39
Sem divergência de peso
SIGVIG Retido. Inspeção da Madeira em 08/11.
08/11 - Inspeção da madeira reprogramada para 10/11.
10/11 - DI Registrada - Canal verde - conteiner FSCU8290517 entrega em 11/11 e os outros 12/11.
Unidades FSCU8290517 e MRSU4042438 já estão posicionadas para inspeção.
Unidade CAAU5956404 está em processo de posicionamento.
11/11 - Material entregue.</t>
  </si>
  <si>
    <t>*Shenker*
05/10 - Recebidas invoices
08/10 - Recebido BL draft encaminhado para Original
DRYU9550973 / 40H / EMCRKE1750 / 45 CASES
13/10 - Updated ETA SSZ 04/11 - email diz 22/11
29/10 - Atualizada data de acordo com site do terminal - atracação dia 10
11/11 - Data Entrada: 10/11/2021 08:59:00
Divergência de peso de 10.52%
Status ZIGVIG: Liberado
12/11 - DI Registrada - Canal verde - entrega programada para 17/11.
17/11 - Material entregue.</t>
  </si>
  <si>
    <t>*Shenker*
07/10 - Recebidas invoices
13/10 - pick up dia 10/10 - e ETA SSZ dia 26/11
20/10 - Recebid draft BL
21/10 - recebido bl final
29/10 - Atualizada data de acordo com site do terminal - atracação dia 10
11/11 - Data Entrada: 10/11/2021 12:29:42
Divergência de peso de -1.46
Status ZIGVIG: Liberado
16/11 - DI registrada - Canal verde - entrega programada para 17/11.
17/11 - Material entregue.</t>
  </si>
  <si>
    <t>*Shenker*
13/10 - Recebidas invoices
11/10 - pick up  eta ssz 27/11
20/10 - recebido BL final
Container TEMU8933097
29/10 - Atualizada data de acordo com site do terminal - atracação dia 10
11/11 - Data Entrada: 10/11/2021 09:18:50
Divergência de peso de 12.73%
Status ZIGVIG: Liberado
16/11 - DI registrada - Canal verde - entrega programada para 17/11.
17/11 - Material entregue.</t>
  </si>
  <si>
    <t>EGLV149112948099</t>
  </si>
  <si>
    <t>EGLV149113800681</t>
  </si>
  <si>
    <t>EGLV149110827502</t>
  </si>
  <si>
    <t>EGLV149113064071</t>
  </si>
  <si>
    <t>EGLV149112999335</t>
  </si>
  <si>
    <t>EGLV149113063759</t>
  </si>
  <si>
    <t>EGLV149111512122</t>
  </si>
  <si>
    <t>21/2232899-0</t>
  </si>
  <si>
    <t>21/2233008-1</t>
  </si>
  <si>
    <t>21/2233385-4</t>
  </si>
  <si>
    <t>21/2235095-3</t>
  </si>
  <si>
    <t>21/2235363-4</t>
  </si>
  <si>
    <t>21/2236331-1</t>
  </si>
  <si>
    <t>4800016157
4800016165
4800016182
4800016235
4800016236</t>
  </si>
  <si>
    <t>21/2239308-3</t>
  </si>
  <si>
    <t>HWC2021111929335
HWC2021111929336
HWC2021111929353
HWC2021111929337</t>
  </si>
  <si>
    <t>EMS02R20001101HWA0003H
EMS02R20001101HWA0002H
EMS02R20001076HWA0011H
EMS02R20001076HWA0006H</t>
  </si>
  <si>
    <t>EGLV149114949262</t>
  </si>
  <si>
    <t>YM TRUST 001W</t>
  </si>
  <si>
    <t>4800016347
4800016415</t>
  </si>
  <si>
    <t>Gross weight</t>
  </si>
  <si>
    <t>HWC2021111929318
HWC2021111929319
HWC2021111929289
HWC2021111929317</t>
  </si>
  <si>
    <t>EMS02R20001103HWA0002H
EMS02R20001103HWA0001H
EMS02R20001104HWA0002H
EMS02R20001104HWA0003H</t>
  </si>
  <si>
    <t>4800016417
4800016416</t>
  </si>
  <si>
    <t>EGLV149113693477</t>
  </si>
  <si>
    <t>*Shenker*
30/09 - Recebidas invoices
06/10 - Recebido BL draft encaminhado para Original
EMCU8382519 / 40H / EMCGMK7521 / 34 CASES
06/10 - PICKUP 
13/10 - ETA SSZ 22/11
22/11 - Data Entrada: 21/11/2021 06:35:19
Divergência de peso de -4.6%
Status ZIGVIG: Liberado
DI registrada - Canal verde - entrega programada para 24/11.
24/11 - Material entregue.</t>
  </si>
  <si>
    <t>*Shenker*
18/10 - Recebidas invoices
19/10 - Ricebird draft BL
22/10 - ETA SSZ 4/12
26/10 - recebido bl final
29/10 - Segundo site do terminal atracação dia 22/11
22/11 - Data Entrada: 22/11/2021 06:10:29
Divergência de peso de -4.88%
Status ZIGVIG: Liberado
DI registrada - Canal verde - entrega programada para 24/11.
24/11 - Material entregue.</t>
  </si>
  <si>
    <t>*Shenker*
07/10 - Recebidas invoices
13/10 - pick up dia 8/10 - e ETA SSZ dia 24/11
20/10 - recebido BL final
22/11 - Data Entrada: 21/11/2021 06:42:47
Divergência de peso de -12.02%
Status ZIGVIG: Retido
Inspeção de madeira agendado para amanhã (23/11).
DI registrada - Canal verde - entrega programada para 24/11.
23/11 - Inspeção de madeira feita, relacre DM36047.
24/11 - Material entregue.</t>
  </si>
  <si>
    <t>*Shenker*
07/10 - Recebidas invoices
13/10 - pick up dia 8/10 - e ETA SSZ dia 24/11
20/10 - recebido BL final
22/11 - Data Entrada: 21/11/2021 06:29:05
Divergência de peso de -70.65%
Status ZIGVIG: Liberado
Devido ao alto percentual de divergência, solicitada repesagem
DI registrada - Canal verde - entrega programada para 24/11.
24/11 - Material entregue.</t>
  </si>
  <si>
    <t>*Shenker*
30/09 - Recebidas invoices
06/10 - Recebido BL draft encaminhado para Original
EMCU8383388 / 40H / EMCGMK8561 / 60 CASES
06/10 - PICKUP 
13/10 - ETA SSZ 22/11
21/10 - recebido copia do bl final
22/11 - DataEntrada: 21/11/2021 05:27:08
Divergência de peso de -5.07%
Status ZIGVIG: Liberado
DI registrada - Canal verde - entrega programada para 23/11.
23/11 - Material entregue.</t>
  </si>
  <si>
    <t>*Shenker*
07/10 - Tender: HTM2021100400167
Recebidas invoices
07/10 - PICK UP
13/10 - ETA dia 23/11
20/11 - recebido BL final
22/11 - DataEntrada: 21/11/2021 07:20:37
Divergência de peso de 7.88%
Status ZIGVIG: Liberado
DI registrada - Canal verde - entrega programada para 23/11.
23/11 - Material entregue.</t>
  </si>
  <si>
    <t>28/09 - Recebidas Invoices
01/10 - Recebido BL draft encaminhado para Original
TXGU5744338 / 40H / EMCHYE3261 / 74 CASES
30/09 - Pick up ETA 2021-11-16
19/10 - ETA SSZ 22/11
19/10 - Recebid docs finais
29/10 - De acordo com site do terminal ETA Santos dia 17
22/11 - DataEntrada: 21/11/2021 07:22:52
Divergência de peso de -16.51%
Status ZIGVIG: Liberado
Devido à urgência não solicitaremos repesagem
DI registrada - Canal verde - entrega programada para 23/11.
23/11 - Material entregue.</t>
  </si>
  <si>
    <t>21/2311175-8</t>
  </si>
  <si>
    <t>21/2311026-3</t>
  </si>
  <si>
    <t>21/2311309-2</t>
  </si>
  <si>
    <t>21/2311381-5</t>
  </si>
  <si>
    <t>HWC2021112940091
HWC2021112940090
HWC2021112940089
HWC2021112940088
HWC2021112940087
HWC2021112940086
HWC2021112940085
HWC2021112940084</t>
  </si>
  <si>
    <t>EMS02R20001076HWA0004H
EMS02R20001076HWA0007H
EMS02R20001076HWA0010H
EMS02R20001104HWA0001H
EMS02R20001125HWA0017H
EMS02R20001125HWA0018H
EMS02R20001127HWA0010H
EMS02R20001127HWA0024H</t>
  </si>
  <si>
    <t>EGLV149113241029</t>
  </si>
  <si>
    <t>4800016347
4800016416
4800016492
4800016494</t>
  </si>
  <si>
    <t>CMA CGM JACQUES JUNIOR 0AAANW1MA</t>
  </si>
  <si>
    <t>HWC2021113041483
HWC2021113041484
HWC2021113041485
HWC2021113041486</t>
  </si>
  <si>
    <t>EMS02R20001127HWA0027H
EMS02R20001127HWA0014H
EMS02R20001127HWA0009H
EMS02R20001125HWA0009H</t>
  </si>
  <si>
    <t>4800016492
4800016494</t>
  </si>
  <si>
    <t>EGLV149115358501</t>
  </si>
  <si>
    <t>HWC2021120142764
HWC2021120142765</t>
  </si>
  <si>
    <t>EMS02R20001126HWA0006H
EMS02R20001125HWA0003H</t>
  </si>
  <si>
    <t>EGLV149115416667</t>
  </si>
  <si>
    <t>4800016492
4800016493</t>
  </si>
  <si>
    <t>*Shenker*
21/10 - Recebidas invoices
25/10 - ETA SSZ 8/12
29/10 - Segundo site do terminal atracação dia 28/11 
02/12 - DataEntrada: 01/12/2021 16:26:49
Status SIGVIG: Liberado
Com divergência de peso de 6.2%
DI Registrada - Canal verde - entrega programada para 06/12.
06/12 - Material entregue.</t>
  </si>
  <si>
    <t>*Shenker*
28/10 - Recebidas invoices 
29/10 - Recebido BL_149114039380-draft
EISU8265480 / 40H / EMCRKE7570 / 55 CASES
02/11 - Tender: HTM2021102708871
Material coletado em 2021-10-29 19:13:42 - ETA SSZ 2021-12-15
02/12 - DataEntrada: 01/12/2021 21:35:23
Status SIGVIG: Liberado
Com divergência de peso de 1,94%
DI Registrada - Canal verde - entrega programada para 03/12.
03/12 - Material entregue.</t>
  </si>
  <si>
    <t>*Shenker*
25/10 - Recebidas invoices - pick up hj
26/10 - recebido draft
27/10 - ETA SSZ 11/12
29/10 - Segundo site do terminal atracação dia 28/11 
02/12 - DataEntrada: 01/12/2021 13:25:43
Status SIGVIG: Liberado
Com divergência de peso de 8.72%
DI Registrada - Canal verde - entrega programada para 06/12.
06/12 - Material entregue.</t>
  </si>
  <si>
    <t>*Shenker*
26/10 - Recebidas Invoices
31/10 - Recebido BL_149113929586-draft
DRYU9257380 / 40H / EMCRKG4850 / 61 CASES
06/11 - Tender: HTM2021102601161
Material coletado em 2021-10-27 19:54:23 - ETA SSZ 2021-12-13
02/12 - Data Entrada: 01/12/2021 09:22:18
Status SIGVIG: Liberado
Com divergência de peso de -15.3%
DI Registrada - Canal verde - entrega programada para 03/12.
03/12 - Material entregue.</t>
  </si>
  <si>
    <t>HWC2021120244024
HWC2021120244022
HWC2021120244041
HWC2021120244023
HWC2021120244042
HWC2021120244025
HWC2021120244026</t>
  </si>
  <si>
    <t>EMS02R20001126HWA0001H
EMS02R20001127HWA0030H
EMS02R20001127HWA0006H
EMS02R20001127HWA0016H
EMS02R20001126HWA0002H
EMS02R20001125HWA0010H
EMS02R20001125HWA0005H</t>
  </si>
  <si>
    <t>EGLV149115461581</t>
  </si>
  <si>
    <t>4800016492
4800016493
4800016494</t>
  </si>
  <si>
    <t>HWC2021120545895
HWC2021120545896
HWC2021120545897</t>
  </si>
  <si>
    <t>EMS02R20001125HWA0016H
EMS02R20001125HWA0004H
EMS02R20001125HWA0002H</t>
  </si>
  <si>
    <t>EGLV149115196071</t>
  </si>
  <si>
    <t>CMA CGM RODOLPHE 0AAAPW1MA</t>
  </si>
  <si>
    <t>HWC2021120648131
HWC2021120648130
HWC2021120648129</t>
  </si>
  <si>
    <t>EMS02R20001125HWA0001H
EMS02R20001127HWA0001H
EMS02R20001127HWA0021H</t>
  </si>
  <si>
    <t>EGLV149115606687</t>
  </si>
  <si>
    <t>HWC2021120648127
HWC2021120648126
HWC2021120648125</t>
  </si>
  <si>
    <t>EMS02R20001125HWA0028H
EMS02R20001126HWA0003H
EMS02R20001127HWA0004H</t>
  </si>
  <si>
    <t>EGLV149115606342</t>
  </si>
  <si>
    <t>21/1954961-2</t>
  </si>
  <si>
    <t>21/1941570-5</t>
  </si>
  <si>
    <t>21/1956249-0</t>
  </si>
  <si>
    <t>21/1956660-6</t>
  </si>
  <si>
    <t xml:space="preserve">21/1941735-0 </t>
  </si>
  <si>
    <t>21/1972660-3</t>
  </si>
  <si>
    <t>21/1972723-5</t>
  </si>
  <si>
    <t>21/1984768-0</t>
  </si>
  <si>
    <t>21/1991521-0</t>
  </si>
  <si>
    <t>21/1991698-4</t>
  </si>
  <si>
    <t>21/1991919-3</t>
  </si>
  <si>
    <t>21/2384333-3</t>
  </si>
  <si>
    <t>21/2384376-7</t>
  </si>
  <si>
    <t>21/2384413-5</t>
  </si>
  <si>
    <t>21/2384443-7</t>
  </si>
  <si>
    <t>21/2384474-7</t>
  </si>
  <si>
    <t>*Shenker*
03/11 - Recebidas Invoices
05/11 - Recebido BL_149114220041-draft
EMCU8288312 / 40H / EMCMAT4701 / 33 CASES
06/11 - Tender: HTM2021110101058
Material coletado em 2021-11-03 10:18:14 - ETA SSZ 2021-12-20
13/12 - DataEntrada: 12/12/2021 00:17:42
SIGVIG liberado
Sem divergência de peso
DI Registrada - Canal verde - entrega programada para 14/12.
14/12 - Material recebido.</t>
  </si>
  <si>
    <t>*Shenker*
03/11 - Recebidas Invoices
05/11 - Recebido BL_149113439392-draft
EITU9266470 / 40H / EMCMAT3441 / 41 CASES
06/11 - Tender: HTM2021103001049
Material coletado em 2021-11-02 10:49:59 - ETA SSZ 2021-12-19
13/12 - DataEntrada: 12/12/2021 00:44:30
SIGVIG liberado
Com divergência de peso de -42,94%.
DI Registrada - Canal verde - entrega programada para 14/12.
14/12 - Material recebido.</t>
  </si>
  <si>
    <t>*Shenker*
08/11 - Recebidas Invoices
09/11 - Recebido BL_149113240979-draft
EITU1771109 / 40H / EMCMBW5891 / 40 CASES
11/11 - Tender: HTM2021110603951
Material coletado em 2021-11-08 03:31:12 - ETA SSZ 2021-12-25
13/12 - Data Entrada: 13/12/2021 00:42:59
SIGVIG liberado
Sem divergência de peso
DI Registrada - Canal verde - entrega programada para 14/12.
14/12 - Material recebido.</t>
  </si>
  <si>
    <t>*Shenker*
29/10 - Recebidas Invoices
02/11 - Recebido BL_149114149126-draft
BMOU4856363 / 40H / EMCMAT3951 / 49 CASES
06/11 - Tender: HTM2021102901934
Material coletado em 2021-11-02 17:30:39 - ETA SSZ 2021-12-19
13/12 - DataEntrada: 12/12/2021 00:18:14
SIGVIG liberado
Sem divergência de peso
DI Registrada - Canal verde - entrega programada para 15/12.
15/12 - Material recebido.</t>
  </si>
  <si>
    <t>*Shenker*
11/11 - Recebidas Invoices
16/11 - Tender: HTM2021111103564
Material coletado em 2021-11-12 10:20:13 - ETA SSZ 2021-12-19
Recebido BL_149114600171-draft
TEMU3650540 / 20' / EMCMBS9201 / 10 CASES
EGHU9340278 / 40H / EMCMBU2831 / 24 CASES
13/12 - DataEntrada: 12/12/2021 16:10:28
SIGVIG liberado
Com divergência de peso (69,49%)
DI Registrada - Canal verde - entrega programada para 15/12.
15/12 - Material recebido.</t>
  </si>
  <si>
    <t>HWC2021120849885
HWC2021120849884
HWC2021120849883
HWC2021120849882</t>
  </si>
  <si>
    <t>EMS02R20001125HWA0006H
EMS02R20001125HWA0019H
EMS02R20001127HWA0003H
EMS02R20001127HWA0008H</t>
  </si>
  <si>
    <t xml:space="preserve">21/2399199-5 </t>
  </si>
  <si>
    <t>EGLV149115677495</t>
  </si>
  <si>
    <t>HWC2021121153328
HWC2021121153327
HWC2021121153326
HWC2021121153384</t>
  </si>
  <si>
    <t>EMS02R20001125HWA0026H
EMS02R20001127HWA0013H
EMS02R20001127HWA0026H
EMS02R20001128HWA0008H</t>
  </si>
  <si>
    <t>EGLV149115439462</t>
  </si>
  <si>
    <t>4800016492
4800016494
4800016495</t>
  </si>
  <si>
    <t>COSCO SHIPPING RHINE 024W</t>
  </si>
  <si>
    <t>HWC2021121354587
HWC2021121354590
HWC2021121354589
HWC2021121354588</t>
  </si>
  <si>
    <t>EMS02R20001127HWA0017H
EMS02R20001125HWA0027H
EMS02R20001125HWA0029H
EMS02R20001126HWA0007H</t>
  </si>
  <si>
    <t>EGLV149115836488</t>
  </si>
  <si>
    <t>HWC2021121052378
HWC2021121052377
HWC2021121052379
HWC2021121052391</t>
  </si>
  <si>
    <t>EMS02R20001125HWA0023H
EMS02R20001125HWA0025H
EMS02R20001125HWA0011H
EMS02R20001138HWA0006H</t>
  </si>
  <si>
    <t>BBU L06
RRU L10
RRU L10</t>
  </si>
  <si>
    <t>4800016492
4800016531</t>
  </si>
  <si>
    <t>HWC2021121354631
HWC2021121354630
HWC2021121354633
HWC2021121354632</t>
  </si>
  <si>
    <t>EMS02R20001126HWA0004H
EMS02R20001126HWA0005H
EMS02R20001125HWA0020H
EMS02R20001125HWA0021H</t>
  </si>
  <si>
    <t>HWC2021121355236
HWC2021121355179
HWC2021121355237
HWC2021121355238
HWC2021121355239
HWC2021121355242
HWC2021121355262
HWC2021121355240
HWC2021121355261
HWC2021121355263
HWC2021121355241
HWC2021121355180
HWC2021121355243</t>
  </si>
  <si>
    <t>EMS02R20001138HWA0007H
EMS02R20001138HWA0001H
EMS02R20001138HWA0005H
EMS02R20001138HWA0004H
EMS02R20001138HWA0003H
EMS02R20001127HWA0023H
EMS02R20001127HWA0007H
EMS02R20001127HWA0037H
EMS02R20001127HWA0012H
EMS02R20001127HWA0005H
EMS02R20001127HWA0028H
EMS02R20001127HWA0034H
EMS02R20001126HWA0009H</t>
  </si>
  <si>
    <t>4800016493
4800016494
4800016531</t>
  </si>
  <si>
    <t>EGLV149115830676</t>
  </si>
  <si>
    <t>*Shenker*
03/11 - Recebidas invoices 
05/11 - Recebido BL-149114223849-draft
TGBU4443255 / 40H / EMCMAT4291 / 47 CASES
06/11 - Tender: HTM2021110201284
Material coletado em 2021-11-03 11:18:26 - ETA SSZ 2021-12-20
13/12 - DataEntrada: 12/12/2021 00:23:34
SIGVIG liberado
Sem divergência de peso
14/12 - DI registrada - Canal verde - entrega programada para 16/12.
16/12 - Material recebido.</t>
  </si>
  <si>
    <t>EGLV149115436731</t>
  </si>
  <si>
    <t>COSCO SHIPPING DANUBE 030W</t>
  </si>
  <si>
    <t>21/2425615-6</t>
  </si>
  <si>
    <t>HWC2021121557157
HWC2021121557156
HWC2021121557155
HWC2021121557154
HWC2021121557153
HWC2021121557152
HWC2021121557151
HWC2021121557150
HWC2021121557149
HWC2021121557148
HWC2021121557147
HWC2021121557146
HWC2021121557145</t>
  </si>
  <si>
    <t>EMS02R20001126HWA0008H
EMS02R20001126HWA0011H
EMS02R20001126HWA0013H
EMS02R20001126HWA0014H
EMS02R20001126HWA0015H
EMS02R20001138HWA0002H
EMS02R20001138HWA0008H
EMS02R20001138HWA0009H
EMS02R20001141HWA0001H
EMS02R20001141HWA0003H
EMS02R20001141HWA0008H
EMS02R20001141HWA0011H
EMS02S20000214HWA0001H</t>
  </si>
  <si>
    <t>4800016493
4800016531
4800016535
4800016558</t>
  </si>
  <si>
    <t>EGLV149116088183</t>
  </si>
  <si>
    <t>EGLV149115820794</t>
  </si>
  <si>
    <t>21/2435457-3</t>
  </si>
  <si>
    <t>21/2435494-8</t>
  </si>
  <si>
    <t>21/2435547-2</t>
  </si>
  <si>
    <t>21/2435581-2</t>
  </si>
  <si>
    <t>21/2435681-9</t>
  </si>
  <si>
    <t>21/2435623-1</t>
  </si>
  <si>
    <t>HWC2021122061299
HWC2021122061297
HWC2021122061298
HWC2021122061300</t>
  </si>
  <si>
    <t>EMS02R20001129HWA0015H
EMS02R20001141HWA0006H
EMS02R20001141HWA0005H
EMS02R20001127HWA0022H</t>
  </si>
  <si>
    <t>4800016494
4800016496
4800016535</t>
  </si>
  <si>
    <t>EVER LAUREL 1465 - 049W</t>
  </si>
  <si>
    <t>EGLV149116225181</t>
  </si>
  <si>
    <t>HWC2021122061181
HWC2021122061182
HWC2021122061183
HWC2021122061184</t>
  </si>
  <si>
    <t>EMS02R20001150HWA0004H
EMS02R20001130HWA0039H
EMS02R20001126HWA0012H
EMS02R20001126HWA0010H</t>
  </si>
  <si>
    <t>4800016493
4800016497
4800016600</t>
  </si>
  <si>
    <t>EGLV149115812121</t>
  </si>
  <si>
    <t>*Shenker*
29/10 - Recebidas Invoices
02/11 - Recebido BL_149114160987-draft
EITU1547383 / 40H / EMCMAT3261 / 43 CASES
06/11 - Tender: HTM2021102903008
Material coletado em 2021-11-02 19:56:25 - ETA SSZ 2021-12-19
13/12 - DataEntrada: 12/12/2021 00:27:28
SIGVIG liberado
Sem divergência de peso
17/12 - DI registrada - Canal verde - entrega programada para 20/12.
20/12 - Material entregue.</t>
  </si>
  <si>
    <t>HWC2021122061509
HWC2021122061506
HWC2021122061508
HWC2021122061489
HWC2021122061507</t>
  </si>
  <si>
    <t>EMS01J20000216HWA0001H
EMS02R20001141HWA0010H
EMS02R20001128HWA0009H
EMS02R20001130HWA0026H
EMS02R20001128HWA0010H</t>
  </si>
  <si>
    <t>EGLV149116281722</t>
  </si>
  <si>
    <t>4800016549
4800016495
4800016497
4800016535</t>
  </si>
  <si>
    <t>HWC2021122162457
HWC2021122162456
HWC2021122162455
HWC2021122162454
HWC2021122162453
HWC2021122162452
HWC2021122162451
HWC2021122162450</t>
  </si>
  <si>
    <t>EMS01J20000216HWA0002H
EMS02R20001128HWA0016H
EMS02R20001128HWA0028H
EMS02R20001128HWA0033H
EMS02R20001130HWA0002H
EMS02R20001130HWA0006H
EMS02R20001130HWA0015H
EMS02R20001130HWA0028H</t>
  </si>
  <si>
    <t>*Shenker*
03/11 - Recebidas Invoices
05/11 - Recebido BL_149114149665-draft
MAGU5394832 / 40H / EMCMAT3901 / 44 CASES
06/11 - Tender: HTM2021103004028
Material coletado em 2021-11-02 10:04:26 - ETA SSZ 2021-12-19
13/12 - DataEntrada: 12/12/2021 00:24:21
SIGVIG liberado
Sem divergência de peso
20/12 - DI registrada - canal verde - entrega programada para 21/12.
21/12 - Material entregue.</t>
  </si>
  <si>
    <t>*Shenker*
03/11 - Recebidas Invoices
05/11 - Recebido BL_149114247721-draft
EGHU8333340 / 40H / EMCMAT2681 / 58 CASES
06/11 - Tender: HTM2021110203088
Material coletado em 2021-11-04 04:34:33 - ETA SSZ 2021-12-21
13/12 - DataEntrada: 12/12/2021 00:19:58
SIGVIG liberado
Sem divergência de peso
20/12 - DI registrada - canal verde - entrega programada para 21/12.
21/12 - Material entregue.</t>
  </si>
  <si>
    <t>*Shenker*
03/11 - Recebidas Invoices
05/11 - Recebido BL_149114318793-draft
TEMU6449252 / 40H / EMCMAT4531 / 61 CASES
06/11 - Tender: HTM2021110301108
Material coletado em 2021-11-05 04:38:57 - ETA SSZ 2021-12-22
13/12 - DataEntrada: 11/12/2021 23:23:20
SIGVIG liberado
Sem divergência de peso
20/12 - DI registrada - canal verde - entrega programada para 21/12.
21/12 - Material entregue.</t>
  </si>
  <si>
    <t>*Shenker*
03/11 - Recebidas Invoices
05/11 - Recebido BL_149114272041-draft
TXGU5590660 / 40H / EMCHNE6911 / 47 CASES
06/11 - Tender: HTM2021110203435
Material coletado em 2021-11-04 05:18:12 - ETA SSZ 2021-12-21
13/12 - DataEntrada: 12/12/2021 02:39:57
SIGVIG liberado
Sem divergência de peso
20/12 - DI registrada - canal verde - entrega programada para 21/12.
21/12 - Material entregue.</t>
  </si>
  <si>
    <t>*Shenker*
05/11 - Recebidas Invoices
06/11 - Tender: HTM2021110500909
Material coletado em 2021-11-06 07:43:09 - ETA SSZ 2021-12-23
08/11 - Recebido BL_149114344867-draft
EISU3973300 / 20' / EMCMAS4241 / 23 CASES
13/12 - DataEntrada: 11/12/2021 22:28:31
SIGVIG liberado
Com divergência de peso de 24,23%.
20/12 - DI registrada - canal verde - entrega programada para 22/12.
22/12 - Material entregue.</t>
  </si>
  <si>
    <t>*Shenker*
04/11 - Recebidas Invoices
06/11 - Tender: HTM2021110403393
Material coletado em 2021-11-06 10:00:00 - ETA SSZ 2021-12-23
08/11 - Recebido BL_149114362148-draft
TCNU3264580 / 40H / EMCMAS4391 / 45 CASES
13/12 - DataEntrada: 12/12/2021 02:38:24
SIGVIG liberado
Sem divergência de peso
20/12 - DI registrada - canal verde - entrega programada para 22/12.
22/12 - Material entregue.</t>
  </si>
  <si>
    <t>4800016549
4800016495
4800016497</t>
  </si>
  <si>
    <t>EGLV149116352581</t>
  </si>
  <si>
    <t>22/0007695-8</t>
  </si>
  <si>
    <t>22/0008180-3</t>
  </si>
  <si>
    <t>HWC2021122263324
HWC2021122263323
HWC2021122263322
HWC2021122263321
HWC2021122263320</t>
  </si>
  <si>
    <t>EMS02R20001129HWA0001H
EMS02R20001129HWA0002H
EMS02R20001129HWA0003H
EMS02R20001129HWA0007H
EMS02R20001130HWA0001H</t>
  </si>
  <si>
    <t>BBU L06
BBU L10</t>
  </si>
  <si>
    <t>4800016496
4800016497</t>
  </si>
  <si>
    <t>EVER LIFTING 1466 - 043W</t>
  </si>
  <si>
    <t>EGLV149115101861</t>
  </si>
  <si>
    <t>22/0020512-0</t>
  </si>
  <si>
    <t>22/0021461-7</t>
  </si>
  <si>
    <t>HWC2021122565214
HWC2021122565213
HWC2021122565212
HWC2021122565211
HWC2021122565210</t>
  </si>
  <si>
    <t>EMS01J20000214HWA0005H
EMS02R20001128HWA0032H
EMS02R20001129HWA0008H
EMS02R20001129HWA0013H
EMS02R20001130HWA0025H</t>
  </si>
  <si>
    <t>4800016546
4800016495
4800016496
4800016497</t>
  </si>
  <si>
    <t>EGLV149116484712</t>
  </si>
  <si>
    <t>HWC2021122464899
HWC2021122464898
HWC2021122464869
HWC2021122464897
HWC2021122464896</t>
  </si>
  <si>
    <t>EMS02R20001129HWA0010H
EMS02R20001129HWA0011H
EMS02R20001130HWA0003H
EMS02R20001149HWA0001H
EMS02R20001150HWA0001H</t>
  </si>
  <si>
    <t>4800016496
4800016497
4800016599
4800016600</t>
  </si>
  <si>
    <t>EGLV149116443862</t>
  </si>
  <si>
    <t>HWC2021122969137
HWC2021122969139
HWC2021122969109
HWC2021122969136
HWC2021122969138
HWC2021122969108</t>
  </si>
  <si>
    <t>EMS02R20001130HWA0040H
EMS01J20000216HWA0004H
EMS01J20000214HWA0001H
EMS02R20001141HWA0002H
EMS02R20001127HWA0020H
EMS02R20001150HWA0003H</t>
  </si>
  <si>
    <t>4800016546
4800016549
4800016494
4800016497
4800016535
4800016600</t>
  </si>
  <si>
    <t>EGLV149116670206</t>
  </si>
  <si>
    <t>HWC2021122867862
HWC2021122867861
HWC2021122867840
HWC2021122867839
HWC2021122867838
HWC2021122867837
HWC2021122867836
HWC2021122867849</t>
  </si>
  <si>
    <t>EMS02R20001150HWA0008H
EMS02R20001150HWA0007H
EMS02R20001150HWA0006H
EMS02R20001150HWA0005H
EMS02R20001150HWA0002H
EMS02R20001129HWA0014H
EMS02R20001129HWA0012H
EMS01J20000216HWA0003H</t>
  </si>
  <si>
    <t>STORAGE
BBU L10</t>
  </si>
  <si>
    <t>4800016549
4800016496
4800016600</t>
  </si>
  <si>
    <t>EGLV149116570180</t>
  </si>
  <si>
    <t>*Shenker*
19/11 - Recebidas Invoices
22/11 - Recebido BL_149114949262-draft
TCKU6103331 / 40H / EMCMNF3121 / 24 CASES
23/11 - Tender: HTM2021111901297
Material coletado em 2021-11-20 12:00:00 - ETA SSZ 2021-01-06
28/12 - DataEntrada: 25/12/2021 22:03:33
SIGVIG Retido
Com divergência de peso -56,09 % - solicitada repesagem
Extrato de repesagem apresentou -4.02 % de divergência de peso.
03/01 - DI registrada - Canal verde - entrega programada para 04/01.
04/01 - Material entregue.</t>
  </si>
  <si>
    <t>*Shenker*
19/11 - Recebidas Invoices
20/11 - Tender:HTM2021111901185
Material coletado em 2021-11-20 12:00:00 - ETA SSZ 2021-01-06
22/11 - Recebido BL_149113693477-draft
EGHU9025450 / 40H / EMCMNF3321 / 23 CASES
28/12 - DataEntrada: 25/12/2021 12:27:16
SIGVIG Retido
Com divergência de peso -52,59 % - solicitada repesagem
Extrato de repesagem apresentou -4,30 % de divergência de peso.
03/01 - DI registrada - Canal verde - entrega programada para 04/01.
04/01 - Material entregue.</t>
  </si>
  <si>
    <t>22/0037910-1</t>
  </si>
  <si>
    <t>*Shenker*
30/11 - Recebidas Invoices
02/12 - Tender: HTM2021112901306
Material coletado em 2021-11-30 - ETA SSZ 2021-01-16
03/12 - Recebido BL_149113241029-draft
EISU8515738 / 40H / EMCMDD1251 / 55 CASES
EISU9939345 / 40H / EMCMDL6681 / 24 CASES
03/01 - DataEntrada: 02/01/2022 14:53:06
SIGVIG Liberado
Com divergência de peso de -47,51%(EISU8515738) / 22,82%(EISU9939345) - solicitada repesagem
04/01 - Containers repesados, sem divergência de peso
DI registrada - Canal verde - entrega programada para 05/01.
05/01 - Material entregue.</t>
  </si>
  <si>
    <t>*Shenker*
30/11 - Recebidas Invoices
02/12 - Tender: HTM2021113001044
Material coletado em 2021-12-01 - ETA SSZ 2021-01-17
03/12 - Recebido BL_149115358501-draft
TGBU7879366 / 40H / EMCMDM4811 / 59 CASES
03/01 - DataEntrada: 02/01/2022 04:58:25
SIGVIG Liberado
Com divergência de peso de -12,39% - solicitada repesagem
04/01 - Container repesado, sem divergência de peso
DI registrada - Canal verde - entrega programada para 05/01.
05/01 - Material entregue.</t>
  </si>
  <si>
    <t>22/0046079-0</t>
  </si>
  <si>
    <t>*Shenker*
01/12 - Recebidas Invoices
03/12 - Tender: HTM2021120103433
Material coletado em 2021-12-01 - ETA SSZ 2021-01-17
Recebido BL_149115416667-draft
EITU0313652 / 20' / EMCMDK7021 / 18 CASES
03/01 -DataEntrada: 02/01/2022 15:59:52
SIGVIG Retido
Com divergência de peso de -82,61% - solicitada repesagem
06/01 - A inspeção da madeira foi realizada em 04/01
Container repesado, sem divergência de peso
DI registrada - Canal verde - entrega programada para 07/01.
07/01 - Material entregue.</t>
  </si>
  <si>
    <t>HWC2022010470609
HWC2022010470610
HWC2022010470608</t>
  </si>
  <si>
    <t>EMS02R20001141HWA0007H
EMS02R20001141HWA0004H
EMS02R20001141HWA0009H</t>
  </si>
  <si>
    <t>EGLV149115398774</t>
  </si>
  <si>
    <t>CMA CGM NIAGARA 0AAAXW1MA</t>
  </si>
  <si>
    <t>HWC2022010673017
HWC2022010673025
HWC2022010673024
HWC2022010673023
HWC2022010673022
HWC2022010673021
HWC2022010673000
HWC2022010672999
HWC2022010672998
HWC2022010672997
HWC2022010672996
HWC2022010672995
HWC2022010672994
HWC2022010672993
HWC2022010672992
HWC2022010672991
HWC2022010672990
HWC2022010672989
HWC2022010672988
HWC2022010673016
HWC2022010672987
HWC2022010672986</t>
  </si>
  <si>
    <t>EMS01J20000216HWA0014H
EMS01J20000216HWA0018H
EMS01J20000216HWA0021H
EMS01J20000216HWA0048H
EMS01J20000216HWA0049H
EMS01J20000216HWA0055H
EMS01J20000216HWA0057H
EMS01J20000216HWA0070H
EMS01J20000216HWA0076H
EMS01J20000216HWA0080H
EMS01J20000216HWA0081H
EMS01J20000216HWA0082H
EMS01J20000216HWA0084H
EMS01J20000216HWA0085H
EMS02R20001128HWA0001H
EMS02R20001128HWA0002H
EMS02R20001128HWA0007H
EMS02R20001128HWA0015H
EMS02R20001128HWA0021H
EMS02R20001149HWA0002H
EMS02R20001156HWA0002H
EMS02S20000219HWA0001H</t>
  </si>
  <si>
    <t>4800016549
4800016495
4800016599
4800016624
4800016623</t>
  </si>
  <si>
    <t>EGLV149200211722</t>
  </si>
  <si>
    <t>HWC2021122364219
HWC2021122364218
HWC2021122364217
HWC2021122364232
HWC2021122364216</t>
  </si>
  <si>
    <t>EMS02R20001129HWA0004H
EMS02R20001129HWA0005H
EMS02R20001129HWA0006H
EMS02R20001129HWA0009H
EMS02R20001141HWA0012H</t>
  </si>
  <si>
    <t>4800016496
4800016535</t>
  </si>
  <si>
    <t>EGLV149116418604</t>
  </si>
  <si>
    <t>*Shenker*
02/12 - Recebidas Invoices
03/12 - Recebido BL_149115461581-draft
EISU8558236 / 40H / EMCMDG4561 / 32 CASES
04/12 - Tender: HTM2021120204489
Material coletado em 2021-12-03 - ETA SSZ 2021-01-19
03/01 -DataEntrada: 02/01/2022 08:17:14
SIGVIG Liberado
Com divergência de peso de -24,17% - solicitada repesagem
07/01 - Desistimos da repesagem diante do não atendimento da DPW
DI registrada - Canal verde - entrega programada para 10/01.
10/01 - Material entregue.</t>
  </si>
  <si>
    <t>HWC2022011180436
HWC2022011180435
HWC2022011180434
HWC2022011180433
HWC2022011180432
HWC2022011180431
HWC2022011180430
HWC2022011180429
HWC2022011180438
HWC2022011180437</t>
  </si>
  <si>
    <t>EMS01J20000216HWA0064H
EMS01J20000216HWA0077H
EMS01J20000216HWA0078H
EMS01J20000216HWA0088H
EMS01J20000216HWA0091H
EMS01J20000216HWA0092H
EMS02R20001128HWA0006H
EMS02R20001156HWA0001H
EMS01J20000216HWA0019H
EMS01J20000216HWA0020H</t>
  </si>
  <si>
    <t>4800016549
4800016495
4800016624</t>
  </si>
  <si>
    <t>EGLV149116478593</t>
  </si>
  <si>
    <t>EVER URBAN 0144 - 166W</t>
  </si>
  <si>
    <t>HWC2022010977023
HWC2022010977026
HWC2022010977024
HWC2022010977027
HWC2022010977025
HWC2022010977030
HWC2022010977029
HWC2022010977028
HWC2022010977022
HWC2022010977031
HWC2022010977032</t>
  </si>
  <si>
    <t>EMS01J20000216HWA0090H
EMS01J20000216HWA0083H
EMS01J20000216HWA0087H
EMS01J20000216HWA0079H
EMS01J20000216HWA0086H
EMS01J20000216HWA0071H
EMS01J20000216HWA0072H
EMS01J20000216HWA0075H
EMS02R20001130HWA0009H
EMS01J20000214HWA0004H
EMS01J20000214HWA0003H</t>
  </si>
  <si>
    <t>4800016546
4800016549
4800016497</t>
  </si>
  <si>
    <t>EGLV149200266870</t>
  </si>
  <si>
    <t>22/0075323-2</t>
  </si>
  <si>
    <t>*Shenker*
10/12 - Recebidas Invoices
20/12 - Recebido BL_149115820794-draft
FCIU9791598 / 40H / EMCMAQ1701 / 48 CASES
23/12 - Tender: HTM2021121004402
Material coletado em 2021-12-14 - ETA SSZ 2022-01-30
12/01 - Data Entrada: 11/01/2022 16:22:40
SIGVIG liberado
Sem divergência de peso
DI registrada - Canal verde - entrega programada para 13/01.
13/01 - Material entregue.</t>
  </si>
  <si>
    <t>22/0093228-5</t>
  </si>
  <si>
    <t>22/0093578-0</t>
  </si>
  <si>
    <t>22/0093926-3</t>
  </si>
  <si>
    <t>*Shenker*
13/12 - Recebidas Invoices
14/12 - Recebido BL_149115439462-draft
BMOU4469301 / 40H / EMCMAX9561 / 49 CASES
23/12 - Tender: HTM2021121102716
Material coletado em 2021-12-14 - ETA SSZ 2022-01-30
12/01 - DataEntrada: 11/01/2022 20:00:06
SIGVIG liberado
Sem divergência de peso
14/01 - DI registrada - Canal verde - entrega programada para 17/01.
17/01 -  - Material entregue.</t>
  </si>
  <si>
    <t>*Shenker*
13/12 - Recebidas Invoices
14/12 - Recebido BL_149115836488-draft
EITU1831450 / 40H / EMCMAX0551 / 32 CASES
21/12 - Tender: HTM2021121301925
Material coletado em 2021-12-14 - ETA SSZ 2022-01-30
12/01 - Data Entrada: 11/01/2022 18:34:27
SIGVIG liberado
Com divergência de peso de -25,82%. Já solicitamos a repesagem.
14/01 - DI registrada - Canal verde - entrega programada para 17/01.
17/01 -  - Material entregue.</t>
  </si>
  <si>
    <t>*Shenker*
13/12 - Recebidas Invoices
17/12 - Recebido BL_149115830676-draft
TRHU5253762 / 40H / EMCMAQ1971 / 26 CASES
23/12 - Tender: HTM2021121301999
Material coletado em 2021-12-13 - ETA SSZ 2022-01-29
12/01 - DataEntrada: 11/01/2022 18:30:09
SIGVIG liberado
Sem divergência de peso
14/01 - DI registrada - Canal verde - entrega programada para 17/01.
17/01 -  - Material entregue.</t>
  </si>
  <si>
    <t>22/0104385-9</t>
  </si>
  <si>
    <t>22/0115236-4</t>
  </si>
  <si>
    <t>22/0116204-1</t>
  </si>
  <si>
    <t>22/0116506-7</t>
  </si>
  <si>
    <t>*Shenker*
06/12 - Recebidas Invoices
Recebido BL_149115196071-draft
EISU8558236 / 40H / EMCMDG4561 / 32 CASES
07/12 - Tender:HTM2021120500434
Material coletado em 2021-12-05 - ETA SSZ 2021-01-21
17/01 - DataEntrada: 14/01/2022 10:31:01
Sem divergência de peso.
SIGVIG Liberado.
17/01 - DI registrada - Canal verde - entrega programada para 18/01.
18/01 - Material entregue.</t>
  </si>
  <si>
    <t>HWC2022011787123
HWC2022011787124
HWC2022011787115
HWC2022011787116
HWC2022011787117
HWC2022011787118
HWC2022011787119
HWC2022011787125
HWC2022011787126
HWC2022011787120
HWC2022011787127
HWC2022011787141
HWC2022011787128
HWC2022011787129
HWC2022011787142
HWC2022011787130
HWC2022011787143
HWC2022011787144
HWC2022011787131
HWC2022011787132
HWC2022011787133
HWC2022011787134
HWC2022011787135
HWC2022011787136
HWC2022011787137
HWC2022011787138
HWC2022011787139
HWC2022011787140
HWC2022011787161
HWC2022011787147
HWC2022011787164
HWC2022011787165
HWC2022011787166
HWC2022011787148
HWC2022011787167</t>
  </si>
  <si>
    <t>EMS01J20000216HWA0005H
EMS01J20000216HWA0007H
EMS01J20000216HWA0008H
EMS01J20000216HWA0009H
EMS01J20000216HWA0010H
EMS01J20000216HWA0011H
EMS01J20000216HWA0013H
EMS01J20000216HWA0015H
EMS01J20000216HWA0016H
EMS01J20000216HWA0017H
EMS01J20000216HWA0022H
EMS01J20000216HWA0023H
EMS01J20000216HWA0024H
EMS01J20000216HWA0030H
EMS01J20000216HWA0031H
EMS01J20000216HWA0032H
EMS01J20000216HWA0033H
EMS01J20000216HWA0034H
EMS01J20000216HWA0035H
EMS01J20000216HWA0036H
EMS01J20000216HWA0037H
EMS01J20000216HWA0041H
EMS01J20000216HWA0042H
EMS01J20000216HWA0043H
EMS01J20000216HWA0044H
EMS01J20000216HWA0045H
EMS01J20000216HWA0046H
EMS01J20000216HWA0047H
EMS01J20000216HWA0050H
EMS01J20000216HWA0069H
EMS01J20000228HWA0001H
EMS01J20000229HWA0003H
EMS02R20001130HWA0041H
EMS02R20001150HWA0009H
EMS02R20001160HWA0001H</t>
  </si>
  <si>
    <t>EVER LOADING 1468 - 047W</t>
  </si>
  <si>
    <t>4800016549
4800016668
4800016669
4800016497
4800016600
4800016646</t>
  </si>
  <si>
    <t>EGLV149115633048</t>
  </si>
  <si>
    <t>22/0150661-1</t>
  </si>
  <si>
    <t>22/0150496-1</t>
  </si>
  <si>
    <t>HWC2022012194357
HWC2022012194356
HWC2022012194355
HWC2022012194346
HWC2022012194347
HWC2022012194345
HWC2022012194344
HWC2022012194348
HWC2022012194350
HWC2022012194353
HWC2022012194351
HWC2022011787145
HWC2022012194352
HWC2022012194349
HWC2022012194354
HWC2022011787146</t>
  </si>
  <si>
    <t>EMS01J20000229HWA0001H
EMS01J20000220HWA0002H
EMS01J20000219HWA0002H
EMS01J20000216HWA0027H
EMS01J20000216HWA0028H
EMS01J20000216HWA0026H
EMS01J20000216HWA0025H
EMS01J20000216HWA0051H
EMS01J20000216HWA0053H
EMS01J20000216HWA0058H
EMS01J20000216HWA0054H
EMS01J20000216HWA0063H
EMS01J20000216HWA0056H
EMS01J20000216HWA0052H
EMS01J20000216HWA0060H
EMS01J20000216HWA0066H</t>
  </si>
  <si>
    <t>EGLV149200601806</t>
  </si>
  <si>
    <t>4800016549
4800016648
4800016649
4800016669</t>
  </si>
  <si>
    <t>HWC2022012396045
HWC2022012396046</t>
  </si>
  <si>
    <t>EMS01J20000229HWA0002H
EMS02R20001173HWA0010H</t>
  </si>
  <si>
    <t>4800016669
4800016701</t>
  </si>
  <si>
    <t>EGLV149200610554</t>
  </si>
  <si>
    <t>22/0151625-0</t>
  </si>
  <si>
    <t>22/0151918-7</t>
  </si>
  <si>
    <t>*Shenker*
14/12 - Recebidas Invoices
17/12 - Recebido BL_149115436731-draft
EMCU9631787 - 40H / EMCMDN0511 / 37 CASES
23/12 - Tender: HTM2021121305616
Material coletado em 2021-12-16 - ETA SSZ 2022-02-01
24/01 - DataEntrada: 21/01/2022 22:47:11
Sem divergência de peso.
SIGVIG Liberado.
24/01 - DI Registrada - Canal verde - entrega programada para 25/01.
25/01 - Material entregue.</t>
  </si>
  <si>
    <t>*Shenker*
16/12 - Recebidas Invoices
20/12 - Recebido BL_149116088183-draft
EGHU9658166 - 40H / EMCMDT8091 / 29 CASES
EITU9265447 - 40H / EMCMFD4431 / 22 CASES
23/12 - Tender: HTM2021121504909
Material coletado em 2021-12-17 - ETA SSZ 2022-02-02
24/01 - DataEntrada: 21/01/2022 22:55:14
Com divergência de peso de 154,14% - não solicitada peresagem devido a urgência.
SIGVIG Liberado.
24/01 - DI Registrada - Canal verde - entrega programada para 25/01.
25/01 - Material entregue.</t>
  </si>
  <si>
    <t>HWC2022012497117
HWC2022012497118
HWC2022012497119</t>
  </si>
  <si>
    <t>EMS01J20000214HWA0002H
EMS01J20000219HWA0001H
EMS01J20000220HWA0001H</t>
  </si>
  <si>
    <t>EGLV149200630725</t>
  </si>
  <si>
    <t>4800016546
4800016648
4800016649</t>
  </si>
  <si>
    <t>HWC2022012396062</t>
  </si>
  <si>
    <t>EMS01J20000230HWA0002H</t>
  </si>
  <si>
    <t>EGLV149200610678</t>
  </si>
  <si>
    <t xml:space="preserve">4800016549
4800016668
4800016670
4800016685
4800016701
</t>
  </si>
  <si>
    <t>HWC2022012295823
HWC2022012295815
HWC2022012295824
HWC2022012295817
HWC2022012295818
HWC2022012295816
HWC2022012295819
HWC2022011787162
HWC2022011787163
HWC2022012295820
HWC2022012295821
HWC2022012295822
HWC2022012295825</t>
  </si>
  <si>
    <t>EMS02R20001166HWA0007K
EMS01J20000216HWA0029H
EMS02R20001173HWA0006H
EMS01J20000216HWA0061H
EMS01J20000216HWA0062H
EMS01J20000216HWA0059H
EMS01J20000216HWA0073H
EMS01J20000216HWA0067H
EMS01J20000216HWA0068H
EMS01J20000216HWA0074H
EMS01J20000228HWA0002H
EMS01J20000230HWA0003H
EMS02R20001173HWA0013H</t>
  </si>
  <si>
    <t>EGLV149200609793</t>
  </si>
  <si>
    <t>HWC2022012497332
HWC2022012497333
HWC2022012497310
HWC2022012498347
HWC2022012498348</t>
  </si>
  <si>
    <t>EMS01J20000226HWA0001H
EMS01J20000230HWA0009H
EMS01J20000232HWA0001H
EMS02R20001174HWA0003H
EMS02R20001174HWA0005H</t>
  </si>
  <si>
    <t>EGLV149200631012</t>
  </si>
  <si>
    <t>4800016650
4800016670
4800016725
4800016702</t>
  </si>
  <si>
    <t>*Shenker*
07/12 - Recebidas Invoices
08/12 - Recebido BL_149115606687-draft
DFSU1311680 / 20' / EMCMAV1321 / 18 CASES
14/01 - Data Entrada: 13/01/2022 23:57:23
SIGVIG liberado
Com divergência de peso de 40,81% - Solicitada repesagem.
18/01 - Repesagem sem divergência
DI Registrada - Canal verde - entrega programada para 20/01.
26/01 - Material entregue.</t>
  </si>
  <si>
    <t>*Shenker*
07/12 - Recebidas Invoices
08/12 - Recebido BL_149115606342-draft
TLLU4007376 / 40H / EMCMAQ1001 / 34 CASES
09/12 - Material coletado em 2021-12-07 - ETA SSZ 2021-01-23
17/01 - DataEntrada: 14/01/2022 09:10:54
Sem divergência de peso.
SIGVIG Retido. Inspeção da Madeira em 18/01.
DI Registrada - Canal verde - entrega programada para 20/01.
26/01 - Material entregue.</t>
  </si>
  <si>
    <t>*Shenker*
08/12 - Recebidas Invoices
09/12 - Tender: HTM2021120804078
Material coletado em 2021-12-09 - ETA SSZ 2022-01-25
Recebido BL_149115677495-draft
TCNU3849492 / 40H / EMCMAQ2141 / 37 CASES
17/01 - DataEntrada: 14/01/2022 09:11:11
Sem divergência de peso.
SIGVIG Liberado.
DI Registrada - Canal verde - entrega programada para 20/01.
26/01 - Material entregue.</t>
  </si>
  <si>
    <t>HWC2022012396090
HWC2022012396089
HWC2022012396087
HWC2022012396088</t>
  </si>
  <si>
    <t>EMS02R20001173HWA0003H
EMS01J20000229HWA0004H
EMS01J20000218HWA0001H
EMS01J20000227HWA0001H</t>
  </si>
  <si>
    <t>4800016647
4800016667
4800016669
4800016701</t>
  </si>
  <si>
    <t>EGLV149200611097</t>
  </si>
  <si>
    <t>HWC2022012396035
HWC2022012396033
HWC2022012396032
HWC2022012396034
HWC2022012396019</t>
  </si>
  <si>
    <t>EMS02S20000212HWA0064K
EMS01J20000229HWA0008H
EMS01J20000216HWA0065H
EMS02R20001173HWA0005H
EMS01J20000230HWA0001H</t>
  </si>
  <si>
    <t>EGLV149200610449</t>
  </si>
  <si>
    <t>4800016549
4800016669
4800016670
4800016701
4800016487</t>
  </si>
  <si>
    <t>22/0184959-4</t>
  </si>
  <si>
    <t>22/0185126-2</t>
  </si>
  <si>
    <t>HWC2022012702785
HWC2022012702791
HWC2022012702790
HWC2022012702727
HWC2022012702788
HWC2022012702787
HWC2022012702789
HWC2022012702786</t>
  </si>
  <si>
    <t>EMS01J20000226HWA0002H
EMS02R20001174HWA0006H
EMS02R20001173HWA0011H
EMS01J20000229HWA0009H
EMS01J20000230HWA0011H
EMS01J20000230HWA0010H
EMS01J20000230HWA0012H
EMS01J20000229HWA0012H</t>
  </si>
  <si>
    <t>HWC2022012804825
HWC2022012804818
HWC2022012804819
HWC2022012804824
HWC2022012804821
HWC2022012804823
HWC2022012804822
HWC2022012804820
HWC2022012804826</t>
  </si>
  <si>
    <t>EMS02R20001167HWA0001H
EMS01J20000224HWA0001H
EMS01J20000226HWA0004H
EMS01J20000230HWA0016H
EMS01J20000226HWA0006H
EMS01J20000230HWA0015H
EMS01J20000230HWA0013H
EMS01J20000226HWA0005H
EMS02R20001173HWA0001H</t>
  </si>
  <si>
    <t>*Shenker*
21/12 - Recebidas Invoices
22/12 - Recebido BL_149116281722-draft
EITU9121291 / 40H / EMCHNK3261 / 48 CASES
23/12 - Tender: HTM2021122004710
Material coletado em 2021-12-22 - ETA SSZ 2022-02-07
24/01 - DataEntrada: 23/01/2022 06:18:01
Sem divergência de peso.
SIGVIG Liberado.
24/01 - DI Registrada - Canal verde - entrega programada para 31/01.
31/01 - Material entregue.</t>
  </si>
  <si>
    <t>*Shenker*
22/12 - Recebidas Invoices
23/12 - Recebido BL_149116352581-draft
EGHU9134404 / 40H / EMCHNK4431 / 50 CASES
24/12 - Tender: HTM2021122107232
Material coletado em 2021-12-23 - ETA SSZ 2022-02-08
24/01 - DataEntrada: 23/01/2022 05:41:09
Sem divergência de peso.
SIGVIG Liberado.
24/01 - DI Registrada - Canal verde - entrega programada para 31/01.
31/01 - Material entregue.</t>
  </si>
  <si>
    <t>HWC2022012905117
HWC2022012905116
HWC2022012905115
HWC2022012905118</t>
  </si>
  <si>
    <t>EMS01J20000230HWA0014H
EMS01J20000230HWA0008H
EMS01J20000226HWA0003H
EMS02R20001173HWA0004H</t>
  </si>
  <si>
    <t>EGLV149200796852</t>
  </si>
  <si>
    <t>4800016650
4800016670
4800016701</t>
  </si>
  <si>
    <t>TIAN XIANG HE 081W</t>
  </si>
  <si>
    <t>EGLV149200612191</t>
  </si>
  <si>
    <t>22/0215874-9</t>
  </si>
  <si>
    <t>22/0215958-3</t>
  </si>
  <si>
    <t>22/0216036-0</t>
  </si>
  <si>
    <t>HWC2022012804469
HWC2022012804470
HWC2022012804471
HWC2022012804444
HWC2022012804445
HWC2022012804466
HWC2022012804446
HWC2022012804447
HWC2022012804448
HWC2022012804467
HWC2022012804468</t>
  </si>
  <si>
    <t>EMS02R20001174HWA0001H
EMS02R20001174HWA0002H
EMS02R20001175HWA0001H
EMS01J20000228HWA0003H
EMS01J20000229HWA0005H
EMS01J20000229HWA0006H
EMS01J20000229HWA0007H
EMS01J20000229HWA0010H
EMS01J20000229HWA0011H
EMS01J20000229HWA0013H
EMS01J20000229HWA0014H</t>
  </si>
  <si>
    <t>22/0225078-5</t>
  </si>
  <si>
    <t>22/0224814-4</t>
  </si>
  <si>
    <t>22/0225353-9</t>
  </si>
  <si>
    <t>EGLV149200781006</t>
  </si>
  <si>
    <t>4800016668
4800016669
4800016702
4800016704</t>
  </si>
  <si>
    <t>*Shenker*
20/12 - Recebidas Invoices
21/12 - Recebido BL_149115812121-draft
TGBU4441592 / 40H / EMCMAY4511 / 28 CASES
23/12 - Tender: HTM2021122002496
Material coletado em 2021-12-21 - ETA SSZ 2022-02-06
24/01 - DataEntrada: 23/01/2022 07:48:49
Com divergência de peso de -167,61 - solicitada repesagem.
SIGVIG Liberado.
25/01 - Extrato da repesagem sem divergência
28/01 - DI registrada - Canal verde - entrega programada para 02/02.
02/02 - Material entregue.</t>
  </si>
  <si>
    <t>*Shenker*
20/12 - Recebidas Invoices
21/12 - Recebido BL_149116225181-draft
EITU1324590 / 40H / EMCMAY4061 / 47 CASES
23/12 - Tender: HTM2021121902213
Material coletado em 2021-12-21 - ETA SSZ 2022-02-06
24/01 - DataEntrada: 23/01/2022 05:32:46
Com divergência de peso de 25,41% - solicitada repesagem.
SIGVIG Liberado.
25/01 - Extrato da repesagem sem divergência
28/01 - DI registrada - Canal verde - entrega programada para 02/02.
02/02 - Material entregue.</t>
  </si>
  <si>
    <t>*Shenker*
23/12 - Recebidas Invoices
24/12 - Tender: HTM2021122205353
Material coletado em 2021-12-23 - ETA SSZ 2022-02-08
Recebido BL_149115101861-draft
EGSU3025499 / 20' / EMCMEV4371 / 15 CASES
FSCU7253334 / 40H / EMCMEV4691 / 24 CASES
31/01 - DataEntrada: 30/01/2022 06:17:30
Com divergência de peso de 11,11%, próximo ao tolerável - não solicitada repesagem.
SIGVIG Liberado.
02/02 - DI Registrada - Canal verde - entrega programada para 08/02.
08/02 - Material entregue.</t>
  </si>
  <si>
    <t>*Shenker*
25/12 - Recebidas Invoices
31/12 - Tender: HTM2021122501602
Material coletado em 2021-12-27 - ETA SSZ 2022-02-12
05/01 - Recebido BL_149116484712-draft
BMOU5481209 / 40H / EMCMER2611 / 29 CASES
31/01 - Data Entrada: 30/01/2022 09:44:20
Com divergência de peso de 26,82% - solicitada repesagem
SIGVIG Liberado.
03/02 - DI registrada - Canal verde - entrega programada para 08/02.
08/02 - Material entregue.</t>
  </si>
  <si>
    <t>*Shenker*
29/12 - Recebidas Invoices
31/12 - Tender: HTM2021122902160
Material coletado em 2021-12-30 - ETA SSZ 2022-02-15
05/01 - Recebido BL_149116670206-draft
EISU9459562 / 40H / EMCMEJ1341 / 63 CASES
31/01 - Data Entrada: 30/01/2022 10:15:16
Com divergência de peso de 18,20 % - solicitada repesagem
SIGVIG Liberado.
03/02 - Repesagem, com divergência de peso de 28,92%
DI registrada - Canal verde - entrega programada para 08/02.
08/02 - Material entregue.</t>
  </si>
  <si>
    <t>22/0264799-5</t>
  </si>
  <si>
    <t>22/0264902-5</t>
  </si>
  <si>
    <t>22/0265274-3</t>
  </si>
  <si>
    <t>*Shenker*
25/12 - Recebidas Invoices
31/12 - Tender: HTM2021122406138
Material coletado em 2021-12-25 - ETA SSZ 2022-02-10
05/01 - Recebido BL_149116443862-draft
EGHU8258400 / 40H / EMCMET0871 / 25 CASES
31/01 - DataEntrada: 30/01/2022 09:39:44
Sem divergência de peso.
SIGVIG Liberado.
02/02 - DI Registrada - Canal verde - entrega programada para 08/02.
07/02 - Transportadora informa que esse processo estava programado para entrega dia 09/02.
09/02 - Material entregue.</t>
  </si>
  <si>
    <t>*Shenker*
28/12 - Recebidas Invoices
31/12 - Tender: HTM2021122801161
Material coletado em 2021-12-29 - ETA SSZ 2022-02-14
05/01 - Recebido BL_149116570180-draft
TRHU6766672 / 40H / EMCMES1961 / 20 CASES
GAOU6405624 / 40H / EMCMES1441 / 25 CASES
31/01 - Data Entrada: 29/01/2022 22:12:06
Com divergência de peso de 14,94 % - solicitada repesagem
SIGVIG Liberado.
03/02 - Repesagem do container TRHU 676.667-2, sem divergência de peso
DI registrada - Canal verde - entrega programada para 09/02.
09/02 - Material entregue.</t>
  </si>
  <si>
    <t>*Shenker*
23/12 - Recebidas Invoices
27/12 - Tender: HTM2021122305600
Material coletado em 2021-12-24 - ETA SSZ 2022-01-30
11/01 - Recebido BL_149116418604-draft
TXGU5752360 / 40H / EMCMEV2821 / 38 CASES
31/01 - Data Entrada: 30/01/2022 10:13:28
Sem divergência de peso.
SIGVIG Liberado.
02/02 - DI Registrada - Canal verde - entrega programada para 09/02.
09/02 - Material não foi entregue pois o veículo quebrou durante o trânsito. Foxconn não foi informada. Nova previsão de entrega dia 10/02.
10/02 - Material entregue.</t>
  </si>
  <si>
    <t>*Shenker*
06/01 - Recebidas Invoices
07/01 - Recebido BL_149200211722-draft
EGHU9277940 / 40H / EMCMEF8541 / 58 CASES
TCLU8913832 / 40H / EMCMDZ0041 / 48 CASES
Tender: HTM2022010601006
Material coletado em 2021-01-07 - ETA SSZ 2022-02-23
07/02 - De acordo com o site do terminal, navio previsto atracar dia 09/02.
09/02 - Data Entrada: 09/02/2022 01:49:56
Sem divergência de peso
SIGVIG Liberado.
DI registrada - Canal verde - entrega programada para 11/02.
11/02 - Material entregue.</t>
  </si>
  <si>
    <t>4800016650
4800016669</t>
  </si>
  <si>
    <t>4800016651
4800016650
4800016670
4800016686
4800016701</t>
  </si>
  <si>
    <t>EGLV149200797612</t>
  </si>
  <si>
    <t>DOUGLAS</t>
  </si>
  <si>
    <t>HWC2022013006068
HWC2022013006066
HWC2022013006067</t>
  </si>
  <si>
    <t>EMS02R20001173HWA0009H
EMS02R20001173HWA0007H
EMS02R20001173HWA0008H</t>
  </si>
  <si>
    <t>EGLV149200486462</t>
  </si>
  <si>
    <t>EVER LEADER 1470 - 058W</t>
  </si>
  <si>
    <t>HWC2022012905837
HWC2022012905875
HWC2022012905876</t>
  </si>
  <si>
    <t>EMS01J20000230HWA0006H
EMS01J20000230HWA0007H
EMS02R20001173HWA0002H</t>
  </si>
  <si>
    <t>22/0293500-1</t>
  </si>
  <si>
    <t>*Shenker*
04/01 - Recebidas Invoices
06/01 - Recebido BL_149115398774-draft
TCLU9107528 / 40H / EMCMEE1771 / 45 CASES
07/01 - Tender: HTM2022010400871
Material coletado em 2021-01-04 - ETA SSZ 2022-02-20
07/02 - De acordo com o site do terminal, navio previsto atracar dia 09/02.
09/02 - Data Entrada: 09/02/2022 01:56:04
Sem divergência de peso.
SIGVIG Liberado.
DI registrada - Canal verde - entrega programada para 14/02.
14/02 - Material entregue.</t>
  </si>
  <si>
    <t>*Shenker*
10/01 - Recebidas Invoices
Tender: HTM2022010900415
Material coletado em 2022-01-09 - ETA SSZ 2022-02-25
12/01 - Recebido BL_149200266870-draft
EMCU6075160 / 20' / EMCMDZ4361 / 38 CASES
07/02 - De acordo com o site do terminal, navio previsto atracar dia 09/02.
09/02 - Data Entrada: 09/02/2022 06:28:19
Com divergência de peso de 32,42% - Não solicitada repesagem
SIGVIG Liberado.
DI registrada - Canal verde - entrega programada para 14/02.
14/02 - Material entregue.</t>
  </si>
  <si>
    <t>*Shenker*
11/01 - Recebidas Invoices
12/01 - Recebido BL_149116478593-draft
TRHU3700753 / 20' / EMCMMB3251 / 31 CASES
14/01 - Tender:HTM2022011102542
Material coletado em 2021-01-12 - ETA SSZ 2022-02-28
07/02 - De acordo com o site do terminal, navio previsto atracar dia 12/02.
14/02 - Data Atracação 13/02/2022 09:18:00
Sem divergência de peso.
SIGVIG Liberado.
14/02 - DI Registrada - Canal verde - entrega programada para 15/02
15/02 - Material entregue.</t>
  </si>
  <si>
    <t>4800016670
4800016701</t>
  </si>
  <si>
    <t>PROGRESS C 120W</t>
  </si>
  <si>
    <t>EGLV149200858980</t>
  </si>
  <si>
    <t>22/0367990-4</t>
  </si>
  <si>
    <t>22/0368042-2</t>
  </si>
  <si>
    <t>22/0368153-4</t>
  </si>
  <si>
    <t>22/0368205-0</t>
  </si>
  <si>
    <t>22/0368284-0</t>
  </si>
  <si>
    <t>22/0368370-7</t>
  </si>
  <si>
    <t>22/0368527-0</t>
  </si>
  <si>
    <t>22/0368652-8</t>
  </si>
  <si>
    <t>22/0368786-9</t>
  </si>
  <si>
    <t>HWC2022022126382
HWC2022022126383
HWC2022022126384
HWC2022022126385
HWC2022022126386
HWC2022022126387</t>
  </si>
  <si>
    <t>EMS01J20000233HWA0001H
EMS02R20001174HWA0004H
EMS02R20001212HWA0009H
EMS02R20001213HWA0001H
EMS02R20001214HWA0001H
EMS02R20001217HWA0001H</t>
  </si>
  <si>
    <t>EGLV149200486471</t>
  </si>
  <si>
    <t>4800016770
4800016702
4800016829
4800016830
4800016831
4800016834</t>
  </si>
  <si>
    <t>CMA CGM JACQUES JUNIOR 0AABBW1MA</t>
  </si>
  <si>
    <t>HWC2022022430169
HWC2022022430168
HWC2022022430208
HWC2022022430170</t>
  </si>
  <si>
    <t>EMS02R20001212HWA0006H
EMS02R20001212HWA0005H
EMS02R20001212HWA0003H
EMS02R20001215HWA0003H</t>
  </si>
  <si>
    <t>4800016829
4800016832</t>
  </si>
  <si>
    <t>EGLV149201439107</t>
  </si>
  <si>
    <t>HWC2022022632713
HWC2022022632716
HWC2022022632714
HWC2022022632715</t>
  </si>
  <si>
    <t>EMS02R20001215HWA0004H
EMS02R20001212HWA0001H
EMS02R20001215HWA0002H
EMS02R20001173HWA0012H</t>
  </si>
  <si>
    <t>*Shenker*
17/01 - Recebidas Invoices
19/01 - Recebido BL_149115633048-draft
HMCU9158661 / 40H / EMCMNN9821 / 117 CASES
20/01 - Tender: HTM2022011703054
Material coletado em 2022-01-19 - ETA SSZ 2022-03-07
22/02 - Data Entrada: 22/02/2022 09:24:31
Com divergência de peso de -51,19% - Não solicitada repesagem
SIGVIG Liberado.
24/02 - DI registrada - Canal verde - entrega programada para 04/03.
03/03 - Material entregue.</t>
  </si>
  <si>
    <t>*Shenker*
21/01 - Recebidas Invoices
24/01 - Recebido BL_149200601806-draft
EGHU3700274 / 20' / EMCMSR6011 / 70 CASES
25/01 - Tender: HTM2022012103879
Material coletado em 2022-01-22 - ETA SSZ 2022-03-10
22/02 - DataEntrada: 22/02/2022 14:39:26
Com divergência de peso de 24,91% - Não solicitada repesagem
SIGVIG Liberado.
24/02 - DI registrada - Canal verde - entrega programada para 03/03.
03/03 - Material entregue.</t>
  </si>
  <si>
    <t>*Shenker*
24/01 - Recebidas Invoices
Recebido BL_149200610554-draft
TRHU5696769 / 40H / EMCPHR2551 / 25 CASES
25/01 - Tender:  HTM2022012300564
 Material coletado em 2022-01-24 - ETA SSZ 2022-03-12
22/02 - DataEntrada: 22/02/2022 13:11:04
Com divergência de peso de -37,87% - Não solicitada repesagem
SIGVIG Liberado.
24/02 - DI registrada - Canal verde - entrega programada para 03/03.
03/03 - Material entregue.</t>
  </si>
  <si>
    <t>*Shenker*
24/01 - Recebidas Invoices
25/01 - Recebido BL_149200630725-draft
TEMU0047235 / 20' / EMCPHR3471 / 35 CASES
Tender:  HTM2022012400569
Material coletado em 2022-01-24 - ETA SSZ 2022-03-12
22/02 - DataEntrada: 22/02/2022 14:34:30
Com divergência de peso de 100% - Não solicitada repesagem
SIGVIG Liberado.
24/02 - DI registrada - Canal verde - entrega programada para 03/03.
03/03 - Material entregue.</t>
  </si>
  <si>
    <t>*Shenker*
24/01 - Recebidas Invoices
25/01 - Recebido BL_149200610678-draft
EITU0471869 / 20' / EMCPHR2681 / 32 CASES
Tender:  HTM2022012300574
Material coletado em 2022-01-24 - ETA SSZ 2022-03-12
22/02 - DataEntrada: 22/02/2022 09:43:39
Com divergência de peso de 61,26% - Não solicitada repesagem
SIGVIG Liberado.
24/02 - DI registrada - Canal verde - entrega programada para 03/03.
02/03 - Material entregue.</t>
  </si>
  <si>
    <t>*Shenker*
25/01 - Recebidas Invoices
Tender:  HTM2022012202876
Material coletado em 2022-01-24 - ETA SSZ 2022-03-12
Recebido BL_149200609793-draft
GLDU9415631 / 20' / EMCPHR3781 / 32 CASES
22/02 - DataEntrada: 22/02/2022 14:37:06
Sem divergência de peso.
SIGVIG Liberado.
24/02 - DI registrada - Canal verde - entrega programada para 03/03.
02/03 - Material entregue.</t>
  </si>
  <si>
    <t>*Shenker*
25/01 - Recebidas Invoices
Tender:  HTM2022012400864
Material coletado em 2022-01-25 - ETA SSZ 2022-03-13
Recebido BL_149200631012-draft
BMOU4830625 / 40H / EMCPHR2831 / 32 CASES
22/02 - DataEntrada: 22/02/2022 09:43:39
Com divergência de peso de 42,97% - Não solicitada repesagem
SIGVIG Liberado.
24/02 - DI registrada - Canal verde - entrega programada para 03/03.
03/03 - Material entregue.</t>
  </si>
  <si>
    <t>*Shenker*
24/01 - Recebidas Invoices
25/01 - Tender:  HTM2022012300586
Material coletado em 2022-01-24 - ETA SSZ 2022-03-12
Recebido BL_149200611097-draft
EGSU9016787 / 40H / EMCMSU0321 / 47 CASES
22/02 - DataEntrada: 22/02/2022 12:58:39
Sem divergência de peso.
SIGVIG Liberado.
24/02 - DI registrada - Canal verde - entrega programada para 04/03.
02/03 - Material entregue.</t>
  </si>
  <si>
    <t>*Shenker*
24/01 - Recebidas Invoices
25/01 - Tender:  HTM2022012300555
Material coletado em 2022-01-24 - ETA SSZ 2022-03-12
Recebido BL_149200610449-draft
FCIU9187280 / 40H / EMCMSS9551 / 29 CASES
22/02 - DataEntrada: 22/02/2022 13:00:10
Sem divergência de peso.
SIGVIG Liberado.
24/02 - DI registrada - Canal verde - entrega programada para 04/03.
02/03 - Material entregue.</t>
  </si>
  <si>
    <t>22/0431534-5</t>
  </si>
  <si>
    <t>*Shenker*
28/01 - Recebidas Invoices
29/01 - Tender: HTM2022012801273
Material coletado em 2022-01-29 - ETA SSZ 2022-03-17
Recebido BL_149200781006-draft
EMCU8777951 / 40H / EMCMGD9741 / 37 CASES
07/03 - Data Atracação 04/03/2022 23:30:00
Com divergência de peso - não solicitada repesagem
SIGVIG Liberado
07/03 - DI Registrada - Canal verde - entrega programada para 08/03.
08/03 - Material entregue.</t>
  </si>
  <si>
    <t>*Shenker*
31/01 - Recebidas Invoices
Tender:  HTM2022012900571
Material coletado em 2022-01-30 - ETA SSZ 2022-03-18
Recebido BL_149200796852-draft
TEMU0592749 / 20' / EMCMNB1641 / 20 CASES
07/03 - Data Atracação 04/03/2022 23:30:00
Sem divergência de peso
SIGVIG Liberado
07/03 - DI Registrada - Canal verde - entrega programada para 08/03.
08/03 - Material entregue.</t>
  </si>
  <si>
    <t>22/0431148-0</t>
  </si>
  <si>
    <t>4800016701
4800016829
4800016832</t>
  </si>
  <si>
    <t>EGLV149201076624</t>
  </si>
  <si>
    <t>SEAMAX ROWAYTON 0BDBSW1MA</t>
  </si>
  <si>
    <t>*Shenker*
27/01 - Recebidas Invoices
29/01 - Tender: HTM2022012701137
Material coletado em 2022-01-29 - ETA SSZ 2022-03-17
Recebido BL_149200612191-draft
EMCU8808203 / 40H / EMCMGD8741 / 57 CASES
07/03 - Data Atracação 04/03/2022 23:30:00
Sem divergência de peso
SIGVIG Liberado.
07/03 - DI Registrada - Canal verde - entrega programada para 08/03.
08/03 - Material entregue.</t>
  </si>
  <si>
    <t>*Shenker*
27/01 - Recebidas Invoices
30/01 - Recebido BL_149200797612-draft
DFSU1058783 / 20' / EMCMNB1691 / 34 CASES
10/02 - Tender: HTM2022012802427
Material coletado em 2022-01-30 - ETA SSZ 2022-03-18
07/03 - Data Atracação 04/03/2022 23:30:00
Com divergência de peso de -7,59%
SIGVIG Liberado
07/03 - DI Registrada - Canal verde - entrega programada para 08/03.
08/03 - Material entregue.</t>
  </si>
  <si>
    <t>HWC2022030540092
HWC2022030540093
HWC2022030540120
HWC2022030540121
HWC2022030540122
HWC2022030540123
HWC2022030540094
HWC2022030540095
HWC2022030540096
HWC2022030540124</t>
  </si>
  <si>
    <t>EMS02R20001210HWA0001H
EMS02R20001210HWA0004H
EMS02R20001210HWA0007H
EMS02R20001210HWA0008H
EMS02R20001210HWA0009H
EMS02R20001210HWA0013H
EMS02R20001212HWA0004H
EMS02S20000222HWA0001H
EMS02S20000222HWA0002H
EMS02S20000222HWA0005H</t>
  </si>
  <si>
    <t>EGLV149201678829</t>
  </si>
  <si>
    <t>KOTA LIMA 0003W</t>
  </si>
  <si>
    <t>4800016827
4800016829
4800016826</t>
  </si>
  <si>
    <t>HWC2022030237005
HWC2022030237006
HWC2022030237027
HWC2022030237028
HWC2022030237029
HWC2022030237007
HWC2022030237030
HWC2022030237008</t>
  </si>
  <si>
    <t>EMS02R20001210HWA0006H
EMS02R20001210HWA0012H
EMS02R20001212HWA0002H
EMS02R20001215HWA0001H
EMS02R20001215HWA0005H
EMS02R20001216HWA0003H
EMS02R20001218HWA0022H
EMS02S20000222HWA0011H</t>
  </si>
  <si>
    <t>EGLV149201076811</t>
  </si>
  <si>
    <t>4800016827
4800016829
4800016832
4800016833
4800016835
4800016826</t>
  </si>
  <si>
    <t>HWC2022031146419
HWC2022031146420
HWC2022031146461</t>
  </si>
  <si>
    <t>EMS02R20001211HWA0001H
EMS02R20001211HWA0006H
EMS02R20001211HWA0013H</t>
  </si>
  <si>
    <t>HWC2022030842507
HWC2022030842504
HWC2022030842505
HWC2022030842506
HWC2022030842503
HWC2022030842502</t>
  </si>
  <si>
    <t>EMS02S20000227HWA0001H
EMS02R20001218HWA0004H
EMS02R20001218HWA0007H
EMS02R20001218HWA0016H
EMS02R20001212HWA0008H
EMS02R20001198HWA0001H</t>
  </si>
  <si>
    <t>4800016803
4800016829
4800016835
4800016905</t>
  </si>
  <si>
    <t>HWC2022030944787
HWC2022030944788
HWC2022030944789
HWC2022030944790
HWC2022030944806
HWC2022030944807
HWC2022030944792
HWC2022030944793
HWC2022030944794
HWC2022030944791</t>
  </si>
  <si>
    <t>EMS02R20001187HWA0001H
EMS02R20001210HWA0003H
EMS02R20001210HWA0005H
EMS02R20001210HWA0010H
EMS02R20001211HWA0002H
EMS02R20001211HWA0020H
EMS02R20001218HWA0017H
EMS02S20000222HWA0003H
EMS02S20000222HWA0004H
EMS02R20001218HWA0003H</t>
  </si>
  <si>
    <t xml:space="preserve">4800016783
4800016827
4800016828
4800016835
4800016826
</t>
  </si>
  <si>
    <t>EGLV149201773384</t>
  </si>
  <si>
    <t>EGLV149201870266</t>
  </si>
  <si>
    <t>EGLV149201870312</t>
  </si>
  <si>
    <t>HWC2022031247507
HWC2022031247508
HWC2022031247509
HWC2022031247510
HWC2022031247511
HWC2022031247512</t>
  </si>
  <si>
    <t>EMS02R20001210HWA0002H
EMS02R20001210HWA0011H
EMS02R20001210HWA0014H
EMS02R20001212HWA0007H
EMS02R20001218HWA0002H
EMS02R20001218HWA0006H</t>
  </si>
  <si>
    <t>4800016827
4800016829
4800016835</t>
  </si>
  <si>
    <t>EGLV149201872072</t>
  </si>
  <si>
    <t>22/0498927-3</t>
  </si>
  <si>
    <t>22/0430052-6</t>
  </si>
  <si>
    <t>22/0430501-3</t>
  </si>
  <si>
    <t>*Shenker*
30/01 - Recebidas Invoices
10/02 - Recebido BL_149200858980-draft
EISU2273107 / 20' / EMCMLU9991 / 19 CASES
11/02 - Tender: HTM2022012902251
Material coletado em 2022-02-05 - ETA SSZ 2022-03-24
15/03 - DI registrada - Canal verde - entrega programada para 18/03.
18/03 - Material entregue.</t>
  </si>
  <si>
    <t>HWC2022032152653
HWC2022032152654
HWC2022032152655
HWC2022032152664
HWC2022032152665
HWC2022032152663
HWC2022032152650
HWC2022032152651
HWC2022032152652</t>
  </si>
  <si>
    <t>EMS02R20001211HWA0011H
EMS02R20001218HWA0008H
EMS02R20001218HWA0012H
EMS02R20001218HWA0019H
EMS02R20001218HWA0020H
EMS01J20000216HWA0012H
EMS01J20000216HWA0038H
EMS01J20000216HWA0039H
EMS02R20001077HWA0028H</t>
  </si>
  <si>
    <t>4800016549
4800016348
4800016828
4800016835</t>
  </si>
  <si>
    <t>EGLV149201522748</t>
  </si>
  <si>
    <t>HWC2022032355118
HWC2022032355119
HWC2022032355117</t>
  </si>
  <si>
    <t>EMS02R20001210HWA0016H
EMS02R20001211HWA0007H
EMS02R20001210HWA0015H</t>
  </si>
  <si>
    <t>4800016827
4800016828</t>
  </si>
  <si>
    <t>EGLV149202319202</t>
  </si>
  <si>
    <t>EVER LIFTING 1478 - 044W</t>
  </si>
  <si>
    <t>HWC2022032759022
HWC2022032759023
HWC2022032759024
HWC2022032759025
HWC2022032759026
HWC2022032759027
HWC2022032759006
HWC2022032759007
HWC2022032759008
HWC2022032859455
HWC2022032859456
HWC2022032859457</t>
  </si>
  <si>
    <t>EMS02R20001215HWA0006H
EMS02R20001215HWA0007H
EMS02R20001218HWA0001H
EMS02R20001218HWA0010H
EMS02R20001218HWA0013H
EMS02R20001218HWA0014H
EMS02R20001218HWA0015H
EMS02R20001242HWA0001H
EMS02R20001242HWA0002H
EMS02S20000222HWA0006H
EMS02S20000222HWA0007H
EMS02S20000222HWA0008H</t>
  </si>
  <si>
    <t>EGLV149202362493</t>
  </si>
  <si>
    <t>*Shenker*
30/01 - Recebidas Invoices
10/02 - Recebido BL_149200486462-draft
EISU9273325 / 40H / EMCMMH6221 / 45 CASES
11/02 - Tender: HTM2022013000410
Material coletado em 2022-02-09 - ETA SSZ 2022-03-28
18/03 - Data Entrada: 17/03/2022 21:30:58
Sem divergência de peso.
SIGVIG Retido. Inspeção da Madeira em 21/03.
25/03 - DI registrada - Canal verde - entrega programada para 29/03.
29/03 - Material entregue.</t>
  </si>
  <si>
    <t>22/0572650-0</t>
  </si>
  <si>
    <t>HWC2022032961268
HWC2022032961269
HWC2022032961256
HWC2022032961270
HWC2022032961255</t>
  </si>
  <si>
    <t>EMS02R20001211HWA0003H
EMS02R20001211HWA0015H
EMS02S20000222HWA0014H
EMS02S20000222HWA0010H
EMS02S20000222HWA0012H</t>
  </si>
  <si>
    <t>4800016828
4800016826</t>
  </si>
  <si>
    <t>EGLV149201522853</t>
  </si>
  <si>
    <t>CMA CGM NIAGARA 0AABNW1MA</t>
  </si>
  <si>
    <t>HWC2022033163042
HWC2022033163018
HWC2022033163019
HWC2022033163020
HWC2022033163044
HWC2022033163041
HWC2022033163043
HWC2022033163017</t>
  </si>
  <si>
    <t>EMS02R20001218HWA0023H
EMS02R20001212HWA0010H
EMS02R20001216HWA0002H
EMS02R20001216HWA0006H
EMS02S20000222HWA0009H
EMS02R20001218HWA0021H
EMS02R20001257HWA0002H
EMS02R20001211HWA0005H</t>
  </si>
  <si>
    <t>EGLV149202556514</t>
  </si>
  <si>
    <t>4800016828
4800016829
4800016833
4800016835
4800016977
4800016826</t>
  </si>
  <si>
    <t>*Shenker*
22/02 - Recebidas Invoices
23/02 - Tender: HTM2022022104770
Material coletado em 2022-02-22 - ETA SSZ 2022-04-10
24/02 - Recebido BL_149200486471-draft
EGHU3358182 / 20' / EMCPHR1701 / 39 CASES
25/03 - Previsão de atracação 31/03/2022 06:00
04/04 - DataEntrada: 02/04/2022 00:22:56
Sem divergência de peso
SIGVIG Liberado.
07/04 - DI Registrada - Canal verde - entrega programada para 08/04.
08/04 - Material entregue.</t>
  </si>
  <si>
    <t>22/0654203-9</t>
  </si>
  <si>
    <t>HWC2022040972749
HWC2022040972747
HWC2022040972746
HWC2022040972748
HWC2022041073923</t>
  </si>
  <si>
    <t>EMS02R20001284HWA0001H
EMS02R20001277HWA0010H
EMS02R20001277HWA0008H
EMS02R20001277HWA0012H
EMS02R20001275HWA0012H</t>
  </si>
  <si>
    <t>4800017013
4800017015
4800017039</t>
  </si>
  <si>
    <t>EVER LOADING 1481 - 048W</t>
  </si>
  <si>
    <t>EGLV149202795152</t>
  </si>
  <si>
    <t>HWC2022040568127
HWC2022040568116
HWC2022040568128
HWC2022040568117</t>
  </si>
  <si>
    <t>EMS01J20000238HWA0008H
EMS02R20001275HWA0002H
EMS02R20001211HWA0012H
EMS02R20001275HWA0006H</t>
  </si>
  <si>
    <t>4800016984
4800016828
4800017013</t>
  </si>
  <si>
    <t>EGLV149202729028</t>
  </si>
  <si>
    <t>HWC2022040769847
HWC2022040769848
HWC2022040769867
HWC2022040769868
HWC2022040769846
HWC2022040769849</t>
  </si>
  <si>
    <t>EMS02R20001275HWA0001H
EMS02R20001275HWA0014H
EMS01J20000238HWA0007H
EMS01J20000238HWA0009H
EMS02R20001218HWA0024H
EMS02R20001276HWA0001H</t>
  </si>
  <si>
    <t>4800016984
4800016835
4800017013
4800017014</t>
  </si>
  <si>
    <t>EGLV149202755673</t>
  </si>
  <si>
    <t>HWC2022040467371
HWC2022040467372
HWC2022040467332
HWC2022040467373
HWC2022040467374
HWC2022040467375
HWC2022040467376
HWC2022040467333
HWC2022040467377
HWC2022040467378</t>
  </si>
  <si>
    <t>EMS02R20001211HWA0004H
EMS02R20001211HWA0008H
EMS02R20001211HWA0009H
EMS02R20001211HWA0010H
EMS02R20001216HWA0001H
EMS02R20001216HWA0004H
EMS02R20001216HWA0005H
EMS02R20001218HWA0005H
EMS02R20001218HWA0018H
EMS02S20000222HWA0015H</t>
  </si>
  <si>
    <t>4800016828
4800016833
4800016835
4800016826</t>
  </si>
  <si>
    <t>EGLV149202154734</t>
  </si>
  <si>
    <t>22/0700482-0</t>
  </si>
  <si>
    <t>22/0700862-1</t>
  </si>
  <si>
    <t>22/0703631-5</t>
  </si>
  <si>
    <t>22/0703728-1</t>
  </si>
  <si>
    <t>HWC2022041277369
HWC2022041277370
HWC2022041277371
HWC2022041277368
HWC2022041277367</t>
  </si>
  <si>
    <t>EMS02R20001277HWA0002H
EMS02R20001277HWA0004H
EMS02R20001277HWA0009H
EMS02R20001275HWA0009H
EMS02R20001275HWA0003H</t>
  </si>
  <si>
    <t>4800017013
4800017015</t>
  </si>
  <si>
    <t>EGLV149202881466</t>
  </si>
  <si>
    <t>HWC2022041481000
HWC2022041481061
HWC2022041481062
HWC2022041481055
HWC2022041481056
HWC2022041481057
HWC2022041481063
HWC2022041480999</t>
  </si>
  <si>
    <t>EMS02R20001275HWA0008H
EMS02R20001275HWA0013H
EMS02R20001275HWA0015H
EMS02R20001277HWA0001H
EMS02R20001277HWA0005H
EMS02R20001277HWA0015H
EMS02R20001290HWA0001H
EMS02R20001257HWA0003H</t>
  </si>
  <si>
    <t>4800016977
4800017013
4800017015
4800017050</t>
  </si>
  <si>
    <t>EGLV149202975983</t>
  </si>
  <si>
    <t>HWC2022041682915
HWC2022041682918
HWC2022041682917
HWC2022041682950
HWC2022041682916
HWC2022041682949
HWC2022041682914
HWC2022041682947
HWC2022041682948</t>
  </si>
  <si>
    <t>EMS02R20001275HWA0004H
EMS02R20001277HWA0011H
EMS02R20001277HWA0006H
EMS02R20001277HWA0003H
EMS02R20001276HWA0002H
EMS01J20000238HWA0012H
EMS01J20000238HWA0013H
EMS01J20000238HWA0010H
EMS01J20000238HWA0011H</t>
  </si>
  <si>
    <t>EVER URBAN 0156 - 167W</t>
  </si>
  <si>
    <t>0045424I19</t>
  </si>
  <si>
    <t>0045409I19</t>
  </si>
  <si>
    <t>0045549I19</t>
  </si>
  <si>
    <t>0045665I19</t>
  </si>
  <si>
    <t>0045780I19</t>
  </si>
  <si>
    <t>0045827I19</t>
  </si>
  <si>
    <t>0040119I20</t>
  </si>
  <si>
    <t>0040113I20</t>
  </si>
  <si>
    <t>0040271I20</t>
  </si>
  <si>
    <t>0040116I20</t>
  </si>
  <si>
    <t>0040191I20</t>
  </si>
  <si>
    <t>0040194I20</t>
  </si>
  <si>
    <t>0040268I20</t>
  </si>
  <si>
    <t>0040362I20</t>
  </si>
  <si>
    <t>0040440I20</t>
  </si>
  <si>
    <t>0040365I20</t>
  </si>
  <si>
    <t>0040692I20</t>
  </si>
  <si>
    <t>0040861I20</t>
  </si>
  <si>
    <t>0040831I20</t>
  </si>
  <si>
    <t>0040930I20</t>
  </si>
  <si>
    <t>0040983I20</t>
  </si>
  <si>
    <t>0040996I20</t>
  </si>
  <si>
    <t>0041080I20</t>
  </si>
  <si>
    <t>0041143I20</t>
  </si>
  <si>
    <t>0041214I20</t>
  </si>
  <si>
    <t>0041274I20</t>
  </si>
  <si>
    <t>0041319I20</t>
  </si>
  <si>
    <t>0041382I20</t>
  </si>
  <si>
    <t>0041408I20</t>
  </si>
  <si>
    <t>0041446I20</t>
  </si>
  <si>
    <t>0041483I20</t>
  </si>
  <si>
    <t>0041478I20</t>
  </si>
  <si>
    <t>0041663I20</t>
  </si>
  <si>
    <t>0041658I20</t>
  </si>
  <si>
    <t>0041659I20</t>
  </si>
  <si>
    <t>0041737I20</t>
  </si>
  <si>
    <t>0041723I20</t>
  </si>
  <si>
    <t>0041738I20</t>
  </si>
  <si>
    <t>0041710I20</t>
  </si>
  <si>
    <t>0041872I20</t>
  </si>
  <si>
    <t>0041873I20</t>
  </si>
  <si>
    <t>0042028I20</t>
  </si>
  <si>
    <t>0042027I20</t>
  </si>
  <si>
    <t>0042065I20</t>
  </si>
  <si>
    <t>0042136I20</t>
  </si>
  <si>
    <t>0042241I20</t>
  </si>
  <si>
    <t>0042381I20</t>
  </si>
  <si>
    <t>0042299I20</t>
  </si>
  <si>
    <t>0042446I20</t>
  </si>
  <si>
    <t>0042444I20</t>
  </si>
  <si>
    <t>0042445I20</t>
  </si>
  <si>
    <t>0042490I20</t>
  </si>
  <si>
    <t>0042524I20</t>
  </si>
  <si>
    <t>0042525I20</t>
  </si>
  <si>
    <t>0042564I20</t>
  </si>
  <si>
    <t>0042566I20</t>
  </si>
  <si>
    <t>0042565I20</t>
  </si>
  <si>
    <t>0042726I20</t>
  </si>
  <si>
    <t>0042590I20</t>
  </si>
  <si>
    <t>0042727I20</t>
  </si>
  <si>
    <t>0042728I20</t>
  </si>
  <si>
    <t>0042730I20</t>
  </si>
  <si>
    <t>0042747I20</t>
  </si>
  <si>
    <t>0042729I20</t>
  </si>
  <si>
    <t>0042731I20</t>
  </si>
  <si>
    <t>0042876I20</t>
  </si>
  <si>
    <t>0042881I20</t>
  </si>
  <si>
    <t>0042880I20</t>
  </si>
  <si>
    <t>0043066I20</t>
  </si>
  <si>
    <t>0043123I20</t>
  </si>
  <si>
    <t>0043355I20</t>
  </si>
  <si>
    <t>0043418I20</t>
  </si>
  <si>
    <t>0043391I20</t>
  </si>
  <si>
    <t>0043468I20</t>
  </si>
  <si>
    <t>0043434I20</t>
  </si>
  <si>
    <t>0043596I20</t>
  </si>
  <si>
    <t>0043658I20</t>
  </si>
  <si>
    <t>0043659I20</t>
  </si>
  <si>
    <t>0043498I20</t>
  </si>
  <si>
    <t>0043660I20</t>
  </si>
  <si>
    <t>0043657I20</t>
  </si>
  <si>
    <t>0043953I20</t>
  </si>
  <si>
    <t>0043800I20</t>
  </si>
  <si>
    <t>0044227I20</t>
  </si>
  <si>
    <t>0044318I20</t>
  </si>
  <si>
    <t>0044461I20</t>
  </si>
  <si>
    <t>0044488I20</t>
  </si>
  <si>
    <t>0040255I19</t>
  </si>
  <si>
    <t>0041061I19</t>
  </si>
  <si>
    <t>0041062I19</t>
  </si>
  <si>
    <t>0041303I19</t>
  </si>
  <si>
    <t>0041304I19</t>
  </si>
  <si>
    <t>0041639I19</t>
  </si>
  <si>
    <t>0041637I19</t>
  </si>
  <si>
    <t>0041660I19</t>
  </si>
  <si>
    <t>0041666I19</t>
  </si>
  <si>
    <t>0041775I19</t>
  </si>
  <si>
    <t>0041927I19</t>
  </si>
  <si>
    <t>0041959I19</t>
  </si>
  <si>
    <t>0042185I19</t>
  </si>
  <si>
    <t>0042186I19</t>
  </si>
  <si>
    <t>0042211I19</t>
  </si>
  <si>
    <t>0042254I19</t>
  </si>
  <si>
    <t>0042389I19</t>
  </si>
  <si>
    <t>0042576I19</t>
  </si>
  <si>
    <t>0043337I19</t>
  </si>
  <si>
    <t>0042901I19</t>
  </si>
  <si>
    <t>0043021I19</t>
  </si>
  <si>
    <t>0043524I19</t>
  </si>
  <si>
    <t>0043647I19</t>
  </si>
  <si>
    <t>0043672I19</t>
  </si>
  <si>
    <t>0043723I19</t>
  </si>
  <si>
    <t>0043826I19</t>
  </si>
  <si>
    <t>0043986I19</t>
  </si>
  <si>
    <t>0043939I19</t>
  </si>
  <si>
    <t>0044061I19</t>
  </si>
  <si>
    <t>0044404I19</t>
  </si>
  <si>
    <t>0044603I19</t>
  </si>
  <si>
    <t>0044698I19</t>
  </si>
  <si>
    <t>0044803I19</t>
  </si>
  <si>
    <t>0045041I19</t>
  </si>
  <si>
    <t>0045222I19</t>
  </si>
  <si>
    <t>0045381I19</t>
  </si>
  <si>
    <t>0045385I19</t>
  </si>
  <si>
    <t>SHW-40951I22</t>
  </si>
  <si>
    <t>SHW-41027I22</t>
  </si>
  <si>
    <t>SHW-41218I22</t>
  </si>
  <si>
    <t>SHW-41219I22</t>
  </si>
  <si>
    <t>SHW-41220I22</t>
  </si>
  <si>
    <t>SHW-41221I22</t>
  </si>
  <si>
    <t>SHW-41236I22</t>
  </si>
  <si>
    <t>SHW-41278I22</t>
  </si>
  <si>
    <t>SHW-41421I22</t>
  </si>
  <si>
    <t>SHW-41493I22</t>
  </si>
  <si>
    <t>SHW-41597I22</t>
  </si>
  <si>
    <t>SHW-41598I22</t>
  </si>
  <si>
    <t>SHW-41715I22</t>
  </si>
  <si>
    <t>SHW-41817I22</t>
  </si>
  <si>
    <t>SHW-41818I22</t>
  </si>
  <si>
    <t>SHW-41819I22</t>
  </si>
  <si>
    <t>SHW-41820I22</t>
  </si>
  <si>
    <t>SHW-41821I22</t>
  </si>
  <si>
    <t>SHW-41939I22</t>
  </si>
  <si>
    <t>SHW-41940I22</t>
  </si>
  <si>
    <t>SHW-42040I22</t>
  </si>
  <si>
    <t>SHW-42041I22</t>
  </si>
  <si>
    <t>SHW-42042I22</t>
  </si>
  <si>
    <t>SHW-42044I22</t>
  </si>
  <si>
    <t>HWC2022042290644
HWC2022042290643
HWC2022042290646
HWC2022042290645</t>
  </si>
  <si>
    <t>EMS01J20000238HWA0019H
EMS01J20000238HWA0015H
EMS02R20001275HWA0007H
EMS01J20000244HWA0001H</t>
  </si>
  <si>
    <t>EGLV149203226267</t>
  </si>
  <si>
    <t>TIAN XIANG HE 082W</t>
  </si>
  <si>
    <t>4800016984
4800017061
4800017013</t>
  </si>
  <si>
    <t>4800016984
4800017013
4800017014
4800017015</t>
  </si>
  <si>
    <t>EGLV149202744639</t>
  </si>
  <si>
    <t>HWC2022042088321
HWC2022042088296
HWC2022042088320
HWC2022042088295
HWC2022042088294</t>
  </si>
  <si>
    <t>EMS02R20001211HWA0019H
EMS02R20001211HWA0017H
EMS02R20001211HWA0018H
EMS01J20000239HWA0003H
EMS01J20000238HWA0003H</t>
  </si>
  <si>
    <t>EGLV149203147821</t>
  </si>
  <si>
    <t>4800016984
4800016988
4800016828</t>
  </si>
  <si>
    <t>HWC2022041986873
HWC2022041986874
HWC2022041986875
HWC2022041986876
HWC2022041986877
HWC2022041986878
HWC2022041986879</t>
  </si>
  <si>
    <t>EMS02R20001211HWA0014H
EMS02R20001211HWA0016H
EMS02R20001275HWA0005H
EMS02R20001284HWA0002H
EMS02R20001290HWA0002H
EMS02R20001295HWA0001H
EMS02R20001295HWA0003H</t>
  </si>
  <si>
    <t>4800016828
4800017013
4800017039
4800017050
4800017058</t>
  </si>
  <si>
    <t>EGLV149203087674</t>
  </si>
  <si>
    <t>*Shenker*
24/02 - Recebidas Invoices
25/02 - Recebido BL_149201439107-draft
TXGU5826652 / 40H / EMCMPQ5051 / 43 CASES
02/03 - Tender: HTM2022022401776
Material coletado em 2022-02-25 - ETA SSZ 2022-04-13
25/03 - Previsão de atracação 31/03/2022 06:00
01/04 - DataEntrada: 01/04/2022 08:36:08
Sem divergência de peso
SIGVIG Liberado.
13/04 - DI registrada - Canal verde - entrega programada para 19/04.
19/04 - Material entregue.</t>
  </si>
  <si>
    <t>*Shenker*
28/02 - Recebidas Invoices
04/03 - Recebido BL_149201076624-draft
EITU9363171 / 40H / EMCPJM1331 / 44 CASES
Tender: HTM2022022601915
Material coletado em 2022-02-27 - ETA SSZ 2022-04-15
05/04 - Data Atracação 05/04/2022 06:00:00
Sem divergência de peso
SIGVIG Liberado.
13/04 - DI registrada - Canal verde - entrega programada para 18/04.
18/04 - Material entregue.</t>
  </si>
  <si>
    <t>*Shenker*
07/03 - Recebidas Invoices
08/03 - Recebido BL_149201678829-draft
EGSU9076575 / 40H / EMCPJG2251 / 41 CASES
Tender: HTM2022030502452
Material coletado em 2022-03-07 - ETA SSZ 2022-04-23
12/04 - Data Atracação 11/04/2022 17:30:00
Sem divergência de peso
SIGVIG Liberado.
13/04 - DI registrada - Canal verde - entrega programada para 14/04.
14/04 - Material entregue.</t>
  </si>
  <si>
    <t>*Shenker*
03/03 - Recebidas Invoices
06/03 - Recebido BL_149201076811-draft
EMCU8262895 / 40H / EMCHZL3361 / 58 CASES
Tender: HTM2022030204475
Material coletado em 2022-03-04 - ETA SSZ 2022-04-20
12/04 - Data Atracação 11/04/2022 17:30:00
Sem divergência de peso
SIGVIG Liberado.
13/04 - DI registrada - Canal verde - entrega programada para 19/04.
19/04 - Material entregue.</t>
  </si>
  <si>
    <t>SHW-45826I21</t>
  </si>
  <si>
    <t>SHW-45827I21</t>
  </si>
  <si>
    <t>SHW-45922I21</t>
  </si>
  <si>
    <t>SHW-45924I21</t>
  </si>
  <si>
    <t>SHW-45942I21</t>
  </si>
  <si>
    <t>SHW-46020I21</t>
  </si>
  <si>
    <t>SHW-46371I21</t>
  </si>
  <si>
    <t>SHW-46369I21</t>
  </si>
  <si>
    <t>SHW-46370I21</t>
  </si>
  <si>
    <t>SHW-46372I21</t>
  </si>
  <si>
    <t>SHW-46021I21</t>
  </si>
  <si>
    <t>SHW-46373I21</t>
  </si>
  <si>
    <t>SHW-46439I21</t>
  </si>
  <si>
    <t>SHW-46022I21</t>
  </si>
  <si>
    <t>SHW-46023I21</t>
  </si>
  <si>
    <t>SHW-46368I21</t>
  </si>
  <si>
    <t>SHW-46468I21</t>
  </si>
  <si>
    <t>SHW-46470I21</t>
  </si>
  <si>
    <t>SHW-46440I21</t>
  </si>
  <si>
    <t>SHW-46441I21</t>
  </si>
  <si>
    <t>SHW-40215I22</t>
  </si>
  <si>
    <t>SHW-40216I22</t>
  </si>
  <si>
    <t>SHW-40235I22</t>
  </si>
  <si>
    <t>SHW-40358I22</t>
  </si>
  <si>
    <t>SHW-40510I22</t>
  </si>
  <si>
    <t>SHW-40516I22</t>
  </si>
  <si>
    <t>SHW-40518I22</t>
  </si>
  <si>
    <t>SHW-40519I22</t>
  </si>
  <si>
    <t>SHW-40520I22</t>
  </si>
  <si>
    <t>SHW-40521I22</t>
  </si>
  <si>
    <t>SHW-40522I22</t>
  </si>
  <si>
    <t>SHW-40523I22</t>
  </si>
  <si>
    <t>SHW-40594I22</t>
  </si>
  <si>
    <t>SHW-40599I22</t>
  </si>
  <si>
    <t>SHW-40592I22</t>
  </si>
  <si>
    <t>SHW-40593I22</t>
  </si>
  <si>
    <t>SHW-40601I22</t>
  </si>
  <si>
    <t>SHW-40950I22</t>
  </si>
  <si>
    <t>SHW-40071I22</t>
  </si>
  <si>
    <t>SHW-40072I22</t>
  </si>
  <si>
    <t>SHW-40048I22</t>
  </si>
  <si>
    <t>SHW-40069I22</t>
  </si>
  <si>
    <t>SHW-40068I22</t>
  </si>
  <si>
    <t>SHW-40070I22</t>
  </si>
  <si>
    <t>SHW-40600I22</t>
  </si>
  <si>
    <t>HWC2022041784243
HWC2022041784242
HWC2022041784220
HWC2022041784241
HWC2022041784245
HWC2022041784244
HWC2022041784246
HWC2022041784247</t>
  </si>
  <si>
    <t>EMS01J20000240HWA0001H
EMS01J20000238HWA0006H
EMS01J20000238HWA0002H
EMS01J20000238HWA0004H
EMS02R20001277HWA0013H
EMS02R20001277HWA0007H
EMS02R20001277HWA0014H
EMS02R20001277HWA0016H</t>
  </si>
  <si>
    <t>4800016984
4800016989
4800017015</t>
  </si>
  <si>
    <t>EGLV149203030354</t>
  </si>
  <si>
    <t>22/0820622-2</t>
  </si>
  <si>
    <t>22/0819699-5</t>
  </si>
  <si>
    <t>22/0816277-2</t>
  </si>
  <si>
    <t>SHW-42323I22</t>
  </si>
  <si>
    <t>SHW-42324I22</t>
  </si>
  <si>
    <t>SHW-42325I22</t>
  </si>
  <si>
    <t>HWC2022042594234
HWC2022042594233
HWC2022042594231
HWC2022042594232
HWC2022042594230
HWC2022042594229</t>
  </si>
  <si>
    <t>EMS02R20001304HWA0008H
EMS02R20001304HWA0005H
EMS02R20001275HWA0010H
EMS02R20001275HWA0011H
EMS01J20000247HWA0004H
EMS01J20000247HWA0003H</t>
  </si>
  <si>
    <t>4800017067
4800017013
4800017091</t>
  </si>
  <si>
    <t>KURE 021W</t>
  </si>
  <si>
    <t>EGLV149203278267</t>
  </si>
  <si>
    <t>HWC2022042796825
HWC2022042796827
HWC2022042796759
HWC2022042796826
HWC2022042796760
HWC2022042796823
HWC2022042796822
HWC2022042796824
HWC2022042796758
HWC2022042796821</t>
  </si>
  <si>
    <t>EMS02R20001257HWA0004H
EMS02R20001304HWA0009H
EMS01J20000247HWA0001H
EMS02R20001304HWA0001H
EMS01J20000247HWA0002H
EMS01J20000247HWA0014H
EMS01J20000247HWA0012H
EMS01J20000247HWA0015H
EMS01J20000238HWA0014H
EMS01J20000247HWA0007H</t>
  </si>
  <si>
    <t>EGLV149203419146</t>
  </si>
  <si>
    <t>4800016984
4800017067
4800016977
4800017091</t>
  </si>
  <si>
    <t>EMS01J20000238HWA0001H
EMS01J20000238HWA0005H
EMS01J20000238HWA0016H
EMS01J20000239HWA0001H
EMS01J20000247HWA0006H
EMS01J20000247HWA0013H
EMS01J20000248HWA0001H
EMS02R20001304HWA0010H</t>
  </si>
  <si>
    <t>*Shenker*
24/03 - Recebidas Invoices
27/03 - Tender: HTM2022032304394
Material coletado em 2022-03-27 - ETA SSZ 2022-05-13
29/03 - Recebido BL_149202319202-draft
DRYU2765075 / 20' / EMCMQU8271 / 21 CASES
02/05 - Data Entrada: 30/04/2022 12:16:20
Sem divergência de peso
SIGVIG Liberado.
DI registrada - Canal verde - entrega programada para 04/05.
04/05 - Material entregue.</t>
  </si>
  <si>
    <t>*Shenker*
22/03 - Recebidas Invoices
23/03 - Recebido BL_149201522748-draft
DFSU6689919 / 40H / EMCMPS6941 / 59 CASES
25/03 - Tender: HTM2022032101047
Material coletado em 2022-03-22 - ETA SSZ 2022-05-08
02/05 - Data Entrada: 30/04/2022 17:47:54
Sem divergência de peso
SIGVIG Liberado.
DI registrada - Canal verde - entrega programada para 04/05.
04/05 - Material entregue.</t>
  </si>
  <si>
    <t>*Shenker*
28/03 - Recebidas Invoices
29/03 - Recebido BL_149202362493-draft
EISU9152621 / 40H / EMCMNV9641 / 40 CASES
31/03 - Tender: HTM2022032800987
Material coletado em 2022-03-28 - ETA SSZ 2022-05-14
02/05 - Data Entrada: 30/04/2022 18:02:34
Sem divergência de peso
SIGVIG Liberado.
DI registrada - Canal verde - entrega programada para 04/05.
04/05 - Material entregue.</t>
  </si>
  <si>
    <t>4800016826
4800016932
4800016835
4800016826</t>
  </si>
  <si>
    <t>4800016984
4800016988
4800017067
4800017078
4800017091</t>
  </si>
  <si>
    <t>EGLV149203456700</t>
  </si>
  <si>
    <t>22/0867631-8</t>
  </si>
  <si>
    <t>SHW-42374I22</t>
  </si>
  <si>
    <t>HWC2022050505602
HWC2022050505584
HWC2022050505603</t>
  </si>
  <si>
    <t>EMS02R20001304HWA0011H
EMS02R20001304HWA0012H
EMS02R20001304HWA0013H</t>
  </si>
  <si>
    <t>EGLV149203254392</t>
  </si>
  <si>
    <t>YM TRUST 003W</t>
  </si>
  <si>
    <t>22/0868436-1</t>
  </si>
  <si>
    <t>22/0870114-2</t>
  </si>
  <si>
    <t>22/0870366-8</t>
  </si>
  <si>
    <t>22/0870649-7</t>
  </si>
  <si>
    <t>22/0870886-4</t>
  </si>
  <si>
    <t>SHW-42383I22</t>
  </si>
  <si>
    <t>SHW-42384I22</t>
  </si>
  <si>
    <t>SHW-42385I22</t>
  </si>
  <si>
    <t>HWC2022050606883
HWC2022050606881
HWC2022050606862
HWC2022050606882</t>
  </si>
  <si>
    <t>EMS02R20001304HWA0007H
EMS01J20000250HWA0001H
EMS02R20001295HWA0002H
EMS02R20001304HWA0002H</t>
  </si>
  <si>
    <t>4800017100
4800017058
4800017091</t>
  </si>
  <si>
    <t>EGLV149203623380</t>
  </si>
  <si>
    <t>HWC2022050909989
HWC2022050909990
HWC2022050909970</t>
  </si>
  <si>
    <t>EMS02R20001304HWA0004H
EMS02R20001304HWA0006H
EMS02R20001316HWA0002H</t>
  </si>
  <si>
    <t>4800017091
4800017148</t>
  </si>
  <si>
    <t>EGLV149203692918</t>
  </si>
  <si>
    <t>*Shenker*
29/03 - Recebidas Invoices
31/03 - Recebido BL_149201522853-draft
EMCU8609433 / 40H / EMCMQZ7541 / 38 CASES
Tender: HTM2022032903106
Material coletado em 2022-03-30 - ETA SSZ 2022-05-16
09/05 - DataEntrada: 07/05/2022 08:55:54
Sem divergência de peso
SIGVIG Liberado.
DI Registrada - Canal verde - entrega programada para 10/05.
10/05 - Material entregue.</t>
  </si>
  <si>
    <t>*Shenker*
31/03 - Recebidas Invoices
01/04 - Recebido BL_149202556514-draft
EITU1075902 / 40H / EMCMPS4681 / 47 CASES
02/04 - Tender: HTM2022033101156
Material coletado em 2022-04-01 - ETA SSZ 2022-05-17
09/05 - Data Entrada: 07/05/2022 09:24:44
Com Divergência %: -40.81 - Devido a urgência do material não será solicitada repesagem
SIGVIG Liberado.
DI Registrada - Canal verde - entrega programada para 10/05.
10/05 - Material entregue.</t>
  </si>
  <si>
    <t>*Shenker*
08/03 - Recebidas Invoices
14/03 - Recebido BL_149201870312-draft
FCIU4513803 / 20' / EMCPJJ4261 / 17 CASES
OCGU8090390 / 40H / EMCPJJ4571 / 58 CASES
15/03 - Tender: HTM2022030904082
Material coletado em 2022-03-12 - ETA SSZ 2022-04-29
09/05 - Data Atracação 08/05/2022 11:46:00
Sem divergência de peso
SIGVIG Liberado.
DI Registrada - Canal verde - entrega programada para 12/05.
12/05 - Material entregue.</t>
  </si>
  <si>
    <r>
      <t>*Shenker*
08/03 - Recebidas Invoices
14/03 - Recebido BL_149201870266-draft
TLLU4844492 / 40H / EMCPJJ2571 / 53 CASES
15/03 - Tender: HTM2022030800773
Material coletado em 2022-03-12 - ETA SSZ 2022-04-28
09/05 - Data Atracação 08/05/2022 11:46:00</t>
    </r>
    <r>
      <rPr>
        <b/>
        <sz val="9"/>
        <rFont val="Arial"/>
        <family val="2"/>
      </rPr>
      <t xml:space="preserve">
</t>
    </r>
    <r>
      <rPr>
        <sz val="9"/>
        <rFont val="Arial"/>
        <family val="2"/>
      </rPr>
      <t>Sem divergência de peso
SIGVIG Liberado.
DI Registrada - Canal verde - entrega programada para 12/05.
12/05 - Material entregue.</t>
    </r>
  </si>
  <si>
    <t>HWC2022051011278
HWC2022051011287
HWC2022051011279
HWC2022051011288
HWC2022051011289</t>
  </si>
  <si>
    <t>EMS02R20001316HWA0003H
EMS02R20001317HWA0002H
EMS02R20001317HWA0006H
EMS02R20001317HWA0007H
EMS02S20000222HWA0013H</t>
  </si>
  <si>
    <t>4800017148
4800017149
4800016826</t>
  </si>
  <si>
    <t>EGLV149203696239</t>
  </si>
  <si>
    <t>HWC2022042999548
HWC2022042999549
HWC2022042999550
HWC2022042999551
HWC2022042999563
HWC2022042999564
HWC2022042999565
HWC2022042999566</t>
  </si>
  <si>
    <t>SHW-42470I22</t>
  </si>
  <si>
    <t>SHW-42471I22</t>
  </si>
  <si>
    <t>4800016835
4800017091
4800017147
4800017149</t>
  </si>
  <si>
    <t>HWC2022051416010
HWC2022051416009
HWC2022051416011
HWC2022051416000
HWC2022051416012</t>
  </si>
  <si>
    <t>EMS02R20001304HWA0003H
EMS02R20001218HWA0011H
EMS02R20001315HWA0007H
EMS02R20001315HWA0011H
EMS02R20001317HWA0004H</t>
  </si>
  <si>
    <t>CMA CGM RODOLPHE 0AAC1W1MA</t>
  </si>
  <si>
    <t>EGLV149203254414</t>
  </si>
  <si>
    <t>HWC2022051718519
HWC2022051718520
HWC2022051718561
HWC2022051718543
HWC2022051718544</t>
  </si>
  <si>
    <t>EMS02R20001315HWA0002H
EMS02R20001315HWA0006H
EMS02R20001315HWA0028H
EMS02R20001317HWA0005H
EMS02R20001317HWA0011H</t>
  </si>
  <si>
    <t>4800017147
4800017149</t>
  </si>
  <si>
    <t>EGLV149203884728</t>
  </si>
  <si>
    <t>*Shenker*
11/03 - Recebidas Invoices
14/03 - Recebido BL_149201773384-draft
EITU1593265 / 40H / EMCPJJ4681 / 45 CASES
15/03 - Tender: HTM2022031100690
Material coletado em 2022-03-11 - ETA SSZ 2022-04-27
09/05 - Data Atracação 08/05/2022 11:46:00
Sem divergência de peso
SIGVIG Liberado.
DI Registrada - Canal verde - entrega programada para 16/05.
17/05 - Material entregue</t>
  </si>
  <si>
    <t>*Shenker*
14/03 - Recebidas Invoices
15/03 - Tender: HTM2022031201040
Material coletado em 2022-03-13 - ETA SSZ 2022-04-29
Recebido BL_149201872072-draft
TLLU5367530 / 40H / EMCPJP7591 / 46 CASES
09/05 - Data Atracação 08/05/2022 11:46:00
Sem divergência de peso
SIGVIG Liberado.
DI Registrada - Canal verde - entrega programada para 16/05.
17/05 - Material entregue</t>
  </si>
  <si>
    <t>22/0968254-0</t>
  </si>
  <si>
    <t>22/0968815-8</t>
  </si>
  <si>
    <t>22/0969022-5</t>
  </si>
  <si>
    <t>22/0968441-1</t>
  </si>
  <si>
    <t>SHW-42608I22</t>
  </si>
  <si>
    <t>SHW-42609I22</t>
  </si>
  <si>
    <t>22/0979067-0</t>
  </si>
  <si>
    <t>*Shenker*
06/04 - Recebidas Invoices
08/04 - Recebido BL_149202154734-draft
EGHU3291010 / 20' / EMCMPD2531 / 26 CASES
EGHU9274387 / 40H / EMCMPF9001 / 46 CASES
09/04 - Tender: HTM2022040401796
Material coletado em 2022-04-07 - ETA SSZ 2022-05-24
23/05 - DI registrada - Canal verde - entrega programada para 24/05
24/05 - Material entregue.</t>
  </si>
  <si>
    <t>HWC2022052123785
HWC2022052123786
HWC2022052123787
HWC2022052123788
HWC2022052123789
HWC2022052123790</t>
  </si>
  <si>
    <t>EMS02R20001315HWA0014H
EMS02R20001315HWA0015H
EMS02R20001316HWA0001H
EMS02R20001316HWA0004H
EMS02R20001317HWA0003H
EMS02R20001327HWA0005H</t>
  </si>
  <si>
    <t>4800017179
4800017147
4800017148
4800017149</t>
  </si>
  <si>
    <t>EGLV149204048834</t>
  </si>
  <si>
    <t>HWC2022052324886
HWC2022052324902
HWC2022052324887</t>
  </si>
  <si>
    <t>EMS02R20001315HWA0016H
EMS02R20001315HWA0008H
EMS02R20001315HWA0032H</t>
  </si>
  <si>
    <t>*Shenker*
06/04 - Recebidas Invoices
08/04 - Recebido BL_149202729028-draft
EGHU9589743 / 40H / EMCMQU1021 / 59 CASES
09/04 - Tender: HTM2022040502400
Material coletado em 2022-04-07 - ETA SSZ 2022-05-24
23/05 - Data Entrada: 23/05/2022 07:29:26
Sem divergência de peso
SIGVIG Liberado.
DI registrada - Canal verde - entrega programada para 24/05
24/05 - Material entregue.</t>
  </si>
  <si>
    <t>22/0990200-1</t>
  </si>
  <si>
    <t>22/0994508-8</t>
  </si>
  <si>
    <t>22/0994752-8</t>
  </si>
  <si>
    <t>22/0995358-7</t>
  </si>
  <si>
    <t>22/0995163-0</t>
  </si>
  <si>
    <t>*Shenker*
11/04 - Recebidas Invoices
12/04 - Recebido BL_149202795152-draft
EGHU9763069 / 40H / EMCMQH2581 / 48 CASES
02/04 - Tender: HTM2022041000805
Material coletado em 2022-04-10 - ETA SSZ 2022-05-27
23/05 - DataEntrada: 23/05/2022 02:31:15
Sem divergência de peso
SIGVIG Liberado.
24/05 - DI registrada - Canal verde - entrega programada para 26/05.
26/05 - Material entregue.</t>
  </si>
  <si>
    <t>*Shenker*
07/04 - Recebidas Invoices
08/04 - Recebido BL_149202755673-draft
EGHU3331710 / 20' / EMCMPK9471 / 23 CASES
09/04 - Tender: HTM2022040700925
Material coletado em 2022-04-08 - ETA SSZ 2022-05-24
23/05 - Data Entrada: 23/05/2022 09:27:24
Sem divergência de peso
SIGVIG Liberado.
DI registrada - Canal verde - entrega programada para 25/05
25/05 - Material entregue.</t>
  </si>
  <si>
    <t>*Shenker*
14/04 - Recebidas Invoices
16/04 - Recebido BL_149202975983-draft
HMCU3023041 / 20' / EMCMQH9311 / 32 CASES
EMCU8715604 / 40H / EMCMQC1371 / 47 CASES
19/04 - Tender: HTM2022041404047
Material coletado em 2022-04-15 - ETA SSZ 2022-06-01
23/05 - Data Entrada: 23/05/2022 09:33:44
Sem divergência de peso
SIGVIG Liberado.
DI registrada - Canal verde - entrega programada para 25/05
25/05 - Material entregue.</t>
  </si>
  <si>
    <t>*Shenker*
12/04 - Recebidas Invoices
13/04 - Recebido BL_149202881466-draft
EGHU9256357 / 40H / EMCMQF0581 / 45 CASES
15/04 - Tender: HTM2022041200876
Material coletado em 2022-04-12 - ETA SSZ 2022-05-29
23/05 - Data Entrada: 23/05/2022 07:46:56
Sem divergência de peso
SIGVIG Liberado.
25/05 - DI registrada - Canal verde - entrega programada para 27/05.
27/05 - Material entregue.</t>
  </si>
  <si>
    <t>*Shenker*
18/04 - Recebidas Invoices
19/04 - Recebido BL_149202744639-draft
EMCU8291023 / 40H / EMCHZQ3281 / 38 CASES
22/04 - Tender: HTM2022041600741
Material coletado em 2022-04-17 -ETA SSZ 2022-06-03
26/05 - Data Atracação 25/05/2022 02:40:00
Sem divergência de peso
SIGVIG Liberado.
DI Registrada - Canal verde - entrega programada para 27/05.
27/05 - Material entregue.</t>
  </si>
  <si>
    <t>*Shenker*
25/04 - Recebidas Invoices
26/04 - Recebido BL_149203226267-draft
EITU0427167 / 20' / EMCMMP1831 / 37 CASES
Tender: HTM2022042201106
Material coletado em 2022-04-22 -ETA SSZ 2022-06/08
26/05 - Data Atracação 25/05/2022 02:40:00
Sem divergência de peso
SIGVIG Liberado.
DI Registrada - Canal verde - entrega programada para 27/05.
27/05 - Material entregue.</t>
  </si>
  <si>
    <t>*Shenker*
20/04 - Recebidas Invoices
26/04 - Recebido BL_149203147821-draft
EITU0427167 / 20' / EMCMMP1831 / 37 CASES
Tender: HTM2022042201106
Material coletado em 2022-04-22 -ETA SSZ 2022-06/08
26/05 - Data Atracação 25/05/2022 02:40:00
Sem divergência de peso
SIGVIG Liberado.
DI Registrada - Canal verde - entrega programada para 27/05.
27/05 - Material entregue.</t>
  </si>
  <si>
    <t>*Shenker*
21/04 - Recebidas Invoices
22/04 - Tender: HTM2022041700647
Material coletado em 2022-04-18 -ETA SSZ 2022-06-04
26/04 - Recebido BL_149203030354-draft
EGSU9049796 / 40H/ EMCPJD0441 / 105 CASES
26/05 - Data Atracação 25/05/2022 02:40:00
Sem divergência de peso
SIGVIG Liberado.
DI Registrada - Canal verde - entrega programada para 27/05.
27/05 - Material entregue.</t>
  </si>
  <si>
    <t>KOTA PUSAKA 0019W</t>
  </si>
  <si>
    <t>EGLV149204030722</t>
  </si>
  <si>
    <t>22/1037305-0</t>
  </si>
  <si>
    <t>SHW-42747I22</t>
  </si>
  <si>
    <t>HWC2022052630039
HWC2022052630038
HWC2022052630035
HWC2022052630036
HWC2022052630037</t>
  </si>
  <si>
    <t>EMS02R20001331HWA0001H
EMS02R20001315HWA0030H
EMS02R20001315HWA0009H
EMS02R20001315HWA0010H
EMS02R20001315HWA0017H</t>
  </si>
  <si>
    <t>4800017147
4800017178</t>
  </si>
  <si>
    <t>EGLV149204030374</t>
  </si>
  <si>
    <t>COSCO SHIPPING DANUBE 032W</t>
  </si>
  <si>
    <t>SHW-42870I22</t>
  </si>
  <si>
    <t>HWC2022060237750
HWC2022060237751
HWC2022060237766
HWC2022060237746
HWC2022060237748
HWC2022060237763
HWC2022060237764
HWC2022060237765
HWC2022060237747
HWC2022060237749</t>
  </si>
  <si>
    <t>EMS02S20000227HWA0002H
EMS02S20000227HWA0003H
EMS02S20000227HWA0004H
EMS02R20001315HWA0018H
EMS02R20001317HWA0001H
EMS02R20001315HWA0003H
EMS02R20001315HWA0005H
EMS02R20001315HWA0013H
EMS02R20001315HWA0019H
EMS02R20001334HWA0001H</t>
  </si>
  <si>
    <t>BBU L10
RRU L10
272J</t>
  </si>
  <si>
    <t>4800017147
4800017149
4800017210
4800016905</t>
  </si>
  <si>
    <t>EGLV149204409772</t>
  </si>
  <si>
    <t>SHW-42893I22</t>
  </si>
  <si>
    <t>HWC2022060945618
HWC2022060945619
HWC2022060945624
HWC2022060945625
HWC2022060945615
HWC2022060945616
HWC2022060945617</t>
  </si>
  <si>
    <t>EMS02R20001327HWA0002H
EMS02R20001327HWA0010H
EMS02R20001346HWA0002H
EMS02R20001346HWA0004H
EMS02R20001236HWA0001K
EMS02R20001315HWA0001H
EMS02R20001315HWA0004H</t>
  </si>
  <si>
    <t>RRU L06
RRU L10
272J</t>
  </si>
  <si>
    <t>EGLV149204232147</t>
  </si>
  <si>
    <t>4800016907
4800017147
4800017179
4800017265</t>
  </si>
  <si>
    <t>22/1148689-3</t>
  </si>
  <si>
    <t>22/1157857-7</t>
  </si>
  <si>
    <t>22/1161021-7</t>
  </si>
  <si>
    <t>22/1161836-6</t>
  </si>
  <si>
    <t>SHW-43079I22</t>
  </si>
  <si>
    <t>SHW-43080I22</t>
  </si>
  <si>
    <t>SHW-43081I22</t>
  </si>
  <si>
    <t>SHW-43082I22</t>
  </si>
  <si>
    <t>HWC2022061046091
HWC2022061046117
HWC2022061046115
HWC2022061046118
HWC2022061046116
HWC2022061046090</t>
  </si>
  <si>
    <t>EMS02R20001342HWA0003H
EMS02R20001315HWA0022H
EMS02R20001315HWA0012H
EMS02R20001317HWA0008H
EMS02R20001315HWA0020H
EMS02R20001315HWA0021H</t>
  </si>
  <si>
    <t>4800017147
4800017149
4800017237</t>
  </si>
  <si>
    <t>EGLV149204542961</t>
  </si>
  <si>
    <t>CMA CGM LITANI 0BDCMW1MA</t>
  </si>
  <si>
    <t>HWC2022061450195
HWC2022061450193
HWC2022061450194
HWC2022061450192
HWC2022061450169
HWC2022061450191</t>
  </si>
  <si>
    <t>EMS02R20001317HWA0012H
EMS02R20001317HWA0009H
EMS02R20001317HWA0010H
EMS02R20001315HWA0026H
EMS02R20001315HWA0024H
EMS02R20001315HWA0025H</t>
  </si>
  <si>
    <t>EGLV149204819385</t>
  </si>
  <si>
    <t>*Shenker*
09/05 - Recebidas Invoices
10/05 - Recebido BL_149203623380-draft
TCLU3565457 / 20' / EMCPHA6361 / 35 CASES
Tender: HTM2022050604420
Material coletado em 2022-05-07 -ETA SSZ 2022-06-22
17/06 - Data Entrada: 15/06/2022 17:47:38
Com Divergência %-9,99
SIGVIG: Retido
Inspeção de madeira agendando para segunda-feira (20/06).
20/06 - DI registrada - Canal verde - entrega programada para 21/06.
21/06 - Material entregue.</t>
  </si>
  <si>
    <t>*Shenker*
10/05 - Recebidas Invoices
10/05 - Recebido BL_149203696239-draft
EGHU9768688 / 40H / EMCPFS4141 / 35 CASES
11/05 - Tender: HTM2022051002464
Material coletado em 2022-05-11 -ETA SSZ 2022-06-27
Com divergência de peso de -22,83%
SIGVIG: Liberado
21/06 - DI registrada - Canal verde - entrega programada para 22/06.
22/06 - Material entregue.</t>
  </si>
  <si>
    <t>*Shenker*
20/04 - Recebido BL_149203087674-draft
EITU1722850 / 40H/ EMCMMP7261 / 49 CASES
22/04 - Tender: HTM2022041901245
Material coletado em 2022-04-19 -ETA SSZ 2022-06-05
26/05 - Data Atracação 25/05/2022 02:40:00
Sem divergência de peso
SIGVIG Liberado.
01/06 - DI registrada - canal verde - entrega programada para 03/06.
03/06 - Material entregue.</t>
  </si>
  <si>
    <t>*Shenker*
06/05 - Recebidas Invoices
07/05 - Recebido BL_149203254392-draft
TNCU3776837 / 40H / EMCPFU1001 / 45 CASES
10/05 - Tender: HTM2022050505470
Material coletado em 2022-05-06 -ETA SSZ 2022-06-22
17/06 - DataEntrada: 16/06/2022 00:56:33
Sem divergência de peso
SIGVIG Liberado.
20/06 - DI registrada - Canal verde - entrega programada para 22/06.
22/06 - Material entregue.</t>
  </si>
  <si>
    <t>*Shenker*
09/05 - Recebidas Invoices
10/05 - Recebido BL_149203692918-draft
EMCU8640887 / 40H / EMCPFV7781 / 38 CASES
11/05 - Tender: HTM2022050903083
Material coletado em 2022-05-10 -ETA SSZ 2022-06-26
15/06 - DataEntrada: 15/06/2022 05:51:38
Com Divergência %14,1
SIGVIG: Retido
Inspeção de madeira ficou para segunda-feira (20/06).
RELACRE DM42636
20/06 - DI registrada - Canal verde - entrega programada para 21/06.
22/06 - Material entregue.</t>
  </si>
  <si>
    <t>HWC2022061653242
HWC2022061653243
HWC2022061653244
HWC2022061653245</t>
  </si>
  <si>
    <t>EMS02R20001257HWA0001H
EMS02R20001315HWA0027H
EMS02R20001315HWA0029H
EMS02R20001315HWA0031H</t>
  </si>
  <si>
    <t>4800016977
4800017147</t>
  </si>
  <si>
    <t>HWC2022061754137
HWC2022061754139
HWC2022061754161
HWC2022061754136
HWC2022061754140
HWC2022061754150
HWC2022061754138</t>
  </si>
  <si>
    <t>EMS02R20001327HWA0004H
EMS02R20001327HWA0007H
EMS02R20001327HWA0009H
EMS02R20001315HWA0023H
EMS02R20001327HWA0008H
EMS02R20001327HWA0001H
EMS02R20001327HWA0006H</t>
  </si>
  <si>
    <t>4800017147
4800017179</t>
  </si>
  <si>
    <t>SHW-43109I22</t>
  </si>
  <si>
    <t>22/1193856-5</t>
  </si>
  <si>
    <t>EGLV149204232163</t>
  </si>
  <si>
    <t>4800017237
4800017265
4800017296</t>
  </si>
  <si>
    <t>EVER LIFTING 1491 - 045W</t>
  </si>
  <si>
    <t>22/1217794-0</t>
  </si>
  <si>
    <t>22/1217916-1</t>
  </si>
  <si>
    <t>*Shenker*
23/05 - Recebidas Invoices
24/05 - Recebido BL_149204048834-draft
TGBU7138105 / 40H / EMCPHG5281 / 42 CASES
25/05 - Tender: HTM2022052101375
Material coletado em 2022-05-21 -ETA SSZ 2022-07-07
24/06 - Data Entrada: 24/06/2022 00:25:33
Sem divergência de peso
SIGVIG Liberado.
DI registrada - Canal verde - entrega programada para 28/06.
28/06 - Material entregue.</t>
  </si>
  <si>
    <t>SHW-43275I22</t>
  </si>
  <si>
    <t>SHW-43276I22</t>
  </si>
  <si>
    <t>HWC2022062965866
HWC2022062965867
HWC2022062965864
HWC2022062965865
HWC2022062965834
HWC2022062965832
HWC2022062965833
HWC2022062965868
HWC2022062965835
HWC2022062965869
HWC2022062965870</t>
  </si>
  <si>
    <t>HWC2022062965863
HWC2022062965862
HWC2022062965860
HWC2022062965861</t>
  </si>
  <si>
    <t>EMS02R20001342HWA0013H
EMS02R20001362HWA0001H
EMS02R20001327HWA0011H
EMS02R20001327HWA0012H
EMS02R20001364HWA0002H
EMS02R20001327HWA0003H
EMS02R20001359HWA0002H
EMS02R20001364HWA0001H
EMS02R20001364HWA0005H
EMS02R20001364HWA0003H
EMS02R20001364HWA0004H</t>
  </si>
  <si>
    <t>EMS01J20000262HWA0016H
EMS01J20000262HWA0014H
EMS01J20000262HWA0007H
EMS01J20000262HWA0010H</t>
  </si>
  <si>
    <t>EGLV149205153462</t>
  </si>
  <si>
    <t>EGLV149205152597</t>
  </si>
  <si>
    <t>SHW-43277I22</t>
  </si>
  <si>
    <t>SHW-43278I22</t>
  </si>
  <si>
    <t>4800017179
4800017237
4800017307
4800017330
4800017347</t>
  </si>
  <si>
    <t>HWC2022062158255
HWC2022062158256
HWC2022062158257
HWC2022062158258
HWC2022062158259
HWC2022062158260
HWC2022062158281
HWC2022062158282
HWC2022062158283
HWC2022062158284
HWC2022062158285
HWC2022062158266</t>
  </si>
  <si>
    <t>HWC2022062158254</t>
  </si>
  <si>
    <t xml:space="preserve">EMS02R20001342HWA0001H 
EMS02R20001342HWA0002H 
EMS02R20001342HWA0004H 
EMS02R20001342HWA0005H 
EMS02R20001342HWA0007H 
EMS02R20001342HWA0008H 
EMS02R20001342HWA0009H 
EMS02R20001342HWA0010H 
EMS02R20001342HWA0014H 
EMS02R20001346HWA0001H 
EMS02R20001346HWA0003H 
EMS02R20001353HWA0002H </t>
  </si>
  <si>
    <t>EMS01J20000261HWA0001H</t>
  </si>
  <si>
    <t>EGLV149205149472</t>
  </si>
  <si>
    <t>*Shenker*
16/05 - Recebidas Invoices
17/05 - Recebido BL_149203254414-draft
EITU1917195 / 40H / EMCPHD0331 / 44 CASES
Tender: HTM2022051401358
Material coletado em 2022-05-15 -ETA SSZ 2022-06-30
24/06 - DataEntrada: 23/06/2022 20:46:33
Sem divergência de peso
SIGVIG Liberado.
28/06 - DI registrada - Canal verde - entrega programada para 30/06.
30/06 - Material entregue.</t>
  </si>
  <si>
    <t>*Shenker*
17/05 - Recebidas Invoices
18/05 - Recebido BL_149203884728-draft
TRHU6763919 / 40H / EMCPHN6311 / 49 CASES
Tender - 149204030722
Material coletado em 2022-05-17 -ETA SSZ 2022-07-03
24/06 - DataEntrada: 24/06/2022 00:35:06
Sem divergência de peso
SIGVIG Liberado.
28/06 - DI registrada - Canal verde - entrega programada para 30/06.
30/06 - Material entregue.</t>
  </si>
  <si>
    <t>SHW-43282I22</t>
  </si>
  <si>
    <t>HWC2022062763962
HWC2022062763983
HWC2022062763982
HWC2022062763963
HWC2022062763964</t>
  </si>
  <si>
    <t>HWC2022062763956
HWC2022062763958
HWC2022062763916
HWC2022062763981
HWC2022062763917
HWC2022062763959
HWC2022062763920
HWC2022062763961
HWC2022062763919
HWC2022062763918
HWC2022062763960
HWC2022062763957</t>
  </si>
  <si>
    <t>EMS02R20001342HWA0011H
EMS02R20001342HWA0012H
EMS02R20001342HWA0006H
EMS02R20001353HWA0001H
EMS02R20001359HWA0001H</t>
  </si>
  <si>
    <t>EMS01J20000262HWA0001H
EMS01J20000262HWA0011H
EMS01J20000262HWA0002H
EMS01J20000262HWA0018H
EMS01J20000262HWA0003H
EMS01J20000262HWA0012H
EMS01J20000262HWA0015H
EMS01J20000262HWA0017H
EMS01J20000262HWA0005H
EMS01J20000262HWA0004H
EMS01J20000262HWA0013H
EMS01J20000262HWA0006H</t>
  </si>
  <si>
    <t>EGLV149205097120</t>
  </si>
  <si>
    <t>EGLV149205184472</t>
  </si>
  <si>
    <t>4800017237
4800017296
4800017307</t>
  </si>
  <si>
    <t>SHW-40067I22</t>
  </si>
  <si>
    <t>22/1266332-2</t>
  </si>
  <si>
    <t>SHW-43388I22</t>
  </si>
  <si>
    <t>SHW-43389I22</t>
  </si>
  <si>
    <t>HWC2022070369297
HWC2022070369298
HWC2022070369301
HWC2022070369299
HWC2022070369300
HWC2022070369321
HWC2022070369302
HWC2022070369322
HWC2022070369323
HWC2022070369324
HWC2022070369325
HWC2022070369326
HWC2022070369327
HWC2022070369303
HWC2022070369328
HWC2022070369304
HWC2022070369329</t>
  </si>
  <si>
    <t>HWC2022070369260</t>
  </si>
  <si>
    <t>EMS02R20001353HWA0003H
EMS02R20001362HWA0002H
EMS02R20001364HWA0006H
EMS02R20001370HWA0001H
EMS02R20001370HWA0002H
EMS02R20001370HWA0003H
EMS02R20001373HWA0002H
EMS02R20001373HWA0003H
EMS02R20001373HWA0005H
EMS02R20001373HWA0006H
EMS02R20001376HWA0002H
EMS02R20001376HWA0003H
EMS02R20001376HWA0004H
EMS02R20001376HWA0005H
EMS02R20001376HWA0008H
EMS02R20001376HWA0010H
EMS02R20001377HWA0006H</t>
  </si>
  <si>
    <t>EMS01J20000262HWA0009H</t>
  </si>
  <si>
    <t>EGLV149205233767</t>
  </si>
  <si>
    <t>EGLV149205089968</t>
  </si>
  <si>
    <t>JOGELA 179W</t>
  </si>
  <si>
    <t>STORAGE
RRU L06
RRU L10
272J</t>
  </si>
  <si>
    <t>4800017296
4800017330
4800017347
4800017362
4800017377
4800017382
4800017383</t>
  </si>
  <si>
    <t>*Shenker*
23/05 - Recebidas Invoices
26/05 - Recebido BL_149204030722-draft
EITU0358488 / 20' / EMCJAL5081 / 32 CASES
EITU1336544 / 40H / EMCJAL5621 / 82 CASES
28/05 - Tender: HTM2022052300429
Material coletado em 2022-05-26 -ETA SSZ 2022-07-12
04/04 - Data Atracação 01/07/2022 03:36:00
Sem divergência de peso
SIGVIG Liberado.
05/07 - DI Registrada - Canal verde - entrega programada para dia 07/07.
07/07 - Material entregue.</t>
  </si>
  <si>
    <t>22/1292340-5</t>
  </si>
  <si>
    <t>22/1292521-1</t>
  </si>
  <si>
    <t>22/1292608-0</t>
  </si>
  <si>
    <t>*Shenker*
25/04 - Recebidas Invoices
27/04 - Recebido BL_149203278267-draft
EITU1856783 / 40H / EMCHZG8271 / 51 CASES
06/05 - Tender: HTM2022042500878
Material coletado em 2022-04-27 -ETA SSZ 2022-06-13
08/07 - Data Atracação 06/07/2022 16:40:00
Sem divergência de peso
SIGVIG Liberado.
DI registrada - Canal verde - entrega programada para 11/07.
11/07 - Material entregue.</t>
  </si>
  <si>
    <t>*Shenker*
27/04 - Recebidas Invoices
29/04 - Recebido BL_149203419146-draft
EITU1856783 / 40H / EMCHZG8271 / 51 CASES
06/05 - Tender: HTM2022042701360
Material coletado em 2022-04-29 -ETA SSZ 2022-06-15
08/07 - Data Atracação 06/07/2022 16:40:00
Sem divergência de peso
SIGVIG Liberado.
DI registrada - Canal verde - entrega programada para 11/07.
11/07 - Material entregue.</t>
  </si>
  <si>
    <t>*Shenker*
29/04 - Recebidas Invoices
04/05 - Recebido BL_149203456700-draft
HMCU9096030 / 40H / EMCMGG0541 / 65 CASES
06/05 - Tender: HTM2022042902431
Material coletado em 2022-05-01 -ETA SSZ 2022-06-17
08/07 - Data Atracação 06/07/2022 16:40:00
Sem divergência de peso
SIGVIG Liberado.
DI registrada - Canal verde - entrega programada para 11/07.
11/07 - Material entregue.</t>
  </si>
  <si>
    <t>MSC SIXIN 222W / San Felipe</t>
  </si>
  <si>
    <t>22/1333772-0</t>
  </si>
  <si>
    <t>22/1333862-0</t>
  </si>
  <si>
    <t>SHW-43473I22</t>
  </si>
  <si>
    <t>HWC2022071377358
HWC2022071377359</t>
  </si>
  <si>
    <t>EMS02R20001373HWA0007H
EMS02R20001377HWA0005H</t>
  </si>
  <si>
    <t>EGLV149205076700</t>
  </si>
  <si>
    <t>EVER LOADING 1493-053W</t>
  </si>
  <si>
    <t>4800017383
4800017377</t>
  </si>
  <si>
    <t>*Shenker*
09/06 - Recebidas Invoices
10/06 - Recebido BL_149204232147-draft
TGBU6207705 / 40H / EMCMNP4442 / 51 CASES
13/06 - Tender: HTM2022060903447
Material coletado em 2022-06-10 -ETA SSZ 2022-07-27
13/07 - Data Entrada: 12/07/2022 09:27:18
Sem divergência de peso
SIGVIG Liberado.
14/07 - DI registrada - Canal verde - entrega programada para 15/07
15/07 - Material entregue.</t>
  </si>
  <si>
    <t>*Shenker*
02/06 - Recebidas Invoices
05/06 - Recebido BL_149204409772-draft
EITU1894438 / 40H / EMCPGF1691 / 42 CASES
07/06 - Tender: HTM2022060201929
Material coletado em 2022-06-03 -ETA SSZ 2022-07-20
13/07 - Data Entrada: 12/07/2022 09:15:41
Sem divergência de peso
SIGVIG Liberado.
14/07 - DI registrada - Canal verde - entrega programada para 15/07
15/07 - Material entregue.</t>
  </si>
  <si>
    <t>SHW-43547I22</t>
  </si>
  <si>
    <t>SHW-43548I22</t>
  </si>
  <si>
    <t>SHW-43549I22</t>
  </si>
  <si>
    <t>SHW-43550I22</t>
  </si>
  <si>
    <t>SHW-43551I22</t>
  </si>
  <si>
    <t>22/1370979-2</t>
  </si>
  <si>
    <t>EMS02R20001377HWA0002H
EMS02R20001378HWA0001H
EMS02R20001378HWA0002H
EMS02R20001385HWA0002H
EMS02R20001386HWA0001H</t>
  </si>
  <si>
    <t>EMS01J20000268HWA0003H</t>
  </si>
  <si>
    <t>HWC2022071882061
HWC2022071882062
HWC2022071882063
HWC2022071882064
HWC2022071882065</t>
  </si>
  <si>
    <t>HWC2022071882040</t>
  </si>
  <si>
    <t>272K</t>
  </si>
  <si>
    <t>4800017383
4800017384
4800017413
4800017414</t>
  </si>
  <si>
    <t>EGLV149205563627</t>
  </si>
  <si>
    <t>EGLV149205563422</t>
  </si>
  <si>
    <t>22/1378311-9</t>
  </si>
  <si>
    <t>22/1381122-8</t>
  </si>
  <si>
    <t>*Shenker*
26/05 - Recebidas Invoices
01/06 - Tender: HTM2022052603384
Material coletado em 2022-05-31 -ETA SSZ 2022-07-16
Recebido BL_149204030374-draft
TGBU4664030 / 40H / EMCPGL5231 / 47 CASES
13/07 - Data Entrada: 12/07/2022 04:58:05
Sem divergência de peso
SIGVIG Liberado.
19/07 - DI Registrada - Canal verde - entrega programada para 21/07.
21/07 - Material entregue.</t>
  </si>
  <si>
    <t>HWC2022071378129
HWC2022071378149
HWC2022071378150
HWC2022071378128
HWC2022071378148
HWC2022071378151</t>
  </si>
  <si>
    <t>HWC2022071378147</t>
  </si>
  <si>
    <t>EMS02R20001373HWA0009H
EMS02R20001377HWA0001H
EMS02R20001377HWA0003H
EMS02R20001373HWA0001H
EMS02R20001373HWA0010H
EMS02R20001377HWA0004H</t>
  </si>
  <si>
    <t>EMS01J20000262HWA0008H</t>
  </si>
  <si>
    <t>EGLV149205529429</t>
  </si>
  <si>
    <t>EGLV149205493492</t>
  </si>
  <si>
    <t xml:space="preserve">4800017377
4800017383
</t>
  </si>
  <si>
    <t>SHW-43624I22</t>
  </si>
  <si>
    <t>HWC2022071681742
HWC2022071681741
HWC2022071681738
HWC2022071681739
HWC2022071681697
HWC2022071681740
HWC2022071681696
HWC2022071681698</t>
  </si>
  <si>
    <t>HWC2022071681695</t>
  </si>
  <si>
    <t>EMS02R20001386HWA0002H
EMS02R20001385HWA0001H
EMS02R20001373HWA0011H
EMS02R20001376HWA0001H
EMS02R20001373HWA0008H
EMS02R20001377HWA0007H
EMS02R20001373HWA0004H
EMS02R20001376HWA0006H</t>
  </si>
  <si>
    <t>EMS01J20000265HWA0001H</t>
  </si>
  <si>
    <t>4800017377
4800017382
4800017383
4800017413
4800017414</t>
  </si>
  <si>
    <t>EGLV149205528392</t>
  </si>
  <si>
    <t>EGLV149205601928</t>
  </si>
  <si>
    <t>*Shenker*
10/06 - Recebidas Invoices
17/06 - Recebido BL_149204542961-draft
TRHU7189512 / 40H / EMCJAD4201 / 52 CASES
18/06 - Tender: HTM2022061001063
Material coletado em 2022-06-17 -ETA SSZ 2022-08-03
20/07 - Data Atracação 19/07/2022 07:50:00
Sem divergência de peso
SIGVIG Liberado.
DI Registrada - Canal verde - entrega programada para 21/07.
21/07 - Material entregue.</t>
  </si>
  <si>
    <t>*Shenker*
14/06 - Recebidas Invoices
18/06 - Tender: HTM2022061401215
Material coletado em 2022-06-18 -ETA SSZ 2022-08-04
Recebido BL_149204819385-draft
TEMU6138008 / 40H / EMCJAG1541 / 47 CASES
20/07 - Data Atracação 19/07/2022 07:50:00
Sem divergência de peso
SIGVIG Liberado.
DI Registrada - Canal verde - entrega programada para 25/07.
25/07 - Material entregue.</t>
  </si>
  <si>
    <t>22/1426786-6</t>
  </si>
  <si>
    <t>*Shenker*
17/06 - Recebidas Invoices
18/06 - Tender: HTM2022061702759
Material coletado em 2022-06-18 -ETA SSZ 2022-08-03
Recebido BL_219309241-draft
MRSU3957760 ML-CN1950936 40 DRY 9'6 45 Case 6776.000 KGS 51.2800 CBM
25/07 - Data Atracação 24/07/2022 14:40:00
Sem divergência de peso
SIGVIG Liberado.
27/07 - DI Registrada - Canal verde - entrega programada para 28/07.
28/07 - Material recebido.</t>
  </si>
  <si>
    <t>HWC2022072694072
HWC2022072694073
HWC2022072694071</t>
  </si>
  <si>
    <t>EMS02R20001376HWA0009H
EMS02R20001376HWA0011H
EMS02R20001376HWA0007H</t>
  </si>
  <si>
    <t>SHW-43812I22</t>
  </si>
  <si>
    <t>EGLV149205076815</t>
  </si>
  <si>
    <t>EVER LEADER 1495-060W</t>
  </si>
  <si>
    <t>22/1473171-6</t>
  </si>
  <si>
    <t>SHW-44025I22</t>
  </si>
  <si>
    <t>SHW-44026I22</t>
  </si>
  <si>
    <t>EMS02R20001394HWA0002H
EMS02R20001394HWA0001H
EMS02R20001394HWA0003H
EMS02R20001376HWA0012H</t>
  </si>
  <si>
    <t>EMS01J20000268HWA0004H
EMS01J20000266HWA0001H
EMS01J20000268HWA0002H
EMS01J20000267HWA0001H
EMS01J20000264HWA0001H</t>
  </si>
  <si>
    <t>HWC2022073199331
HWC2022073199330
HWC2022073199332
HWC2022073199329</t>
  </si>
  <si>
    <t>HWC2022073199328
HWC2022073199326
HWC2022073199327
HWC2022073199294
HWC2022073199293</t>
  </si>
  <si>
    <t>EGLV149205910700</t>
  </si>
  <si>
    <t>4800017382
4800017450</t>
  </si>
  <si>
    <t>4800017385
4800017418
4800017427
4800017428</t>
  </si>
  <si>
    <t>EGLV149205882587</t>
  </si>
  <si>
    <t>YM TRUST 004W</t>
  </si>
  <si>
    <t>22/1521307-7</t>
  </si>
  <si>
    <t>22/1521042-6</t>
  </si>
  <si>
    <t>22/1522096-0</t>
  </si>
  <si>
    <t>22/1520641-0</t>
  </si>
  <si>
    <t>22/1520605-4</t>
  </si>
  <si>
    <t>22/1522371-4</t>
  </si>
  <si>
    <t>SHW-44066I22</t>
  </si>
  <si>
    <t>SHW-44067I22</t>
  </si>
  <si>
    <t>SHW-44068I22</t>
  </si>
  <si>
    <t>SHW-44069I22</t>
  </si>
  <si>
    <t>SHW-44070I22</t>
  </si>
  <si>
    <t>HWC2022080100425
HWC2022080100424
HWC2022080100427
HWC2022080100426
HWC2022080100428</t>
  </si>
  <si>
    <t>EMS02R20001399HWA0003H
EMS02R20001399HWA0001H
EMS02R20001404HWA0017H
EMS02R20001404HWA0009H
EMS02R20001407HWA0020H</t>
  </si>
  <si>
    <t>EGLV149205233082</t>
  </si>
  <si>
    <t>4800017464
4800017473
4800017476</t>
  </si>
  <si>
    <t>4800017473
4800017474
4800017476</t>
  </si>
  <si>
    <t>HWC2022080405109
HWC2022080405107
HWC2022080405108
HWC2022080405106
HWC2022080405088
HWC2022080405087</t>
  </si>
  <si>
    <t>HWC2022080405105</t>
  </si>
  <si>
    <t>EMS01J20000268HWA0001H</t>
  </si>
  <si>
    <t>EMS02R20001405HWA0010H
EMS02R20001404HWA0005H
EMS02R20001404HWA0007H
EMS02R20001404HWA0003H
EMS02R20001407HWA0021H
EMS02R20001407HWA0007H</t>
  </si>
  <si>
    <t>HWC2022080506729
HWC2022080506728
HWC2022080506680</t>
  </si>
  <si>
    <t xml:space="preserve">EMS02R20001407HWA0010H 
EMS02R20001405HWA0008H 
EMS02R20001404HWA0013H </t>
  </si>
  <si>
    <t>EGLV149205987061</t>
  </si>
  <si>
    <t>SEAMAX ROWAYTON 0BDD0W1MA</t>
  </si>
  <si>
    <t>HWC2022080303897
HWC2022080303895
HWC2022080303894
HWC2022080303896
HWC2022080303902
HWC2022080303898
HWC2022080303903</t>
  </si>
  <si>
    <t>EMS02R20001404HWA0011H
EMS02R20001399HWA0005H
EMS02R20001399HWA0002H
EMS02R20001404HWA0010H
EMS02R20001404HWA0012H
EMS02R20001407HWA0019H
EMS02R20001406HWA0003H</t>
  </si>
  <si>
    <t>BBU L10
272J</t>
  </si>
  <si>
    <t>4800017464
4800017473
4800017475
4800017476</t>
  </si>
  <si>
    <t>EGLV149205931324</t>
  </si>
  <si>
    <t>*Shenker*
23/06 - Recebidas Invoices
24/06 - Tender: HTM2022062105126
Material coletado em 2022-06-23 -ETA SSZ 2022-08-09
30/06 - Recebido BL_149205149472-draft
TXGU5751511 / 40H / EMCMPJ9632 / 10 CASES
08/08 - Data de entrada: 06/08/2022 04:57:42
Sem divergência de peso
SIGVIG Liberado.
09/08 - DI registrada - Canal verde - entrega programada para 10/08
10/08 - Material  recebido.</t>
  </si>
  <si>
    <t>*Shenker*
29/06 - Recebidas Invoices
30/06 - Recebido BL_149205153462-draft
TCKU6485234 / 40H / EMCLWR9561 / 49 CASES
03/07 - Tender: HTM2022062903441
Material coletado em 2022-06-30 -ETA SSZ 2022-08-16
08/08 - Data de entrada: 06/08/2022 01:04:57
Sem divergência de peso
SIGVIG Liberado.
09/08 - DI registrada - Canal verde - entrega programada para 10/08
10/08 - Material recebido.</t>
  </si>
  <si>
    <t>*Shenker*
29/06 - Recebidas Invoices
30/06 - Recebido BL_149205152597-draft
TCKU6485234 / 40H / EMCLWR9561 / 4 CASES
03/07 - Tender: HTM2022062903441
Material coletado em 2022-06-30 -ETA SSZ 2022-08-16
08/08 - Data de entrada: 06/08/2022 01:04:57
Sem divergência de peso
SIGVIG Liberado.
09/08 - DI registrada - Canal verde - entrega programada para 10/08
10/08 - Material entregue.</t>
  </si>
  <si>
    <t>*Shenker*
29/06 - Recebidas Invoices
01/07 - Tender:HTM2022062707210
Material coletado em 2022-06-29 -ETA SSZ 2022-08-15
Recebido BL_149205184472-draft
EGHU8519989 / 40H / EMCLWZ6531 / 36 CASES
08/08 - Data de entrada: 06/08/2022 05:03:20
Sem divergência de peso
SIGVIG Liberado.
09/08 - DI registrada - Canal verde - entrega programada para 10/08
10/08 - Material entregue.</t>
  </si>
  <si>
    <t>*Shenker*
29/06 - Recebidas Invoices
01/07 - Tender:HTM2022062707210
Material coletado em 2022-06-29 -ETA SSZ 2022-08-15
Recebido BL_149205184472-draft
EGHU8519989 / 40H / EMCLWZ6531 / 42 CASES
08/08 - Data de entrada: 06/08/2022 05:03:20
Sem divergência de peso
SIGVIG Liberado.
09/08 - DI registrada - Canal verde - entrega programada para 10/08
10/08 -Material entregue.</t>
  </si>
  <si>
    <t>SHW-44117I22</t>
  </si>
  <si>
    <t>SHW-44116I22</t>
  </si>
  <si>
    <t>HWC2022080911019
HWC2022080911020</t>
  </si>
  <si>
    <t>HWC2022080911018</t>
  </si>
  <si>
    <t>EMS02R20001404HWA0001H
EMS02R20001405HWA0004H</t>
  </si>
  <si>
    <t>EMS01J20000273HWA0001H</t>
  </si>
  <si>
    <t>EGLV149206070110</t>
  </si>
  <si>
    <t>CMA CGM RODOLPHE 0AACPW1MA</t>
  </si>
  <si>
    <t>4800017473
4800017474</t>
  </si>
  <si>
    <t>EGLV149206069812</t>
  </si>
  <si>
    <t>SHW-44118I22</t>
  </si>
  <si>
    <t>HWC2022080911063
HWC2022080911064
HWC2022080911068
HWC2022080911008
HWC2022080911009
HWC2022080911065
HWC2022080911066
HWC2022080911067
HWC2022080911069</t>
  </si>
  <si>
    <t>EMS02R20001399HWA0004H
EMS02R20001403HWA0001H
EMS02R20001406HWA0001H
EMS02R20001404HWA0002H
EMS02R20001404HWA0014H
EMS02R20001404HWA0015H
EMS02R20001404HWA0016H
EMS02R20001404HWA0018H
EMS02R20001407HWA0001H</t>
  </si>
  <si>
    <t>EGLV149205786201</t>
  </si>
  <si>
    <t>4800017464
4800017472
4800017473
4800017475
4800017476</t>
  </si>
  <si>
    <t>HWC2022081011969
HWC2022081011989
HWC2022081011970</t>
  </si>
  <si>
    <t>SHW-44119I22</t>
  </si>
  <si>
    <t>EMS02R20001403HWA0003H
EMS02R20001405HWA0001H
EMS02R20001405HWA0005H</t>
  </si>
  <si>
    <t>EGLV149206070331</t>
  </si>
  <si>
    <t>4800017472
4800017474</t>
  </si>
  <si>
    <t>EGLV149206050691</t>
  </si>
  <si>
    <t>EGLV149205964923</t>
  </si>
  <si>
    <t>*Shenker*
23/06 - Recebidas Invoices
24/06 - Tender: HTM2022062105126
Material coletado em 2022-06-23 -ETA SSZ 2022-08-09
Recebido BL_149204232163-draft
TXGU5751511 / 40H / EMCMPJ9632 / 44 CASES
EGSU9180960 / 40H / EMCMPC4072 / 48 CASES
08/08 - Data de entrada: 06/08/2022 05:30:56
Sem divergência de peso
SIGVIG Liberado.
09/08 - DI registrada - Canal verde - entrega programada para 10/08
10/08 -Material entregue.</t>
  </si>
  <si>
    <r>
      <t xml:space="preserve">*Shenker*
04/07 - Recebidas Invoices
06/07 - Recebido BL_149205089968-draft
TEMU8815999 / 40H / EMCMNT2932 / 49 CASES
TEMU6452960 / 40H / EMCMNT3102 / 44 CASES
09/08 - Data Atracação 07/08/2022 23:52:00
Status SIGVIG: Liberado - Retido por ser parte lote
Sem divergência de peso
</t>
    </r>
    <r>
      <rPr>
        <sz val="9"/>
        <color rgb="FFFF0000"/>
        <rFont val="Arial"/>
        <family val="2"/>
      </rPr>
      <t xml:space="preserve">Lacre ilegível, enviar fotos para a Huawei antes de retirar o lacre
</t>
    </r>
    <r>
      <rPr>
        <sz val="9"/>
        <rFont val="Arial"/>
        <family val="2"/>
      </rPr>
      <t>11/08 - DI Registrada - Canal verde - entrega programada para 12/08
12/08 - Material entregue.</t>
    </r>
  </si>
  <si>
    <t>*Shenker*
04/07 - Recebidas Invoices
06/07 - Recebido BL_149205233767-draft
TEMU6452960 / 40H / EMCMNT3102 / 1 CASE
09/08 - Data Atracação 07/08/2022 23:52:00
Status SIGVIG: Retido - Inspeção agendada para o dia 10/08.
Sem divergência de peso
11/08 - DI Registrada - Canal verde - entrega programada para 12/08
12/08 - Material entregue.</t>
  </si>
  <si>
    <t>22/1542853-7</t>
  </si>
  <si>
    <t>22/1545342-6</t>
  </si>
  <si>
    <t>SHW-44131I22</t>
  </si>
  <si>
    <t>HWC2022081517142
HWC2022081517143
HWC2022081517134
HWC2022081517135</t>
  </si>
  <si>
    <t>EMS02R20001404HWA0019H
EMS02R20001405HWA0003H
EMS02R20001405HWA0009H
EMS02R20001406HWA0002H</t>
  </si>
  <si>
    <t>4800017473
4800017474
4800017475</t>
  </si>
  <si>
    <t>*Shenker*
16/06 - Recebidas Invoices
18/06 - Tender: HTM2022061603903
Material coletado em 2022-06-17 -ETA SSZ 2022-08-03
23/06 - Recebido BL_914383278-draft
MSKU8221908 ML-CN1949246 40 DRY 9'6 46 Case 5806.560 KGS 48.1900 CBM
25/07 - Data Atracação 24/07/2022 14:40:00
Sem divergência de peso
SIGVIG Liberado.
02/08 - DI registrada - Canal verde - entrega programada para 15/08.
15/08 - Material entregue.</t>
  </si>
  <si>
    <t>22/1610592-8</t>
  </si>
  <si>
    <t>22/1610532-4</t>
  </si>
  <si>
    <t>22/1610454-9</t>
  </si>
  <si>
    <t>22/1610164-7</t>
  </si>
  <si>
    <t>22/1613683-1</t>
  </si>
  <si>
    <t>SHW-44153I22</t>
  </si>
  <si>
    <t>SHW-44154I22</t>
  </si>
  <si>
    <t>HWC2022081315338</t>
  </si>
  <si>
    <t>HWC2022081315339
HWC2022081315363
HWC2022081315340
HWC2022081315381</t>
  </si>
  <si>
    <t>EMS02R20001403HWA0002H
EMS02R20001405HWA0007H
EMS02R20001405HWA0002H
EMS02R20001405HWA0006H</t>
  </si>
  <si>
    <t>EMS01J20000271HWA0001H</t>
  </si>
  <si>
    <t>EGLV149205881522</t>
  </si>
  <si>
    <t>EVER UNIFIC 0178-166W</t>
  </si>
  <si>
    <t>EGLV149206241500</t>
  </si>
  <si>
    <t>EGLV149206142170</t>
  </si>
  <si>
    <t>*Shenker*
13/07 - Recebidas Invoices
14/07 - Recebido BL_149205076700-draft
TEMU4048184 / 20' / EMCMQN8292 / 27 CASES
17/07 - Material coletado em 2022-07-14 10:58:02 - ETA 2022-08-30
Tender: HTM2022071300587
19/08 - Data Entrada: 19/08/2022 17:29:45
Sem divergência de peso
SIGVIG Liberado.
DI Registrada -canal verde - entrega programada para 22/08
22/08 - Material entregue.</t>
  </si>
  <si>
    <t>*Shenker*
14/07 - Recebidas Invoices
17/07 - Material coletado em 2022-07-15 11:08:51 - ETA 2022-08-30
Tender: HTM2022071305026
18/07 - Recebido BL_149205493492-draft
CAAU5731352 / 40H / EMCMQJ6512 / 45 CASES
CNPJ - 08.285.374/0001-02
19/08 - Data Entrada: 18/08/2022 17:43:13
Sem divergência de peso
SIGVIG Liberado.
DI Registrada -canal verde - entrega programada para 22/08
22/08 - Material entregue.</t>
  </si>
  <si>
    <t>*Shenker*
14/07 - Recebidas Invoices
17/07 - Material coletado em 2022-07-15 11:08:51 - ETA 2022-08-30
Tender: HTM2022071305026
18/07 - Recebido BL_149205529429-draft
CAAU5731352 / 40H / EMCMQJ6512 / 1 CASE
CNPJ - 08.285.374/0003-74
19/08 - Data Entrada: 18/08/2022 17:43:13
Sem divergência de peso
SIGVIG Liberado.
DI Registrada -canal verde - entrega programada para 22/08
22/08 - Material entregue.</t>
  </si>
  <si>
    <t>*Shenker*
16/07 - Recebidas Invoices
19/07 - Material coletado em 2022-07-17 14:24:57 - ETA 2022-09-01
Tender: HTM2022071603289
20/07 - Recebido BL_149205601928-draft
EISU9340526 / 40H / EMCMQK2602 / 46 CASES
CNPJ - 08.285.374/0001-02
19/08 - Data Entrada: 18/08/2022 16:16:06
Sem divergência de peso
SIGVIG Liberado.
DI Registrada -canal verde - entrega programada para 22/08
22/08 - Material entregue.</t>
  </si>
  <si>
    <t>*Shenker*
16/07 - Recebidas Invoices
19/07 - Material coletado em 2022-07-17 14:24:57 - ETA 2022-09-01
Tender: HTM2022071603289
20/07 - Recebido BL_149205528392-draft
EISU9340526 / 40H / EMCMQK2602 / 13 CASES
CNPJ - 08.285.374/0003-74
19/08 - Data Entrada: 18/08/2022 16:16:06
Sem divergência de peso
SIGVIG Liberado.
DI Registrada -canal verde - entrega programada para 22/08
22/08 - Material entregue.</t>
  </si>
  <si>
    <t>22/1632499-9</t>
  </si>
  <si>
    <t>22/1632669-0</t>
  </si>
  <si>
    <t>*Shenker*
18/07 - Recebidas Invoices
19/07 - Recebido BL_149205563422-draft
EGHU3675715 / 20' / EMCMQM5322 / 1 CASE
Material coletado em 2022-07-19 04:16:17 - ETA 2022-09-04
Tender: HTM2022071800433
22/08 - Data Entrada: 19/08/2022 16:32:45
Sem divergência de peso
SIGVIG Liberado.
23/08 - DI registrada - Canal verde - entrega programada para 24/08.
24/08 - Material entregue.</t>
  </si>
  <si>
    <t>*Shenker*
18/07 - Recebidas Invoices
19/07 - Recebido BL_149205563627-draft
EGHU3675715 / 20' / EMCMQM5322 / 19 CASES
Material coletado em 2022-07-19 04:16:17 - ETA 2022-09-04
Tender: HTM2022071800433
22/08 - Data Entrada: 19/08/2022 16:32:45
Sem divergência de peso
SIGVIG Liberado.
23/08 - DI registrada - Canal verde - entrega programada para 24/08.
24/08 - Material entregue.</t>
  </si>
  <si>
    <t>HWC2022082325410
HWC2022082325409
HWC2022082325408
HWC2022082325413
HWC2022082325411
HWC2022082325414
HWC2022082325412</t>
  </si>
  <si>
    <t>SHW-44415I22</t>
  </si>
  <si>
    <t>TALITA</t>
  </si>
  <si>
    <t>EMS02R20001414HWA0002H
EMS02R20001414HWA0001H
EMS02R20001413HWA0001H
EMS02R20001427HWA0001H
EMS02R20001425HWA0001H
EMS02R20001428HWA0001K
EMS02R20001426HWA0001H</t>
  </si>
  <si>
    <t>EGLV149206366850</t>
  </si>
  <si>
    <t>4800017508
4800017509
4800017550
4800017551
4800017552
4800017564</t>
  </si>
  <si>
    <t>SHW-44418I22</t>
  </si>
  <si>
    <t>HWC2022081921803
HWC2022081921804</t>
  </si>
  <si>
    <t>EMS01J20000272HWA0012H 
EMS01J20000276HWA0001H</t>
  </si>
  <si>
    <t>SHW-44419I22</t>
  </si>
  <si>
    <t>HWC2022081921806
HWC2022081921808
HWC2022081921805
HWC2022081921792
HWC2022081921810
HWC2022081921807
HWC2022081921809
HWC2022081921811</t>
  </si>
  <si>
    <t xml:space="preserve">EMS02R20001407HWA0008H 
EMS02R20001407HWA0011H 
EMS02R20001407HWA0003H 
EMS02R20001407HWA0006H 
EMS02R20001407HWA0016H 
EMS02R20001407HWA0009H 
EMS02R20001407HWA0015H 
EMS02R20001407HWA0017H </t>
  </si>
  <si>
    <t>4800017511
4800017575</t>
  </si>
  <si>
    <t>EGLV149206311699</t>
  </si>
  <si>
    <t>EGLV149206256931</t>
  </si>
  <si>
    <t>SHW-44520I22</t>
  </si>
  <si>
    <t>SHW-44521I22</t>
  </si>
  <si>
    <t>SHW-44518I22</t>
  </si>
  <si>
    <t>SHW-44519I22</t>
  </si>
  <si>
    <t>BRA2022090250006</t>
  </si>
  <si>
    <t>EMS02R20001453HWA0001H
EMS02R20001453HWA0009H
EMS02R20001453HWA0013H
EMS02R20001471HWA0001H</t>
  </si>
  <si>
    <t>BRA2022090250003</t>
  </si>
  <si>
    <t>EMS02R20001453HWA0004H
EMS02R20001453HWA0007H
EMS02R20001453HWA0008H</t>
  </si>
  <si>
    <t>SHW-44522I22</t>
  </si>
  <si>
    <t>EMS01J20000272HWA0014H
EMS01J20000275HWA0001H</t>
  </si>
  <si>
    <t>HWC2022082930732
HWC2022082930733</t>
  </si>
  <si>
    <t>HWC2022082930734
HWC2022082930735</t>
  </si>
  <si>
    <t>EMS02R20001407HWA0002H
EMS02R20001407HWA0004H</t>
  </si>
  <si>
    <t>SHW-44523I22</t>
  </si>
  <si>
    <t>BRA2022083150003</t>
  </si>
  <si>
    <t>BRA2022083150004</t>
  </si>
  <si>
    <t>EMS01J20000272HWA0019H
EMS01J20000272HWA0020H
EMS01J20000272HWA0018H
EMS01J20000272HWA0017H</t>
  </si>
  <si>
    <t>EMS02R20001453HWA0002H
EMS02R20001453HWA0006H
EMS02R20001453HWA0003H</t>
  </si>
  <si>
    <t>272J- L10</t>
  </si>
  <si>
    <t>4800017523 4800017511</t>
  </si>
  <si>
    <t>272A - L10</t>
  </si>
  <si>
    <t>EGLV149206527136</t>
  </si>
  <si>
    <t>KOTA SANTOS 0002W</t>
  </si>
  <si>
    <t>EGLV149206382677</t>
  </si>
  <si>
    <t>EGLV149206527560</t>
  </si>
  <si>
    <t>EGLV149206527454</t>
  </si>
  <si>
    <t>EGLV149206528728</t>
  </si>
  <si>
    <t>4800017650
4800017618</t>
  </si>
  <si>
    <t>EGLV149206528493</t>
  </si>
  <si>
    <t>22/1718337-0</t>
  </si>
  <si>
    <t>SHW-44534I22</t>
  </si>
  <si>
    <t>EMS02R20001482HWA0002H
EMS02R20001484HWA0005H</t>
  </si>
  <si>
    <t>BRA2022090450001</t>
  </si>
  <si>
    <t>EGLV149206555156</t>
  </si>
  <si>
    <t>4800017674
4800017678</t>
  </si>
  <si>
    <t>22/1741446-0</t>
  </si>
  <si>
    <t>22/1756276-1</t>
  </si>
  <si>
    <t>22/1755818-7</t>
  </si>
  <si>
    <t>22/1756618-0</t>
  </si>
  <si>
    <t>22/1757235-0</t>
  </si>
  <si>
    <t>22/1757586-3</t>
  </si>
  <si>
    <t>22/1757247-3</t>
  </si>
  <si>
    <t>SHW-44656I22</t>
  </si>
  <si>
    <t>EMS02R20001472HWA0002H
EMS02R20001478HWA0006H
EMS02R20001478HWA0007H
EMS02R20001479HWA0001H
EMS02R20001480HWA0002H
EMS02R20001481HWA0001H
EMS02R20001481HWA0004H
EMS02R20001483HWA0001H</t>
  </si>
  <si>
    <t>BRA2022090950005</t>
  </si>
  <si>
    <t>SHW-44693I22</t>
  </si>
  <si>
    <t>EMS02R20001453HWA0012H
EMS02R20001478HWA0009H
EMS02R20001480HWA0001H
EMS02R20001453HWA0005H</t>
  </si>
  <si>
    <t>BRA2022091350002</t>
  </si>
  <si>
    <t>EGLV149206361483</t>
  </si>
  <si>
    <t>*Shenker*
27/07 - Recebidas Invoices
28/07 - Recebido BL_149205076815-draft
BMOU4626653 / 40H / EMCMQT5702 / 61 CASES
31/07 - Material coletado em 2022-07-28 00:18:59 - ETA 2022-09-13
Tender: HTM2022072604484
02/09 - Data Entrada: 02/09/2022 10:00:32
Sem divergência de peso.
SIGVIG Retido. Inspeção da Madeira em 05/09.
05/09 - DI Registrada - Canal verde - entrega programada para 06/09
06/09 - Material entregue.</t>
  </si>
  <si>
    <t>*Shenker*
02/08 - Recebidas Invoices
03/08 - Recebido BL_149205910700-draft
EGHU3380680 / 20' / EMCMPR3702 / 18 CASES
04/08 - Tender:HTM2022073101194
Material coletado em 2022-08-02 08:42:00 - ETA 2022-09-18
09/09 - DataEntrada: 08/09/2022 23:46:31
Sem divergência de peso
SIGVIG Liberado.
09/09 - DI Registrada - Canal verde - entrega programada para 12/09
12/09 - Material entregue.</t>
  </si>
  <si>
    <t>*Shenker*
02/08 - Recebidas Invoices
03/08 - Recebido BL_149205882587-draft
EGHU3380680 / 20' / EMCMPR3702 / 28 CASES
04/08 - Tender:HTM2022073101194
Material coletado em 2022-08-02 08:42:00 - ETA 2022-09-18
09/09 - DataEntrada: 08/09/2022 23:46:31
Sem divergência de peso
SIGVIG Liberado.
09/09 - DI Registrada - Canal verde - entrega programada para 12/09
12/09 - Material entregue.</t>
  </si>
  <si>
    <t>*Shenker*
01/08 - Recebidas Invoices
04/08 - Material coletado em 2022-08-02 03:48:49 - ETA 2022-09-18
Tender: HTM2022080103323
08/08 - Recebido BL_149205233082-draft
TCNU6660861 / 40H / EMCMRM3212 / 52 CASES
09/09 - DataEntrada: 08/09/2022 21:35:13
Sem divergência de peso
SIGVIG Liberado.
09/09 - DI Registrada - Canal verde - entrega programada para 12/09
12/09 - Material entregue.</t>
  </si>
  <si>
    <t>*Shenker*
08/08 - Recebidas Invoices
10/08 - Recebido BL_149205987061-draft
CAAU5467996 / 40H / EMCMMW2222 / 69 cases
Tender:HTM2022080505630
Material coletado em 2022-08-07 05:27:34 - ETA 2022-09-23
08/09 - Data Atracação 06/09/2022 00:06:00
Sem divergência de peso
SIGVIG Liberado.
09/09 - DI Registrada - Canal verde - entrega programada para 12/09
12/09 - Material entregue.</t>
  </si>
  <si>
    <t>*Shenker*
05/08 - Recebidas Invoices
07/08 - Tender:HTM2022080304452
Material coletado em 2022-08-05 14:27:38 - ETA 2022-09-21
08/08 - Recebido BL_149205931324-draft
EMCU1553559 / 40H / EMCMNQ4762 / 41 cases
06/09 - Data Atracação 06/09/2022 00:06:00
Sem divergência de peso
SIGVIG Liberado.
DI Registrada - Canal verde - entrega programada para 11/09.
14/09 - Material entregue.</t>
  </si>
  <si>
    <t>*Shenker*
04/08 - Recebidas Invoices
Material coletado em 2022-08-05 15:43:03 - ETA 2022-09-21
10/08 - Recebido BL_149206050691-draft
TXGU5774585 / 40'(SH) / EMCMMU5142 / 26 CASES
08/09 - Data Atracação 06/09/2022 00:06:00
Sem divergência de peso
SIGVIG Liberado.
09/09 - DI Registrada - Canal verde - entrega programada para 12/09
12/09 - Material entregue.</t>
  </si>
  <si>
    <t>*Shenker*
04/08 - Recebidas Invoices
07/08 - Tender:HTM2022080402858
Material coletado em 2022-08-05 15:43:03 - ETA 2022-09-21
10/08 - Recebido BL_149205964923-draft
TXGU5774585 / 40'(SH) / EMCMMU5142 / 26 CASES
08/09 - Data Atracação 06/09/2022 00:06:00
Sem divergência de peso
SIGVIG Liberado.
09/09 - DI Registrada - Canal verde - entrega programada para 12/09
12/09 - Material entregue.</t>
  </si>
  <si>
    <t xml:space="preserve">4800017651   4800017671   4800017672   4800017675   4800017673   4800017670                </t>
  </si>
  <si>
    <t>RRU L10     BBU L10      272J</t>
  </si>
  <si>
    <t>SHW-44773I22</t>
  </si>
  <si>
    <t>SHW-44774I22</t>
  </si>
  <si>
    <t>SHW-44775I22</t>
  </si>
  <si>
    <t>EGLV149206669062</t>
  </si>
  <si>
    <t>SHW-44776I22</t>
  </si>
  <si>
    <t>EMS02R20001453HWA0010H
EMS02R20001453HWA0011H
EMS02R20001478HWA0005H
EMS02R20001478HWA0011H</t>
  </si>
  <si>
    <t>BRA2022091450009</t>
  </si>
  <si>
    <t>HWC2022091449679</t>
  </si>
  <si>
    <t>EMS01J20000275DPA0004H</t>
  </si>
  <si>
    <t>4800017618   4800017670</t>
  </si>
  <si>
    <t>4800017618   4800017670    4800017672</t>
  </si>
  <si>
    <t>22/1819204-6</t>
  </si>
  <si>
    <t>22/1820207-6</t>
  </si>
  <si>
    <t>22/1819931-8</t>
  </si>
  <si>
    <t>22/1819567-3</t>
  </si>
  <si>
    <t>EMS02R20001481HWA0002H
EMS02R20001484HWA0001H
EMS02R20001472HWA0001H
EMS02R20001478HWA0002H
EMS02R20001478HWA0008H
EMS02R20001482HWA0011H</t>
  </si>
  <si>
    <t>BRA2022091650006</t>
  </si>
  <si>
    <t>EGLV149206769407</t>
  </si>
  <si>
    <t>EVER LIFTING 1503-046W</t>
  </si>
  <si>
    <t>EMS02R20001478HWA0001H
EMS02R20001482HWA0001H
EMS02R20001482HWA0008H</t>
  </si>
  <si>
    <t>BRA2022091550008</t>
  </si>
  <si>
    <t>EGLV149206360037</t>
  </si>
  <si>
    <t xml:space="preserve">4800017651    4800017670  4800017673   4800017674    4800017678  </t>
  </si>
  <si>
    <t>4800017670    4800017674</t>
  </si>
  <si>
    <t>EMS02R20001478HWA0003H
EMS02R20001482HWA0012H
EMS02R20001484HWA0006H
EMS02R20001484HWA0003H
EMS02R20001484HWA0004H
EMS02R20001486HWA0002H</t>
  </si>
  <si>
    <t>BRA2022092150001</t>
  </si>
  <si>
    <t>EGLV149206712456</t>
  </si>
  <si>
    <t>EGLV149206712707</t>
  </si>
  <si>
    <t xml:space="preserve"> SHW-44915I22</t>
  </si>
  <si>
    <t>4800017670   4800017674   4800017678  4800017680</t>
  </si>
  <si>
    <t>RRU L10               272J</t>
  </si>
  <si>
    <t>EGLV149206857993</t>
  </si>
  <si>
    <t>*Shenker*
1008 - Recebidas Invoices
11/08 - Recebido BL_149206070110-draft
EGSU3111534 / 20'(SD) / EMCMRN0392 / 18 CASES
12/08 - Tender:HTM2022080904698
Material coletado em 2022-08-11 09:20:53 - ETA 2022-09-27
16/09 - DataEntrada: 15/09/2022 17:18:15
Sem divergência de peso
SIGVIG Liberado.
DI Registrada - Canal verde - entrega programada para 19/09.
19/09 - Material entregue.</t>
  </si>
  <si>
    <t>*Shenker*
1008 - Recebidas Invoices
11/08 - Recebido BL_149206069812-draft
EGSU3111534 / 20'(SD) / EMCMRN0392 / 9 CASES
12/08 - Tender:HTM2022080904698
Material coletado em 2022-08-11 09:20:53 - ETA 2022-09-27
16/09 - DataEntrada: 15/09/2022 17:18:15
Sem divergência de peso
SIGVIG Liberado.
DI Registrada - Canal verde - entrega programada para 19/09.
19/09 - Material entregue.</t>
  </si>
  <si>
    <t>*Shenker*
11/08 - Recebidas Invoices
Recebido BL_149205786201-draft
CAAU5783422 / 40'(SH) / EMCMRN0602 / 40 CASES
12/08 - Tender: HTM2022080904632
Material coletado em 2022-08-11 13:50:34 - ETA 2022-09-27
16/09 - DataEntrada: 15/09/2022 22:12:54
Sem divergência de peso
SIGVIG Liberado.
DI Registrada - Canal verde - entrega programada para 19/09.
19/09 - Material entregue.</t>
  </si>
  <si>
    <t>*Shenker*
10/08 - Recebidas Invoices
Recebido BL_149206070331-draft
EISU2111370 / 20'(SD) / EMCMRH3572 / 21 CASES
12/08 - Tender: HTM2022081002504
Material coletado em 2022-08-11 19:52:48 - ETA 2022-09-27
16/09 - DataEntrada: 15/09/2022 16:04:19
Sem divergência de peso
SIGVIG Liberado.
DI Registrada - Canal verde - entrega programada para 19/09.
19/09 - Material entregue.</t>
  </si>
  <si>
    <t>EMS02R20001478HWA0010H
EMS02R20001478HWA0004H
EMS02R20001482HWA0009H</t>
  </si>
  <si>
    <t>BRA2022092450002</t>
  </si>
  <si>
    <t>NANSHA</t>
  </si>
  <si>
    <t>4800017670   4800017674</t>
  </si>
  <si>
    <t>22/1915895-0</t>
  </si>
  <si>
    <t>22/1915761-9</t>
  </si>
  <si>
    <t>22/1915796-1</t>
  </si>
  <si>
    <t>22/1915836-4</t>
  </si>
  <si>
    <t>22/1916190-0</t>
  </si>
  <si>
    <t>22/1915859-3</t>
  </si>
  <si>
    <t>SHW-44919I22</t>
  </si>
  <si>
    <t>SHW-45074I22</t>
  </si>
  <si>
    <t>SHW-45075I22</t>
  </si>
  <si>
    <t>SHW-45076I22</t>
  </si>
  <si>
    <t>SHW-45077I22</t>
  </si>
  <si>
    <t>EMS02R20001471HWA0002H
EMS02R20001480HWA0003H
EMS02R20001482HWA0015H
EMS02R20001483HWA0002H
EMS02R20001483HWA0003H
EMS02R20001484HWA0002H
EMS02R20001485HWA0001H
EMS02R20001487HWA0002H
EMS02R20001487HWA0003H</t>
  </si>
  <si>
    <t>BRA2022092750006</t>
  </si>
  <si>
    <t>EMS01J20000279HWA0001H
EMS01J20000280HWA0001H
EMS01J20000281HWA0003H</t>
  </si>
  <si>
    <t>BRA2022092750005</t>
  </si>
  <si>
    <t>SHW-44883I22</t>
  </si>
  <si>
    <t>EGLV149206977573</t>
  </si>
  <si>
    <t>EGLV149206360002</t>
  </si>
  <si>
    <t>CMA CGM NIAGARA 0AAD1W1MA</t>
  </si>
  <si>
    <t>EMS02R20001482HWA0014H
EMS02R20001482HWA0017H
EMS02R20001482HWA0019H
EMS02R20001485HWA0003H
EMS02R20001495HWA0002H
EMS02R20001526HWA0002H</t>
  </si>
  <si>
    <t>BRA2022092750015</t>
  </si>
  <si>
    <t xml:space="preserve">*Shenker*
28/09 - Recebida Invoice
30/09 - Recebido BL_149207014698-draft
TGBU8674680 / 40'(SH) / EMCPBS1342 / 44 CASES
</t>
  </si>
  <si>
    <t>EGLV149207014698</t>
  </si>
  <si>
    <t xml:space="preserve">4800017714  4800017745   4800017746   </t>
  </si>
  <si>
    <t>4800017650   4800017672   4800017674  4800017675  4800017678   4800017679   4800017682</t>
  </si>
  <si>
    <t>RRU L06
BBU L10
272J</t>
  </si>
  <si>
    <t>4800017674  4800017679  4800017726  4800017794</t>
  </si>
  <si>
    <t>RRU L10      272J</t>
  </si>
  <si>
    <t>*Shenker*
15/08 - Recebidas Invoices
22/08 - Recebido BL_149206142170-draft
BMOU5136563 / 40'(SH) / EMCMUH1492 / 33 CASES
24/08 - Material coletado em 2022-08-22 11:20:38 - ETA 2022-10-08
29/09 - Data Atracação 29/09/2022 04:24:00
Sem divergência de peso
SIGVIG Liberado.
DI Registrada - Canal verde.
03/10 - Material entregue.</t>
  </si>
  <si>
    <t>*Shenker*
15/08 - Recebidas Invoices
19/08 - Recebido BL_149206241500-draft
TCNU3910720 / 40'(SH) / EMCHYQ2861 / 4 CASES
22/08 - Material coletado em 2022-08-15 09:03:01 - ETA 2022-10-01
29/09 - Data Atracação 29/09/2022 04:24:00
Sem divergência de peso
SIGVIG Liberado.
DI Registrada - Canal verde.
03/10 - Material entregue.</t>
  </si>
  <si>
    <t>*Shenker*
15/08 - Recebidas Invoices
19/08 - Recebido BL_149205881522-draft
TCNU3910720 / 40'(SH) / EMCHYQ2861 / 4 CASES
22/08 - Material coletado em 2022-08-15 09:03:01 - ETA 2022-10-01
29/09 - Data Atracação 29/09/2022 04:24:00
Sem divergência de peso
SIGVIG Liberado.
DI Registrada - Canal verde.
03/10 - Material entregue.</t>
  </si>
  <si>
    <t>*Shenker*
23/08 - Recebidas Invoices
25/08 - Recebido BL_149206366850-draft
EGHU3691969 / 20'(SD) / EMCMUF5402 / 27 CASES
28/08 - Material coletado em 2022-08-26 13:42:45 - ETA 2022-10-12
29/09 - Data Atracação 29/09/2022 04:24:00
Com divergência de peso, mas devido à urgência seguiremos sem repesagem.
SIGVIG Liberado.
DI Registrada - Canal verde.
03/10 - Material entregue.</t>
  </si>
  <si>
    <t>*Shenker*
23/08 - Recebidas Invoices
24/08 - Recebido BL_149206256931-draft
EITU9437280 / 40'(SH) / EMCMUG6532 / 17 CASES
Material coletado em 2022-08-22 09:47:29 - ETA 2022-10-08
29/09 - Data Atracação 29/09/2022 04:24:00
Sem divergência de peso
SIGVIG Liberado.
DI Registrada - Canal verde.
03/10 - Material entregue.</t>
  </si>
  <si>
    <t>*Shenker*
23/08 - Recebidas Invoices
24/08 - Recebido BL_149206311699-draft
EITU9437280 / 40'(SH) / EMCMUG6532 / 38 CASES
Material coletado em 2022-08-22 09:47:29 - ETA 2022-10-08
29/09 - Data Atracação 29/09/2022 04:24:00
Sem divergência de peso
SIGVIG Liberado.
DI Registrada - Canal verde.
03/10 - Material entregue.</t>
  </si>
  <si>
    <t>EMS02R20001482HWA0006H
EMS02R20001482HWA0005H
EMS02R20001482HWA0004H
EMS02R20001487HWA0001H</t>
  </si>
  <si>
    <t>BRA2022092950001</t>
  </si>
  <si>
    <t>EMS02R20001482HWA0007H
EMS02R20001482HWA0010H
EMS02R20001482HWA0013H</t>
  </si>
  <si>
    <t>BRA2022092950008</t>
  </si>
  <si>
    <t>SHW-44920I22</t>
  </si>
  <si>
    <t>EMS02R20001407HWA0005H
EMS02R20001407HWA0014H
EMS02R20001482HWA0016H
EMS02R20001493HWA0021K
EMS02R20001493HWA0020K</t>
  </si>
  <si>
    <t>BRA2022100550002</t>
  </si>
  <si>
    <t>SHW-45150I22</t>
  </si>
  <si>
    <t>EMS02R20001407HWA0012H
EMS02R20001482HWA0003H
EMS02R20001485HWA0002H
EMS02R20001488HWA0001H
EMS02R20001495HWA0003H</t>
  </si>
  <si>
    <t>BRA2022092850016</t>
  </si>
  <si>
    <t>MAERSK EUPHRATES 240W</t>
  </si>
  <si>
    <t>4800017674
4800017724
4800017476</t>
  </si>
  <si>
    <t>EGLV149207029580</t>
  </si>
  <si>
    <t>4800017476
4800017674
4800017679
4800017683
4800017726</t>
  </si>
  <si>
    <t>EGLV149207047112</t>
  </si>
  <si>
    <t>4800017682
4800017674</t>
  </si>
  <si>
    <t>22/1998787-5</t>
  </si>
  <si>
    <t>*Shenker*
30/08 - Recebidas Invoices
05/09 - Recebido BL_149206527136-draft
EGHU3763288 / 20'(SD) / EMCMUB1042 / 16 CASES
07/09 - Tender: HTM2022082900829
Material coletado em 2022-09-04 06:05:18 - ETA 2022-10-21
10/10 - Data Atracação 08/10/2022 02:18:00
Sem divergência de peso
SIGVIG Liberado.
11/10 - DI Registrada - Canal verde.
13/10 - Material entregue.</t>
  </si>
  <si>
    <t>*Shenker*
30/08 - Recebidas Invoices
05/09 - Recebido BL_149206382677-draft
EGHU3763288 / 20'(SD) / EMCMUB1042 / 16 CASES
07/09 - Tender: HTM2022082900829
Material coletado em 2022-09-04 06:05:18 - ETA 2022-10-21
10/10 - Data Atracação 08/10/2022 02:18:00
Sem divergência de peso
SIGVIG Liberado.
11/10 - DI Registrada - Canal verde.
13/10 - Material entregue.</t>
  </si>
  <si>
    <t>*Shenker*
31/08 - Recebidas Invoices
05/09 - Recebido BL_149206527560-draft
TGHU6661197 / 40'(SH) / EMCMUB0932 / 47 CASES
07/09 - Tender: HTM2022083004104
Material coletado em 2022-09-04 13:43:42 - ETA 2022-10-21
10/10 - Data Atracação 08/10/2022 02:18:00
Sem divergência de peso
SIGVIG Liberado.
11/10 - DI Registrada - Canal verde.
13/10 - Material entregue.</t>
  </si>
  <si>
    <t>*Shenker*
31/08 - Recebidas Invoices
05/09 - Recebido BL_149206527454-draft
TGHU6661197 / 40'(SH) / EMCMUB0932 / 4 CASES
07/09 - Tender: HTM2022083004104
Material coletado em 2022-09-04 13:43:42 - ETA 2022-10-21
10/10 - Data Atracação 08/10/2022 02:18:00
Sem divergência de peso
SIGVIG Liberado.
11/10 - DI Registrada - Canal verde.
13/10 - Material entregue.</t>
  </si>
  <si>
    <t>*Shenker*
02/09 - Recebidas Invoices
05/09 - Recebido BL_149206528728-draft
EITU1542782 / 40'(SH) / EMCMUB1602 / 47 CASES
07/09 - Tender: HTM2022090201343
Material coletado em 2022-09-05 00:07:21 - ETA 2022-10-21
10/10 - Data Atracação 08/10/2022 02:18:00
Sem divergência de peso
SIGVIG Liberado.
11/10 - DI Registrada - Canal verde.
13/10 - Material entregue.</t>
  </si>
  <si>
    <t>*Shenker*
02/09 - Recebidas Invoices
05/09 - Recebido BL_149206528493-draft
EITU9276190 / 40'(SH) / EMCMUB0062 / 45 CASES
07/09 - Tender: HTM2022090104627
Material coletado em 2022-09-04 15:11:30 - ETA 2022-10-21
10/10 - Data Atracação 08/10/2022 02:18:00
Sem divergência de peso
SIGVIG Liberado.
11/10 - DI Registrada - Canal verde.
13/10 - Material entregue.</t>
  </si>
  <si>
    <t>*Shenker*
05/09 - Recebidas Invoices
07/09 - Recebido BL_149206555156-draft
EMCU1548573 / 40'(SH) / EMCMUD6432 / 70 CASES
09/09 - Tender: HTM2022090400340
Material coletado em 2022-09-06 11:30:05 - ETA 2022-10-23
10/10 - Data Atracação 08/10/2022 02:18:00
Sem divergência de peso
SIGVIG Liberado.
11/10 - DI Registrada - Canal verde.
13/10 - Material entregue.</t>
  </si>
  <si>
    <t>22/1998836-7</t>
  </si>
  <si>
    <t>22/1998877-4</t>
  </si>
  <si>
    <t>22/1998935-5</t>
  </si>
  <si>
    <t>22/1998972-0</t>
  </si>
  <si>
    <t>22/1999047-7</t>
  </si>
  <si>
    <t>22/2005463-1</t>
  </si>
  <si>
    <t>SHW-45242I22</t>
  </si>
  <si>
    <t>EMS02R20001540HWA0002H
EMS02R20001493HWA0003K
EMS02R20001486HWA0001H
EMS02R20001484HWA0007H
EMS02R20001407HWA0013H</t>
  </si>
  <si>
    <t>BRA2022101050004</t>
  </si>
  <si>
    <t>4800017476
4800017678
4800017680
4800017724
4800017811</t>
  </si>
  <si>
    <t>MAERSK CUBANGO 240W</t>
  </si>
  <si>
    <t>SHW-45372I22</t>
  </si>
  <si>
    <t>4800017780       4800017746</t>
  </si>
  <si>
    <t>BRA2022101450005</t>
  </si>
  <si>
    <t>EMS01J20000281HWA0002H           EMS01J20000281HWA0005K     EMS01J20000281HWA0006K          EMS01J20000284HWA0002H</t>
  </si>
  <si>
    <t>SHW-45370I22</t>
  </si>
  <si>
    <t>4800017476         4800017674       4800017726   4800017801   4800017809        4800017810   4800017835         4800017836    4800017837    4800017838          4800017839   4800017862    4800017870</t>
  </si>
  <si>
    <t>BRA2022101450006</t>
  </si>
  <si>
    <t>EMS02R20001407HWA0018H   EMS02R20001482HWA0018H   EMS02R20001495HWA0001H    EMS02R20001530HWA0003K   EMS02R20001538HWA0002H   EMS02R20001539HWA0001H
EMS02R20001547HWA0001H
EMS02R20001548HWA0001H   EMS02R20001549HWA0001H    EMS02R20001550HWA0001H    EMS02R20001551HWA0003H     EMS02R20001560HWA0001H
 EMS02R20001566HWA0001H</t>
  </si>
  <si>
    <t xml:space="preserve">RRU L10           BBU L06          272J       </t>
  </si>
  <si>
    <t>SHW-45376I22</t>
  </si>
  <si>
    <t>4800017802     4800017803         4800017840        4800017911</t>
  </si>
  <si>
    <t>BRA2022101750006</t>
  </si>
  <si>
    <t>RRU L06             272J</t>
  </si>
  <si>
    <t>BRA2022101750005</t>
  </si>
  <si>
    <t xml:space="preserve">STORAGE </t>
  </si>
  <si>
    <t>EMS02R20001532HWA0009H
EMS02R20001531HWA0017K
EMS02R20001552HWA0002H
EMS02R20001595HWA0001H
EMS02R20001595HWA0003H
EMS02R20001595HWA0004H</t>
  </si>
  <si>
    <t>EMS01J20000284HWA0001H
EMS01J20000284HWA0003H</t>
  </si>
  <si>
    <t>SHW-45377I22</t>
  </si>
  <si>
    <t>SHW-45457I22</t>
  </si>
  <si>
    <t>SHW-45458I22</t>
  </si>
  <si>
    <t>SHW-45459I22</t>
  </si>
  <si>
    <t>4800017869   4800017911   4800017913   4800017914        4800017915           4800017916   4800017919</t>
  </si>
  <si>
    <t>BRA2022101950014</t>
  </si>
  <si>
    <t>EMS02R20001586HWA0002H
EMS02R20001596HWA0002H
EMS02R20001585HWA0001H
EMS02R20001596HWA0001H
EMS02R20001595HWA0002H
EMS02R20001598HWA0002H
EMS02R20001595HWA0006H
EMS02R20001584HWA0001H
EMS02R20001565HWA0002H</t>
  </si>
  <si>
    <t>RRU L10          BBU L06            272J</t>
  </si>
  <si>
    <t>BRA2022101950013</t>
  </si>
  <si>
    <t>EMS02R20001535HWA0007H
EMS02R20001538HWA0001H
EMS02R20001565HWA0001H
EMS02R20001582HWA0001H
EMS02R20001582HWA0002H
EMS02R20001586HWA0001H
EMS02R20001588HWA0001H
EMS02R20001588HWA0002H
EMS02R20001596HWA0003H
EMS02R20001597HWA0003H
EMS02R20001598HWA0006H</t>
  </si>
  <si>
    <t>BRA2022101950012</t>
  </si>
  <si>
    <t xml:space="preserve">EMS01J20000281HWA0004K
EMS01J20000281HWA0007K
EMS01J20000282HWA0001H </t>
  </si>
  <si>
    <t>4800017806   4800017809   4800017869   4800017912   4800017913  4800017916   4800017917   4800017918   4800017919</t>
  </si>
  <si>
    <t>RRU L10          BBU L10        272J</t>
  </si>
  <si>
    <t>4800017746   4800017778</t>
  </si>
  <si>
    <t>Embarque</t>
  </si>
  <si>
    <t>Aeroporto</t>
  </si>
  <si>
    <t>SHW-45464I22</t>
  </si>
  <si>
    <t>4800017868       4800017870         4800017889         4800017911  4800017917       4800017919</t>
  </si>
  <si>
    <t>BRA2022102250009</t>
  </si>
  <si>
    <t>EMS02R20001566HWA0002H
EMS02R20001564HWA0001H
EMS02R20001598HWA0003H
EMS02R20001571HWA0001H
EMS02R20001571HWA0002H
EMS02R20001595HWA0007H
EMS02R20001597HWA0002H
EMS02R20001595HWA0005</t>
  </si>
  <si>
    <t>BBU L10            272J</t>
  </si>
  <si>
    <t>1x40 - EITU1396029</t>
  </si>
  <si>
    <t>1x40 - EMCU8210084</t>
  </si>
  <si>
    <t>1x40 - EGHU9206839</t>
  </si>
  <si>
    <t>1x40 - EISU8589279</t>
  </si>
  <si>
    <t>1x40 - EMCU8714146</t>
  </si>
  <si>
    <t>SHW-45523I22</t>
  </si>
  <si>
    <t>SHW-45524I22</t>
  </si>
  <si>
    <t>BRA2022102450009</t>
  </si>
  <si>
    <t>EMS01J20000281HWA0001K
EMS01J20000282HWA0002H
EMS01J20000284HWA0004H
EMS01J20000284HWA0005H
EMS01J20000285HWA0002K
EMS01J20000286HWA0001H
EMS01J20000292HWA0002H
EMS01J20000292HWA0003H
EMS01J20000294HWA0001H</t>
  </si>
  <si>
    <t>BRA2022102450010</t>
  </si>
  <si>
    <t>EMS02R20001540HWA0001H
EMS02R20001564HWA0002H
EMS02R20001584HWA0002H
EMS02R20001584HWA0003H
EMS02R20001585HWA0003H
EMS02R20001586HWA0003H
EMS02R20001597HWA0001H
EMS02R20001598HWA0001H
EMS02R20001597HWA0005H</t>
  </si>
  <si>
    <t>4800017746   4800017778   4800017780   4800017795   4800017796  4800017932   4800017933</t>
  </si>
  <si>
    <t>4800017811   4800017868   4800017914  4800017915   4800017916   4800017917  4800017919</t>
  </si>
  <si>
    <t>RRU L10      BBU L10            272J</t>
  </si>
  <si>
    <t>*Shenker*
16/09 - Recebidas Invoices
17/09 - Recebido BL_149206769407-draft
EITU1396029 / 40'(SH) / EMCMPX0182 / 49 CASES
20/09 - Tender: HTM2022091603503
Material coletado em 2022-09-17 10:52:22 - ETA 2022-11-03
24/10 - Presença de carga ok - SIGVIG liberado - DI registrada - canal verde
27/10 - Material entregue.</t>
  </si>
  <si>
    <t>*Shenker*
15/09 - Recebidas Invoices
Tender: HTM2022091502397
Material coletado em 2022-09-16 03:13:41 - ETA 2022-10-31
17/09 - Recebido BL_149206360037-draft
EMCU8210084 / 40'(SH) / EMCMPZ7552 / 45 CASES
24/10 - Presença de carga ok - SIGVIG liberado - DI registrada - canalc verde
27/10 - Material entregue.</t>
  </si>
  <si>
    <t>*Shenker*
15/09 - Recebidas Invoices
16/09 - Recebido BL_149206712707-draft
EISU8486060 / 40'(SH) / EMCMPZ5892 / 48 CASES
Tender: HTM2022091402953
Material coletado em 2022-09-15 16:04:07 - ETA 2022-10-30
24/10 - Presença de carga ok - SIGVIG liberado
26/10 - Material entregue.</t>
  </si>
  <si>
    <t>*Shenker*
15/09 - Recebidas Invoices
16/09 - Recebido BL_149206712456-draft
EISU8486060 / 40'(SH) / EMCMPZ5892 / 16 CASES
Tender: HTM2022091402953
Material coletado em 2022-09-15 16:04:07 - ETA 2022-10-30
24/10 - Presença de carga ok - SIGVIG liberado
26/10 - Material entregue.</t>
  </si>
  <si>
    <t>*Shenker*
20/09 - Recebidas Invoices
23/09 - Tender: HTM2022092005064
Material coletado em 2022-09-21 19:32:00 - ETA 2022-11-07
26/09 - Recebido BL_149206857993-draft
EGHU9206839 / 40'(SH) / EMCPDF7462 / 47 CASES
24/10 - Presença de carga ok - SIGVIG liberado - DI registrada - canal verde
27/10 - Material entregue.</t>
  </si>
  <si>
    <t>*Shenker*
13/09 - Recebidas Invoices
14/09 - Recebido BL_149206669062-draft
EISU8589279 / 40'(SH) / EMCMQF2722 / 66 CASES
16/09 - Tender: HTM2022091300948
Material coletado em 2022-09-13 19:46:00 - ETA 2022-10-30
16/10 - De acordo com site do terminal navio previsto atracar dia 27/11
24/10 - Presença de carga ok - SIGVIG liberado - DI registrada - canal verde
28/10 - Material entregue.</t>
  </si>
  <si>
    <t>*Shenker*
09/09 - Recebidas Invoices
13/09 - Recebido BL_149206361483-draft
EMCU8714146 / 40'(SH) / EMCMQD1882 / 34 CASES
Tender: HTM2022090901483
Material coletado em 2022-09-12 09:26:19 - ETA 2022-10-29
16/10 - De acordo com site do terminal navio previsto atracar dia 27/11
24/10 - Presença de carga ok - SIGVIG liberado  - DI registrada - canal verde
28/10 - Material entregue.</t>
  </si>
  <si>
    <t>MAERSK KARUN 241W</t>
  </si>
  <si>
    <t>MAERSK IYO 242W</t>
  </si>
  <si>
    <t>SHW-45648I22</t>
  </si>
  <si>
    <t>SHW-45649I22</t>
  </si>
  <si>
    <t>EMS02R20001585HWA0002H
EMS02R20001597HWA0004H
EMS02R20001627HWA0001H
EMS02R20001598HWA0004H
EMS02R20001598HWA0005H
EMS02R20001598HWA0007H</t>
  </si>
  <si>
    <t>BRA2022103150003</t>
  </si>
  <si>
    <t>BRA2022103150002</t>
  </si>
  <si>
    <t>EMS01J20000283HWA0017H
EMS01J20000286HWA0002H
EMS01J20000286HWA0003H
EMS01J20000284HWA0012H
EMS01J20000284HWA0013H
EMS01J20000284HWA0007H
EMS01J20000285HWA0016H
EMS01J20000283HWA0027H
EMS01J20000283HWA0025H
EMS01J20000283HWA0028H
EMS01J20000283HWA0023H
EMS01J20000285HWA0013H
EMS01J20000283HWA0026H
EMS01J20000283HWA0024H
EMS01J20000285HWA0017H
EMS01J20000285HWA0008H
EMS01J20000283HWA0011H
EMS01J20000285HWA0007H
EMS01J20000285HWA0015H
EMS01J20000283HWA0021H
EMS01J20000283HWA0015H
EMS01J20000285HWA0005H
EMS01J20000285HWA0011H
EMS01J20000285HWA0012H
EMS01J20000299HWA0013H
EMS01J20000283HWA0010H
EMS01J20000283HWA0022H
EMS01J20000285HWA0006H
EMS01J20000285HWA0009H
EMS01J20000285HWA0010H
EMS01J20000299HWA0010H</t>
  </si>
  <si>
    <t>MAERSK ARAS 243W</t>
  </si>
  <si>
    <t>RRU L10                        BBU L06       272J</t>
  </si>
  <si>
    <t>4800018004
4800017779
4800017780
4800017795
4800017796</t>
  </si>
  <si>
    <t>4800017915
4800017917
4800017919
4800017982</t>
  </si>
  <si>
    <t>22/2186953-1</t>
  </si>
  <si>
    <t>22/2187219-2</t>
  </si>
  <si>
    <t>MAERSK LA PAZ / 239W</t>
  </si>
  <si>
    <t>*Shenker*
27/09 - Recebida Invoice
29/08 - Tender: HTM2022092605387
Material coletado em 2022-09-27 19:39:00 - ETA 2022-11-13
30/09 - Recebido BL_149206360002-draft
HMCU9089468 / 40'(SH) / EMCPCZ1522 / 45 CASES
16/10 - De acordo com site do terminal navio previsto atracar dia 02/11
04/11 - DataEntrada: 03/11/2022 23:27:43
Com divergência de peso de -14,46%
SIGVIG Liberado.
DI registrada - Canal verde - entrega programada para 07/11
07/11 - Material entregue.</t>
  </si>
  <si>
    <t>*Shenker*
27/09 - Recebida Invoice
29/08 - Tender: HTM2022092605387
Material coletado em 2022-09-27 19:39:00 - ETA 2022-11-13
30/09 - Recebido BL_149206977573-draft
HMCU9089468 / 40'(SH) / EMCPCZ1522 / 32 CASES
16/10 - De acordo com site do terminal navio previsto atracar dia 02/11
04/11 - DataEntrada: 03/11/2022 23:27:43
Com divergência de peso de -14,46%
SIGVIG Liberado.
DI registrada - Canal verde - entrega programada para 07/11
07/11 - Material entregue.</t>
  </si>
  <si>
    <t>22/2201111-5</t>
  </si>
  <si>
    <t>22/2201628-1</t>
  </si>
  <si>
    <t>22/2200939-0</t>
  </si>
  <si>
    <t>22/2201226-0</t>
  </si>
  <si>
    <t>22/2201411-4</t>
  </si>
  <si>
    <t>*Shenker*
29/09 - Recebida Invoice
04/10 - Tender: HTM2022092900770
Material coletado em 2022-09-30 19:21:00 - ETA 2022-11-16
10/10 - Recebido BL_149207047112-draft
EISU8219654 / 40'(SH) / EMCPDH2032 / 46 CASES
16/10 - De acordo com site do terminal navio previsto atracar dia 02/11
07/11 - Data Entrada: 05/11/2022 01:04:24
Sem divergência de peso
SIGVIG Liberado.
DI registrada - Canal verde - entrega programada para 08/11.
08/11 - Material entregue.</t>
  </si>
  <si>
    <t>28/09 - Recebida Invoice
04/10 - Tender: HTM2022092803262
Material coletado em 2022-09-29 16:16:30 - ETA 2022-11-15
10/10 - Recebido BL_149207029580-draft
EITU0089943 / 20'(SD) / EMCPBU8192 / 18 CASES
16/10 - De acordo com site do terminal navio previsto atracar dia 02/11
07/11 - Data Entrada: 05/11/2022 01:56:22
Com divergência de peso de -8,28%
SIGVIG Liberado.
DI registrada - Canal verde - entrega programada para 08/11.
08/11 - Material entregue.</t>
  </si>
  <si>
    <t>SHW-45778I22</t>
  </si>
  <si>
    <t>SHW-45779I22</t>
  </si>
  <si>
    <t>SHW-45780I22</t>
  </si>
  <si>
    <t>SHW-45781I22</t>
  </si>
  <si>
    <t>EMS02R20001658HWA0001H
EMS02R20001655HWA0003H
EMS02R20001657HWA0002H
EMS02R20001621HWA0007H
EMS02R20001650HWA0001H
EMS02R20001653HWA0001H
EMS02R20001653HWA0002H
EMS02R20001664HWA0001H
EMS02R20001622HWA0004H
EMS02R20001680HWA0002H
EMS02R20001658HWA0008H
EMS02R20001663HWA0002H
EMS02R20001651HWA0001H
EMS02R20001661HWA0001H
EMS02R20001658HWA0005H
EMS02R20001657HWA0001H
EMS02R20001652HWA0001H
EMS02R20001650HWA0002H</t>
  </si>
  <si>
    <t>BRA2022110950006</t>
  </si>
  <si>
    <t>EMS01J20000283HWA0018H
EMS01J20000299HWA0002H
EMS01J20000281HWA0008H
EMS01J20000284HWA0006H
EMS01J20000283HWA0019H
EMS01J20000283HWA0029H
EMS01J20000283HWA0032H
EMS01J20000285HWA0004H
EMS01J20000284HWA0008H
EMS01J20000284HWA0009H
EMS01J20000284HWA0010H
EMS01J20000286HWA0004H
EMS01J20000299HWA0012H
EMS01J20000284HWA0011H
EMS01J20000299HWA0003H
EMS01J20000283HWA0030H
EMS01J20000299HWA0005H
EMS01J20000299HWA0007H
EMS01J20000299HWA0006H
EMS01J20000299HWA0004H
EMS01J20000299HWA0001H
EMS01J20000299HWA0011H</t>
  </si>
  <si>
    <t>BRA2022110950005</t>
  </si>
  <si>
    <t>MAERSK CUANZA 244W</t>
  </si>
  <si>
    <t>EMS02R20001626HWA0001H
EMS02R20001628HWA0001H
EMS02R20001658HWA0006H
EMS02R20001660HWA0001H
EMS02R20001682HWA0004H
EMS02R20001655HWA0002H</t>
  </si>
  <si>
    <t>EMS01J20000301HWA0001H</t>
  </si>
  <si>
    <t>BRA2022111050003</t>
  </si>
  <si>
    <t>HWC2022111010968</t>
  </si>
  <si>
    <t>4800017976   4800017977  4800018029   4800018030  4800018031    4800018032  4800018033   4800018034   4800018035   4800018055  4800018057  4800018058   4800018079</t>
  </si>
  <si>
    <t>RRU L10    RRU L06     BBU L10        272J</t>
  </si>
  <si>
    <t>4800017746  4800017779   4800017780  4800017795   4800018004   4800017796</t>
  </si>
  <si>
    <t>4800017981  4800017983  4800018033  4800018035  4800018081</t>
  </si>
  <si>
    <t>RRU L10        RRU L06     272J</t>
  </si>
  <si>
    <t>*Shenker*
28/09 - Recebida Invoice
29/09 - Tender:HTM2022092703988
Material coletado em 2022-09-28 20:17:00 - ETA 2022-11-14
30/09 - Recebido BL_149207014698-draft
TGBU8674680 / 40'(SH) / EMCPBS1342 / 44 CASES
16/10 - De acordo com site do terminal navio previsto atracar dia 02/11
07/11 - Data Entrada: 05/11/2022 01:03:35
Sem divergência de peso
SIGVIG Liberado.
DI registrada - Canal verde - entrega programada para 11/11.
11/11 - Material entregue.</t>
  </si>
  <si>
    <t>*Shenker*
26/09 - Recebidas Invoices
28/09 - Recebido BL_914620309-draft
MSKU0711344 ML-CN9913456 40 DRY 9'6 45 Case 5856.500 KGS 49.5400 CBM
Tender: HTM2022092400954
Material coletado em 2022-09-27 09:21:21 - ETA 2022-11-13
07/11 - Data Atracação 06/11/2022 17:54:00
Sem divergência de peso
SIGVIG Liberado.
DI registrada - Canal verde - entrega programada para 11/11.
11/11 - Material entregue.</t>
  </si>
  <si>
    <t>*Shenker*
29/09 - Recebida Invoice
04/10 - Tender: HTM2022092902320
Material coletado em 2022-09-30 19:21:00 - ETA 2022-11-16
10/10 - Recebido BL_221995032-draft
MSKU1303120 ML-CN9938298 40 DRY 9'6 45 Case 5763.500 KGS 48.1700 CBM
07/11 - Data Atracação 06/11/2022 17:54:00
Sem divergência de peso
SIGVIG Liberado.
DI registrada - Canal verde - entrega programada para 11/11.
11/11 - Material entregue.</t>
  </si>
  <si>
    <t>SHW-45847I22</t>
  </si>
  <si>
    <t>SHW-45848I22</t>
  </si>
  <si>
    <t>EMS02R20001650HWA0003H
EMS02R20001653HWA0004H
EMS02R20001658HWA0002H
EMS02R20001658HWA0004H
EMS02R20001658HWA0007H
EMS02R20001662HWA0001H
EMS02R20001663HWA0001H
EMS02R20001682HWA0001H
EMS02R20001682HWA0002H
EMS02R20001682HWA0003H
EMS02R20001682HWA0005H
EMS02R20001682HWA0006H
EMS02R20001588HWA0003H
EMS02R20001662HWA0002H</t>
  </si>
  <si>
    <t>BRA2022111450004</t>
  </si>
  <si>
    <t>EMS01J20000301HWA0002H</t>
  </si>
  <si>
    <t>HWC2022111414818</t>
  </si>
  <si>
    <t>4800017918  4800018029  4800018032   4800018035  4800018056  4800018057   4800018081</t>
  </si>
  <si>
    <t>RRU L10    BBU L06            272J</t>
  </si>
  <si>
    <t>MAERSK CONAKRY</t>
  </si>
  <si>
    <t>SHW-45958I22</t>
  </si>
  <si>
    <t>SHW-45959I22</t>
  </si>
  <si>
    <t>EMS02R20001655HWA0001H
EMS02R20001658HWA0003H
EMS02R20001658HWA0009H
EMS02R20001679HWA0002H
EMS02R20001680HWA0001H
EMS02R20001682HWA0007H
EMS02R20001682HWA0008H
EMS02R20001682HWA0009H
EMS02R20001682HWA0010H
EMS02R20001682HWA0011H
EMS02R20001682HWA0013H
EMS02R20001698HWA0001H</t>
  </si>
  <si>
    <t>BRA2022112550005</t>
  </si>
  <si>
    <t>EMS01J20000299HWA0008H</t>
  </si>
  <si>
    <t>HWC2022112526948</t>
  </si>
  <si>
    <t xml:space="preserve">4800018033  4800018035  4800018078  4800018079  4800018081  4800018118    </t>
  </si>
  <si>
    <t>05/10 - Recebida Invoice
06/10 - Tender: HTM2022100500428
Material coletado em 2022-10-05 16:52:11 - ETA 2022-11-11
10/10 - Recebido BL_609254749-draft
MRSU3083052 ML-CN9938297 40 DRY 9'6 42 Case 5517.000 KGS 45.8700 CBM
13/10 - Enviado BL final para despachante
16/11 - Data Atracação 13/11/2022 12:24:00
Sem divergência de peso
Status SIGVIG: Retido
DI Registrada - Canal verde.
22/11 - Material entregue.</t>
  </si>
  <si>
    <t>22/2270945-7</t>
  </si>
  <si>
    <t>10/10 - Recebida Invoice
12/10 - Recebido BL_609254750-draft
MSKU7153769 ML-CN9820453 20 DRY 8'6 20 Case 2324.380 KGS 21.9200 CBM
21/11 - Data Atracação: 20/11/2022 15:42:00
Sem divergência de peso
Status SIGVIG: Retido
22/11 - DI Registrada- Canal verde.
23/11 - Material entregue.</t>
  </si>
  <si>
    <t>22/2314377-5</t>
  </si>
  <si>
    <t>14/10 - Recebida Invoice
17/10 - Tender:HTM2022101302151
Material coletado em 2022-10-14 16:34:36 - ETA 2022-11-30
18/10 - Recebido BL_222385055-draft
HASU4504454 ML-CN9913447 40 DRY 9'6 50 Case 5553.970 KGS 44.2100 CBM
21/11 - Data Atracação: 20/11/2022 15:42:00
Sem divergência de peso
Status SIGVIG: Retido
22/11 - DI Registrada- Canal verde.
23/11 - Material entregue.</t>
  </si>
  <si>
    <t>22/2314644-8</t>
  </si>
  <si>
    <t>14/10 - Recebida Invoice
17/10 - Tender:HTM2022101302151
Material coletado em 2022-10-14 16:34:36 - ETA 2022-11-30
18/10 - Recebido BL_222326474-draft
HASU4504454 ML-CN9913447 40 DRY 9'6 20 Case 392.310 KGS 3.5300 CBM
21/11 - Data Atracação: 20/11/2022 15:42:00
Sem divergência de peso
Status SIGVIG: Retido
22/11 - DI Registrada- Canal verde.
23/11 - Material entregue.</t>
  </si>
  <si>
    <t>22/2314764-9</t>
  </si>
  <si>
    <t>22/2358786-0</t>
  </si>
  <si>
    <t>22/2358820-3</t>
  </si>
  <si>
    <t>22/2358880-7</t>
  </si>
  <si>
    <t>22/2358958-7</t>
  </si>
  <si>
    <t>22/2359064-0</t>
  </si>
  <si>
    <t>22/2359124-7</t>
  </si>
  <si>
    <t>17/10 - Recebida Invoice
21/10 - Tender: HTM2022101600748
Material coletado em 2022-10-18 - ETA 2022-12-04
MSKU1474890 ML-CN0683736 40 DRY 9'6 51 Case 6801.500 KGS 40.9700 CBM
28/11 - Data Atracação: 27/11/2022 16:24:00
Sem divergência de peso
SIGVIG Liberado.
DI Registrada - Canal verde.
02/12 - Material entregue.</t>
  </si>
  <si>
    <t>17/10 - Recebida Invoice
21/10 - Tender: HTM2022101600748
Material coletado em 2022-10-18 - ETA 2022-12-04
MSKU1474890 ML-CN0683736 40 DRY 9'6 38 Case 866.150 KGS 7.7700 CBM
28/11 - Data Atracação: 27/11/2022 16:24:00
Sem divergência de peso
SIGVIG Liberado.
DI Registrada - Canal verde.
02/12 - Material entregue.</t>
  </si>
  <si>
    <t>19/10 - Recebida Invoice
21/10 - Tender: HTM2022101900688
Material coletado em 2022-10-20 14:32:42 - ETA 2022-12-06
27/10 - Recebido BL_222484311-draft
DFSU6987301 ML-CN9840213 40 DRY 9'6 46 Case 6344.310 KGS 45.6700 CBM
28/11 - Data Atracação: 27/11/2022 16:24:00
Sem divergência de peso
SIGVIG Liberado.
DI Registrada - Canal verde.
02/12 - Material entregue.</t>
  </si>
  <si>
    <t>19/10 - Recebida Invoice
21/10 - Tender: HTM2022101701179
Material coletado em 2022-10-18 11:41:55 - ETA 2022-12-04
27/10 - Recebido BL_222401106-draft
INKU6163769 ML-CN0733190 40 DRY 9'6 39 Case 3692.630 KGS 30.4600 CBM
28/11 - Data Atracação: 27/11/2022 16:24:00
Sem divergência de peso
SIGVIG Liberado.
DI Registrada - Canal verde.
02/12 - Material entregue.</t>
  </si>
  <si>
    <t>19/10 - Recebida Invoice
21/10 - Tender: HTM2022101701179
Material coletado em 2022-10-18 11:41:55 - ETA 2022-12-04
27/10 - Recebido BL_222400963-draft
INKU6163769 ML-CN0733190 40 DRY 9'6 31 Case 754.980 KGS 7.2300 CBM
28/11 - Data Atracação: 27/11/2022 16:24:00
Sem divergência de peso
SIGVIG Liberado.
DI Registrada - Canal verde.
02/12 - Material entregue.</t>
  </si>
  <si>
    <t>24/10 - Recebida Invoice
25/10 - Tender: HTM2022102103178
Material coletado em 2022-10-22 05:40:57 - ETA 2022-12-08
27/10 - Recebido draft mas informado a HW que peso está divergente do PL - nao eviado ao despachante
28/10 - Recebido BL_222550497-draft
GESU6234382 ML-CN9938288 40 DRY 9'6 59 Case 8168.440 KGS 47.8500 CBM
28/11 - Data Atracação: 27/11/2022 16:24:00
Sem divergência de peso
SIGVIG Liberado.
DI Registrada - Canal verde.
02/12 - Material entregue.</t>
  </si>
  <si>
    <t>MAERSK CHILKA -246w</t>
  </si>
  <si>
    <t>SHW-46137I22</t>
  </si>
  <si>
    <t>EMS02R20001722HWA0001H
EMS02R20001721HWA0003H
EMS02R20001760HWA0001H
EMS02R20001698HWA0002H
EMS02R20001696HWA0001H
EMS02R20001740HWA0001H
EMS02R20001739HWA0003H
EMS02R20001746HWA0003H
EMS02R20001695HWA0001H
EMS02R20001697HWA0001H</t>
  </si>
  <si>
    <t>KMARIN ATLANTICA - 248W</t>
  </si>
  <si>
    <t xml:space="preserve">BRA2022120750002 </t>
  </si>
  <si>
    <t>4800018114  4800018115  4800018117  4800018118  4800018156  4800018157  4800018190  4800018194  4800018195  4800018216</t>
  </si>
  <si>
    <t>RRU L10   RRU L06    BBU L10    BBU L06     272J</t>
  </si>
  <si>
    <t>SHW-46188I22</t>
  </si>
  <si>
    <t>SHW-46189I22</t>
  </si>
  <si>
    <t>EMS01J20000305HWA0001H</t>
  </si>
  <si>
    <t>EMS02R20001739HWA0006H
EMS02R20001740HWA0002H
EMS02R20001740HWA0003H
EMS02R20001740HWA0004H
EMS02R20001740HWA0006H
EMS02R20001746HWA0009H
EMS02R20001746HWA0012H
EMS02R20001746HWA0031H
EMS02R20001746HWA0044H
EMS02R20001760HWA0002H</t>
  </si>
  <si>
    <t>BRA2022121250004</t>
  </si>
  <si>
    <t>HWC2022121245860</t>
  </si>
  <si>
    <t>4800018190
4800018194
4800018195
4800018216</t>
  </si>
  <si>
    <t xml:space="preserve">RRU L10
BBU L10
272J    </t>
  </si>
  <si>
    <t>22/2405648-5</t>
  </si>
  <si>
    <t>22/2405200-5</t>
  </si>
  <si>
    <t>22/2456653-0</t>
  </si>
  <si>
    <t>22/2457012-0</t>
  </si>
  <si>
    <t>SHW-46195I22</t>
  </si>
  <si>
    <t>EMS02R20001746HWA0043H
EMS02R20001739HWA0004H
EMS02R20001746HWA0018H
EMS02R20001746HWA0014H
EMS02R20001781HWA0001H
EMS02R20001746HWA0045H
EMS02R20001807HWA0002H
EMS02R20001767HWA0002H
EMS02R20001746HWA0046H</t>
  </si>
  <si>
    <t>BRA2022121550004</t>
  </si>
  <si>
    <t>MAERSK CAPE TOWN - 249W</t>
  </si>
  <si>
    <t>EMS02R20001746HWA0006H
EMS02R20001746HWA0029H
EMS02R20001746HWA0026H
EMS02R20001746HWA0016H
EMS02R20001746HWA0021H
EMS02R20001739HWA0005H
EMS02R20001746HWA0028H
EMS02R20001746HWA0022H
EMS02R20001746HWA0037H
EMS02R20001746HWA0036H
EMS02R20001746HWA0011H
EMS02R20001746HWA0030H
EMS02R20001746HWA0027H
EMS02R20001746HWA0015H
EMS02R20001746HWA0041H
EMS02R20001746HWA0020H
EMS02R20001746HWA0013H
EMS02R20001807HWA0003H</t>
  </si>
  <si>
    <t>BRA2022121950007</t>
  </si>
  <si>
    <t>4800018190
4800018195
4800018232
4800018254
4800018289</t>
  </si>
  <si>
    <t>RRU L10
RRU L06
272J</t>
  </si>
  <si>
    <t>4800018190
4800018195
4800018289</t>
  </si>
  <si>
    <t>22/2526913-0</t>
  </si>
  <si>
    <t>22/2527021-9</t>
  </si>
  <si>
    <t>22/2527151-7</t>
  </si>
  <si>
    <t>22/2527231-9</t>
  </si>
  <si>
    <t>SHW-45199I20</t>
  </si>
  <si>
    <t>SHW-45462I20</t>
  </si>
  <si>
    <t>SHW-40125I21</t>
  </si>
  <si>
    <t>SHW-40178I21</t>
  </si>
  <si>
    <t>SHW-40209I21</t>
  </si>
  <si>
    <t>SHW-40179I21</t>
  </si>
  <si>
    <t>SHW-40224I21</t>
  </si>
  <si>
    <t>SHW-40276I21</t>
  </si>
  <si>
    <t>SHW-40419I21</t>
  </si>
  <si>
    <t>SHW-40620I21</t>
  </si>
  <si>
    <t>SHW-40497I21</t>
  </si>
  <si>
    <t>SHW-40496I21</t>
  </si>
  <si>
    <t>SHW-40454I21</t>
  </si>
  <si>
    <t>SHW-40727I21</t>
  </si>
  <si>
    <t>SHW-40676I21</t>
  </si>
  <si>
    <t>SHW-40853I21</t>
  </si>
  <si>
    <t>SHW-40851I21</t>
  </si>
  <si>
    <t>SHW-40678I21</t>
  </si>
  <si>
    <t>SHW-40825I21</t>
  </si>
  <si>
    <t>SHW-40852I21</t>
  </si>
  <si>
    <t>SHW-40802I21</t>
  </si>
  <si>
    <t>SHW-41096I21</t>
  </si>
  <si>
    <t>SHW-40824I21</t>
  </si>
  <si>
    <t>SHW-41244I21</t>
  </si>
  <si>
    <t>SHW-41160I21</t>
  </si>
  <si>
    <t>SHW-41401I21</t>
  </si>
  <si>
    <t>SHW-40985I21</t>
  </si>
  <si>
    <t>SHW-40984I21</t>
  </si>
  <si>
    <t>SHW-41402I21</t>
  </si>
  <si>
    <t>SHW-41309I21</t>
  </si>
  <si>
    <t>SHW-40927I21</t>
  </si>
  <si>
    <t>SHW-41533I21</t>
  </si>
  <si>
    <t>SHW-41577I21</t>
  </si>
  <si>
    <t>SHW-41477I21</t>
  </si>
  <si>
    <t>SHW-41478I21</t>
  </si>
  <si>
    <t>SHW-41787I21</t>
  </si>
  <si>
    <t>SHW-41686I21</t>
  </si>
  <si>
    <t>SHW-41788I21</t>
  </si>
  <si>
    <t>SHW-41886I21</t>
  </si>
  <si>
    <t>SHW-42071I21</t>
  </si>
  <si>
    <t>SHW-42072I21</t>
  </si>
  <si>
    <t>SHW-42322I21</t>
  </si>
  <si>
    <t>SHW-42548I21</t>
  </si>
  <si>
    <t>SHW-42549I21</t>
  </si>
  <si>
    <t>SHW-42132I21</t>
  </si>
  <si>
    <t>SHW-42163I21</t>
  </si>
  <si>
    <t>SHW-42655I21</t>
  </si>
  <si>
    <t>SHW-42551I21</t>
  </si>
  <si>
    <t>SHW-42657I21</t>
  </si>
  <si>
    <t>SHW-42550I21</t>
  </si>
  <si>
    <t>SHW-42656I21</t>
  </si>
  <si>
    <t>SHW-42552I21</t>
  </si>
  <si>
    <t>SHW-42553I21</t>
  </si>
  <si>
    <t>SHW-42131I21</t>
  </si>
  <si>
    <t>SHW-42654I21</t>
  </si>
  <si>
    <t>SHW-42794I21</t>
  </si>
  <si>
    <t>SHW-42965I21</t>
  </si>
  <si>
    <t>SHW-43236I21</t>
  </si>
  <si>
    <t>SHW-43110I21</t>
  </si>
  <si>
    <t>SHW-43369I21</t>
  </si>
  <si>
    <t>SHW-43133I21</t>
  </si>
  <si>
    <t>SHW-43378I21</t>
  </si>
  <si>
    <t>SHW-43632I21</t>
  </si>
  <si>
    <t>SHW-43716I21</t>
  </si>
  <si>
    <t>SHW-43739I21</t>
  </si>
  <si>
    <t>SHW-43809I21</t>
  </si>
  <si>
    <t>SHW-43952I21</t>
  </si>
  <si>
    <t>SHW-43953I21</t>
  </si>
  <si>
    <t>SHW-43954I21</t>
  </si>
  <si>
    <t>SHW-44203I21</t>
  </si>
  <si>
    <t>SHW-44046I21</t>
  </si>
  <si>
    <t>SHW-44051I21</t>
  </si>
  <si>
    <t>SHW-44052I21</t>
  </si>
  <si>
    <t>SHW-44190I21</t>
  </si>
  <si>
    <t>SHW-44191I21</t>
  </si>
  <si>
    <t>SHW-44313I21</t>
  </si>
  <si>
    <t>SHW-44314I21</t>
  </si>
  <si>
    <t>SHW-44315I21</t>
  </si>
  <si>
    <t>SHW-44334I21</t>
  </si>
  <si>
    <t>SHW-44335I21</t>
  </si>
  <si>
    <t>SHW-44204I21</t>
  </si>
  <si>
    <t>SHW-44312I21</t>
  </si>
  <si>
    <t>SHW-44469I21</t>
  </si>
  <si>
    <t>SHW-44476I21</t>
  </si>
  <si>
    <t>SHW-44477I21</t>
  </si>
  <si>
    <t>SHW-44478I21</t>
  </si>
  <si>
    <t>SHW-44783I21</t>
  </si>
  <si>
    <t>SHW-44785I21</t>
  </si>
  <si>
    <t>SHW-44730I21</t>
  </si>
  <si>
    <t>SHW-44336I21</t>
  </si>
  <si>
    <t>SHW-44891I21</t>
  </si>
  <si>
    <t>SHW-44895I21</t>
  </si>
  <si>
    <t>SHW-44978I21</t>
  </si>
  <si>
    <t>SHW-44862I21</t>
  </si>
  <si>
    <t>SHW-45072I21</t>
  </si>
  <si>
    <t>SHW-44892I21</t>
  </si>
  <si>
    <t>SHW-44894I21</t>
  </si>
  <si>
    <t>SHW-44863I21</t>
  </si>
  <si>
    <t>SHW-44893I21</t>
  </si>
  <si>
    <t>SHW-44784I21</t>
  </si>
  <si>
    <t>SHW-45173I21</t>
  </si>
  <si>
    <t>SHW-45183I21</t>
  </si>
  <si>
    <t>SHW-45386I21</t>
  </si>
  <si>
    <t>SHW-45467I21</t>
  </si>
  <si>
    <t>SHW-45468I21</t>
  </si>
  <si>
    <t>SHW-45469I21</t>
  </si>
  <si>
    <t>SHW-45569I21</t>
  </si>
  <si>
    <t>SHW-45572I21</t>
  </si>
  <si>
    <t>SHW-45575I21</t>
  </si>
  <si>
    <t>SHW-45466I21</t>
  </si>
  <si>
    <t>SHW-45567I21</t>
  </si>
  <si>
    <t>SHW-45470I21</t>
  </si>
  <si>
    <t>SHW-45471I21</t>
  </si>
  <si>
    <t>SHW-45472I21</t>
  </si>
  <si>
    <t>SHW-45474I21</t>
  </si>
  <si>
    <t>SHW-45475I21</t>
  </si>
  <si>
    <t>SHW-45564I21</t>
  </si>
  <si>
    <t>SHW-40088I21</t>
  </si>
  <si>
    <t>SHW-44915I22</t>
  </si>
  <si>
    <t>25/10 - Recebida Invoice
28/10 - Tender: HTM2022102403036
Material coletado em 2022-10-25 19:01:00 - ETA 2022-12-11
31/10 - Recebido BL-609257352-draft
HASU4794836 ML-CN0650252 40 DRY 9'6 6 Case 401.290 KGS 3.7600 CBM
GCXU5583813 ML-CN0733202 40 DRY 9'6 72 Case 1107.510 KGS 9.0700 CBM
HASU1024600 ML-CN0683725 20 DRY 8'6 2 Case 141.200 KGS 1.6200 CBM
05/12 - Data Atracação 04/12/2022 15:30:00
Com divergência de peso de 18,08%.
SIGVIG RETIDO.
DI registrada - Canal verde.
06/12 - Inspeção de madeira agendado para hoje à tarde.
08/12 - Material entregue.</t>
  </si>
  <si>
    <t>25/10 - Recebida Invoice
28/10 - Tender: HTM2022102403036
Material coletado em 2022-10-25 19:01:00 - ETA 2022-12-11
31/10 - Recebido BL-222635270-draft
HASU4794836 ML-CN0650252 40 DRY 9'6 33 Case 4346.500 KGS 45.4900 CBM
GCXU5583813 ML-CN0733202 40 DRY 9'6 18 Case 2105.400 KGS 32.9600 CBM
HASU1024600 ML-CN0683725 20 DRY 8'6 11 Case 779.000 KGS 19.5600 CBM
05/12 - Data Atracação 04/12/2022 15:30:00
Com divergência de peso de 18,08%.
SIGVIG RETIDO. 
DI registrada - Canal verde.
06/12 - Inspeção de madeira agendado para hoje à tarde.
08/12 - Material entregue.</t>
  </si>
  <si>
    <t>31/10 - Recebida Invoice
02/11 - Recebido BL_222790561-draft
SEKU4704001 ML-CN0650288 40 DRY 9'6 40 Case 5425.940 KGS 42.0900 CBM
03/11 - Tender: HTM2022102901209
Material coletado em 2022-11-01 04:16:44 - ETA 2022-12-18
12/12 - Data Atracação 11/12/2022 14:18:00
Sem divergência de peso
SIGVIG Liberado.
DI registrada - Canal verde.
13/12 - Material entregue.</t>
  </si>
  <si>
    <t>31/10 - Recebida Invoice
02/11 - Recebido BL_609288978-draft
SEKU4704001 ML-CN0650288 40 DRY 9'6 42 Case 715.650 KGS 7.0500 CBM
03/11 - Tender: HTM2022102901209
Material coletado em 2022-11-01 04:16:44 - ETA 2022-12-18
12/12 - Data Atracação 11/12/2022 14:18:00
Sem divergência de peso
SIGVIG Liberado.
DI registrada - Canal verde.
13/12 - Material entregue.</t>
  </si>
  <si>
    <t>22/2097906-6</t>
  </si>
  <si>
    <t>22/2098051-0</t>
  </si>
  <si>
    <t>22/2093358-9</t>
  </si>
  <si>
    <t>22/2093930-7</t>
  </si>
  <si>
    <t>22/2098229-6</t>
  </si>
  <si>
    <t>22/2098455-8</t>
  </si>
  <si>
    <t>22/2098753-0</t>
  </si>
  <si>
    <t>EMS02R20001746HWA0002H
EMS02R20001746HWA0017H
EMS02R20001746HWA0004H
EMS02R20001746HWA0005H
EMS02R20001746HWA0007H
EMS02R20001746HWA0001H
EMS02R20001777HWA0001H
EMS02R20001783HWA0001H
EMS02R20001807HWA0001H
EMS02R20001785HWA0002H
EMS02R20001811HWA0001H
EMS02R20001810HWA0002H</t>
  </si>
  <si>
    <t>BRA2022122250009</t>
  </si>
  <si>
    <t>SHW-46324I22</t>
  </si>
  <si>
    <t>4800018195
4800018250
4800018256
4800018259
4800018289
4800018293
4800018294</t>
  </si>
  <si>
    <t>RRU L06
BBU L06
272J</t>
  </si>
  <si>
    <t>SHW-46261I22</t>
  </si>
  <si>
    <t>09/11 - Recebida Invoice
11/11 - Recebido BL_222995921-draft
MSKU4243154 ML-CN0733175 20 DRY 8'6 23 Case 509.970 KGS 4.7800 CBM
Singapore - Load on SAN FRANCISCA / 016W - 25 Nov 2022 01:35
Previsão de chegada em Santos 18 Dec 2022 13:00
19/12 - Data Atracação 18/12/2022 15:46:00
Sem divergência de peso
SIGVIG Liberado.
21/12 - DI Registrada - Canal verde.
23/12 - Material entregue.</t>
  </si>
  <si>
    <t>09/11 - Recebida Invoice
11/11 - Recebido BL_914642372-draft
MSKU4243154 ML-CN0733175 20 DRY 8'6 46 Case 1070.950 KGS 10.2600 CBM
Singapore - Load on SAN FRANCISCA / 016W - 25 Nov 2022 01:35
Previsão de chegada em Santos 18 Dec 2022 13:00
19/12 - Data Atracação 18/12/2022 15:46:00
Sem divergência de peso
SIGVIG Liberado.
21/12 - DI Registrada - Canal verde.
23/12 - Material entregue.</t>
  </si>
  <si>
    <t>10/11 - Recebida Invoice
11/11 - Recebido BL_223046066-draft
MRKU9307434 ML-CN0733173 20 DRY 8'6 28 Case 3147.140 KGS 19.8400 CBM
Singapore - Load on SAN FRANCISCA / 016W - 25 Nov 2022 01:35
Previsão de chegada em Santos 18 Dec 2022 13:00
13/11 - Tender: HTM2022111000509
Material coletado em 2022-11-11 11:20:46 - ETA 2022-12-28
19/12 - Data Atracação 18/12/2022 15:46:00
Sem divergência de peso
SIGVIG Liberado.
21/12 - DI Registrada - Canal verde.
23/12 - Material entregue.</t>
  </si>
  <si>
    <t>10/11 - Recebida Invoice
11/11 - Recebido BL_223045981-draft
MRKU9307434 ML-CN0733173 20 DRY 8'6 1 Case 40.270 KGS 0.1200 CBM
Singapore - Load on SAN FRANCISCA / 016W - 25 Nov 2022 01:35
Previsão de chegada em Santos 18 Dec 2022 13:00
13/11 - Tender: HTM2022111000509
Material coletado em 2022-11-11 11:20:46 - ETA 2022-12-28
19/12 - Data Atracação 18/12/2022 15:46:00
Sem divergência de peso
SIGVIG Liberado.
21/12 - DI Registrada - Canal verde.
23/12 - Material entregue.</t>
  </si>
  <si>
    <t>14/11 - Recebida Invoice
18/11 - Tender: HTM2022111400718
Actual Pickup Date: 2022-11-15 10:48:59
Estimated Arrive Date: 2023-01-01
20/11 - Recebido BL_223116659-draft
MRSU6395990 ML-CN9820430 40 DRY 9'6 62 Case 7707.500 KGS 48.5100 CBM
Singapore - Load on MAERSK LANCO / 246W - 01 Dec 2022 21:17
Previsão de chegada em Santos 25 Dec 2022 13:00
26/12 - Data Atracação 25/12/2022 13:36:00
Sem divergência de peso
SIGVIG Liberado.</t>
  </si>
  <si>
    <t xml:space="preserve">14/11 - Recebida Invoice
18/11 - Tender: HTM2022111400718
Actual Pickup Date: 2022-11-15 10:48:59
Estimated Arrive Date: 2023-01-01
20/11 - Recebido BL_914666271-draft
MRSU6395990 ML-CN9820430 40 DRY 9'6 1 Case 72.800 KGS 0.4000 CBM
Singapore - Load on MAERSK LANCO / 246W - 01 Dec 2022 21:17
Previsão de chegada em Santos 25 Dec 2022 13:00
26/12 - Data Atracação 25/12/2022 13:36:00
Sem divergência de peso
SIGVIG Liberado.
</t>
  </si>
  <si>
    <t>MAERSK CADIZ - 250W</t>
  </si>
  <si>
    <t>SHW-40139I23</t>
  </si>
  <si>
    <t>EMS02R20001697HWA0002H
EMS02R20001697HWA0003H
EMS02R20001746HWA0008H
EMS02R20001746HWA0010H
EMS02R20001746HWA0019H
EMS02R20001746HWA0024H
EMS02R20001746HWA0038H
EMS02R20001746HWA0039H
EMS02R20001746HWA0042H
EMS02R20001785HWA0003H
EMS02R20001809HWA0001H
EMS02R20001809HWA0002H
EMS02R20001810HWA0001H
EMS02R20001810HWA0004H</t>
  </si>
  <si>
    <t>BRA2022122650005</t>
  </si>
  <si>
    <t>4800018117
4800018195
4800018259
4800018292
4800018293</t>
  </si>
  <si>
    <t>BBU L06
272J</t>
  </si>
  <si>
    <t>25/11 - Recebidas Invoices
27/11 - Tender: HTM2022112501916
Actual Pickup Date: 2022-11-26 14:29:47
Estimated Arrive Date: 2023-01-12
02/12 - Recebido BL_223408590-draft
CCAAU6096170 ML-CN9927468 40 DRY 9'6 38 Case 5743.370 KGS 37.5500 CBM
Singapore - Load on ATACAMA / 247W - 08 Dec 2022 16:48
Previsão de chegada em Santos 01 Jan 2023 13:00
02/01 - Data Atracação 01/01/2023 16:18:00
Sem divergência de peso
SIGVIG Liberado.
09/01 - mercadoria entregue</t>
  </si>
  <si>
    <t>25/11 - Recebidas Invoices
27/11 - Tender: HTM2022112501916
Actual Pickup Date: 2022-11-26 14:29:47
Estimated Arrive Date: 2023-01-12
02/12 - Recebido BL_914666810-draft
CAAU6096170 ML-CN9927468 40 DRY 9'6 2 Case 68.200 KGS 0.7200 CBM
Singapore - Load on ATACAMA / 247W - 08 Dec 2022 16:48
Previsão de chegada em Santos 01 Jan 2023 13:00
02/01 - Data Atracação 01/01/2023 16:18:00
Sem divergência de peso
SIGVIG Retido.
09/01 - mercadoria entregue</t>
  </si>
  <si>
    <t>23/0018627-5</t>
  </si>
  <si>
    <t>23/0018885-5</t>
  </si>
  <si>
    <t>23/0019488-0</t>
  </si>
  <si>
    <t>23/0019781-1</t>
  </si>
  <si>
    <t>SHW-40247I23</t>
  </si>
  <si>
    <t>SHW-40248I23</t>
  </si>
  <si>
    <t>BRA2023011050008</t>
  </si>
  <si>
    <t>EMS02R20001653HWA0003H
EMS02R20001681HWA0001H
EMS02R20001682HWA0012H
EMS02R20001739HWA0001H
EMS02R20001739HWA0002H
EMS02R20001740HWA0005H
EMS02R20001746HWA0023H
EMS02R20001746HWA0025H
EMS02R20001746HWA0032H
EMS02R20001746HWA0033H
EMS02R20001746HWA0034H
EMS02R20001746HWA0035H
EMS02R20001746HWA0040H
EMS02R20001775HWA0001H
EMS02R20001779HWA0001H
EMS02R20001779HWA0002H
EMS02R20001783HWA0002H
EMS02R20001785HWA0001H
EMS02R20001787HWA0001H
EMS02R20001795HWA0010H
EMS02R20001795HWA0013H
EMS02R20001808HWA0001H
EMS02R20001808HWA0002H
EMS02R20001809HWA0003H
EMS02R20001810HWA0003H
EMS02R20001812HWA0001H
EMS02R20001812HWA0004H
EMS02R20001813HWA0001H
EMS02R20001813HWA0003H
EMS02R20001815HWA0001H
EMS02R20001816HWA0004H
EMS02R20001835HWA0001H</t>
  </si>
  <si>
    <t>4800018032
4800018080
4800018081
4800018190
4800018194
4800018195
4800018248
4800018252
4800018256
4800018259
4800018261
4800018269
4800018291
4800018292
4800018293
4800018295
4800018296
4800018300
4800018301
4800018325</t>
  </si>
  <si>
    <t>RRU L06
RRU L10 
BBU L10
272J</t>
  </si>
  <si>
    <t>BRA2023011050007</t>
  </si>
  <si>
    <t>EMS01J20000316HWA0001H
EMS01J20000316HWA0021H
EMS01J20000317HWA0019H
EMS01J20000317HWA0020H
EMS01J20000317HWA0021H
EMS01J20000318HWA0019H
EMS01J20000318HWA0020H
EMS01J20000318HWA0021H
EMS01J20000319HWA0004H
EMS01J20000319HWA0020H
EMS01J20000319HWA0021H
EMS01J20000321HWA0033H
EMS01J20000322HWA0034H
EMS01J20000323HWA0004H</t>
  </si>
  <si>
    <t>4800018415
4800018416
4800018419
4800018414
4800018420 
4800018421
4800018417</t>
  </si>
  <si>
    <t>SHW-40254I23</t>
  </si>
  <si>
    <t>SHW-40255I23</t>
  </si>
  <si>
    <t>EMS02R20001787HWA0002H
EMS02R20001795HWA0001H
EMS02R20001813HWA0004H
EMS02R20001813HWA0006H
EMS02R20001814HWA0001H
EMS02R20001816HWA0001H
EMS02R20001835HWA0002H
EMS02R20001836HWA0001H
EMS02R20001837HWA0001H
EMS02R20001838HWA0001H
EMS02R20001839HWA0001H
EMS02R20001839HWA0002H
EMS02R20001840HWA0001H
EMS02R20001840HWA0002H
EMS02R20001867HWA0003H
EMS02R20001868HWA0002H
EMS02R20001869HWA0001H
EMS02R20001875HWA0003H
EMS02R20001875HWA0004H</t>
  </si>
  <si>
    <t>BRA2023011250011</t>
  </si>
  <si>
    <t>EMS01J20000316HWA0004H
EMS01J20000316HWA0005H
EMS01J20000316HWA0009H
EMS01J20000316HWA0019H
EMS01J20000316HWA0020H
EMS01J20000316HWA0023H
EMS01J20000316HWA0024H
EMS01J20000317HWA0007H
EMS01J20000317HWA0009H
EMS01J20000319HWA0005H
EMS01J20000319HWA0019H
EMS01J20000320HWA0037H
EMS01J20000320HWA0038H
EMS01J20000320HWA0039H
EMS01J20000321HWA0037H
EMS01J20000321HWA0038H
EMS01J20000321HWA0039H
EMS01J20000323HWA0005H
EMS01J20000340HWA0002H</t>
  </si>
  <si>
    <t>BRA2023011250010</t>
  </si>
  <si>
    <t>MAERSK CUBANGO - 301W</t>
  </si>
  <si>
    <t>4800018261
4800018269
4800018296
4800018299
4800018301
4800018325
4800018326
4800018327
4800018328
4800018329
4800018330
4800018373
4800018374
4800018375
4800018384</t>
  </si>
  <si>
    <t>4800018414
4800018415
4800018417
4800018418
4800018419
4800018421
4800018449</t>
  </si>
  <si>
    <t>SHW-40270I23</t>
  </si>
  <si>
    <t>SHW-40271I23</t>
  </si>
  <si>
    <t>EMS02R20001795HWA0004H
EMS02R20001795HWA0005H
EMS02R20001795HWA0007H
EMS02R20001795HWA0011H
EMS02R20001795HWA0015H
EMS02R20001812HWA0003H
EMS02R20001816HWA0003H
EMS02R20001867HWA0002H
EMS02R20001868HWA0001H
EMS02R20001878HWA0001H</t>
  </si>
  <si>
    <t>EMS01J20000307HWA0001H
EMS01J20000307HWA0003H
EMS01J20000307HWA0006H
EMS01J20000307HWA0007H
EMS01J20000307HWA0010H
EMS01J20000307HWA0011H
EMS01J20000316HWA0003H
EMS01J20000316HWA0006H
EMS01J20000316HWA0007H
EMS01J20000316HWA0008H
EMS01J20000316HWA0011H
EMS01J20000316HWA0012H
EMS01J20000316HWA0013H
EMS01J20000316HWA0014H
EMS01J20000316HWA0017H
EMS01J20000317HWA0003H
EMS01J20000317HWA0004H
EMS01J20000317HWA0010H
EMS01J20000317HWA0012H
EMS01J20000317HWA0013H
EMS01J20000317HWA0016H
EMS01J20000317HWA0018H
EMS01J20000318HWA0001H
EMS01J20000318HWA0002H
EMS01J20000318HWA0003H
EMS01J20000318HWA0004H
EMS01J20000318HWA0005H
EMS01J20000318HWA0006H
EMS01J20000318HWA0007H
EMS01J20000318HWA0009H
EMS01J20000318HWA0010H
EMS01J20000318HWA0011H
EMS01J20000318HWA0012H
EMS01J20000318HWA0015H
EMS01J20000318HWA0016H
EMS01J20000318HWA0018H
EMS01J20000319HWA0001H
EMS01J20000319HWA0002H
EMS01J20000319HWA0003H
EMS01J20000319HWA0006H
EMS01J20000319HWA0008H
EMS01J20000319HWA0009H
EMS01J20000319HWA0010H
EMS01J20000319HWA0011H
EMS01J20000319HWA0012H
EMS01J20000319HWA0016H
EMS01J20000319HWA0017H
EMS01J20000319HWA0018H
EMS01J20000320HWA0019H
EMS01J20000320HWA0020H
EMS01J20000320HWA0021H
EMS01J20000320HWA0022H
EMS01J20000320HWA0023H
EMS01J20000320HWA0026H
EMS01J20000320HWA0027H
EMS01J20000320HWA0028H
EMS01J20000322HWA0028H
EMS01J20000322HWA0037H
EMS01J20000322HWA0038H
EMS01J20000322HWA0039H
EMS01J20000323HWA0019H
EMS01J20000323HWA0020H
EMS01J20000323HWA0021H
EMS01J20000323HWA0024H
EMS01J20000340HWA0003H
EMS01J20000340HWA0006H
EMS01J20000340HWA0007H
EMS01J20000340HWA0011H
EMS01J20000340HWA0015H
EMS01J20000340HWA0017H</t>
  </si>
  <si>
    <t>BRA2023011650010</t>
  </si>
  <si>
    <t>BRA2023011650011</t>
  </si>
  <si>
    <t>SHW-40273I23</t>
  </si>
  <si>
    <t>SHW-40272I23</t>
  </si>
  <si>
    <t>EMS02R20001794HWA0004H
EMS02R20001795HWA0006H
EMS02R20001836HWA0002H</t>
  </si>
  <si>
    <t>BRA2023011550002</t>
  </si>
  <si>
    <t>EMS01J20000307HWA0004H
EMS01J20000316HWA0016H
EMS01J20000316HWA0018H
EMS01J20000317HWA0001H
EMS01J20000317HWA0005H
EMS01J20000317HWA0011H
EMS01J20000317HWA0014H
EMS01J20000323HWA0003H
EMS01J20000323HWA0023H</t>
  </si>
  <si>
    <t>BRA2023011550001</t>
  </si>
  <si>
    <t>4800018269
4800018295
4800018301
4800018373
4800018374
4800018387</t>
  </si>
  <si>
    <t>BBU L06
RRU L10
272J</t>
  </si>
  <si>
    <t>4800018268
4800018326
4800018269</t>
  </si>
  <si>
    <t xml:space="preserve">RRU L10
BBU L10 </t>
  </si>
  <si>
    <t>4800018421
4800018362
4800018415
4800018414</t>
  </si>
  <si>
    <t>4800018362
4800018414
4800018415
4800018416
4800018417
4800018418
4800018420
4800018421
4800018449</t>
  </si>
  <si>
    <t>BRA2023011750002</t>
  </si>
  <si>
    <t>BRA2023011750003</t>
  </si>
  <si>
    <t>EMS01J20000307HWA0002H
EMS01J20000307HWA0005H
EMS01J20000307HWA0008H
EMS01J20000307HWA0009H
EMS01J20000316HWA0022H
EMS01J20000317HWA0008H
EMS01J20000317HWA0015H
EMS01J20000318HWA0017H
EMS01J20000319HWA0007H
EMS01J20000320HWA0029H
EMS01J20000322HWA0022H
EMS01J20000323HWA0002H
EMS01J20000340HWA0016H</t>
  </si>
  <si>
    <t>EMS02R20001794HWA0001H
EMS02R20001794HWA0002H
EMS02R20001794HWA0003H
EMS02R20001794HWA0005H
EMS02R20001795HWA0002H
EMS02R20001795HWA0003H
EMS02R20001812HWA0002H
EMS02R20001812HWA0005H
EMS02R20001816HWA0002H
EMS02R20001817HWA0001H</t>
  </si>
  <si>
    <t>SHW-40296I23</t>
  </si>
  <si>
    <t>SHW-40295I23</t>
  </si>
  <si>
    <t>4800018268
4800018269
4800018295
4800018301
4800018302</t>
  </si>
  <si>
    <t>23/0113751-0</t>
  </si>
  <si>
    <t>23/0113827-4</t>
  </si>
  <si>
    <t>SHW-40328I23</t>
  </si>
  <si>
    <t>SHW-40329I23</t>
  </si>
  <si>
    <t>EMS02R20001795HWA0008H
EMS02R20001795HWA0012H
EMS02R20001795HWA0014H
EMS02R20001877HWA0001H</t>
  </si>
  <si>
    <t>EMS01J20000320HWA0033H
EMS01J20000320HWA0036H
EMS01J20000321HWA0022H
EMS01J20000321HWA0023H
EMS01J20000321HWA0025H
EMS01J20000321HWA0031H
EMS01J20000322HWA0024H
EMS01J20000322HWA0025H
EMS01J20000322HWA0031H
EMS01J20000340HWA0010H
EMS01J20000340HWA0012H</t>
  </si>
  <si>
    <t>BRA2023011750018</t>
  </si>
  <si>
    <t>BRA2023011750019</t>
  </si>
  <si>
    <t>4800018269
4800018386</t>
  </si>
  <si>
    <t>RRU L10
BBU  L06</t>
  </si>
  <si>
    <t>4800018418
4800018419
4800018420
4800018449</t>
  </si>
  <si>
    <t>23/0132018-8</t>
  </si>
  <si>
    <t>12/12 - Recebidas Invoices
13/12 - Tender: HTM2022121201354
Actual Pickup Date: 2022-12-13 05:29:17
Estimated Arrive Date: 2023-01-29
Recebido BL_223758039-draft
MSKU2188778 ML-CN8465996 20 DRY 8'6 11 Case 692.160 KGS 18.1400 CBM
MRSU4427640 ML-CN0650298 40 DRY 9'6 44 Case 5587.390 KGS 50.8100 CBM
MRKU2487822 ML-CN0733154 40 DRY 9'6 22 Case 1604.500 KGS 44.9900 CBM
Singapore  - Load on MAERSK LAVRAS / 249W - 23 Dec 2022 00:01
Previsão de chegada em Santos 15 Jan 2023 13:00
16/01 - Data Atracação 15/01/2023 10:24:00
Com divergência de peso, seguiremos com o registro e a verificação será feita no recebimento
Status SIGVIG: Liberado
17/01 - DI Registrada - Canal verde.
19/01 - Material entregue.</t>
  </si>
  <si>
    <t>12/12 - Recebidas Invoices
13/12 - Tender: HTM2022121201354
Actual Pickup Date: 2022-12-13 05:29:17
Estimated Arrive Date: 2023-01-29
Recebido BL_223758194-draft
MSKU2188778 ML-CN8465996 20 DRY 8'6 3 Case 68.550 KGS 0.2100 CBM
MRSU4427640 ML-CN0650298 40 DRY 9'6 3 Case 177.610 KGS 1.4700 CBM
Singapore  - Load on MAERSK LAVRAS / 249W - 23 Dec 2022 00:01
Previsão de chegada em Santos 15 Jan 2023 13:00
Com divergência de peso, seguiremos com o registro e a verificação será feita no recebimento
Status SIGVIG: Liberado
17/01 - DI Registrada - Canal verde.
19/01 - Material entregue.</t>
  </si>
  <si>
    <t>SHW-40368I23</t>
  </si>
  <si>
    <t>EMS01J20000308HWA0001H
EMS01J20000316HWA0002H
EMS01J20000316HWA0010H
EMS01J20000316HWA0015H
EMS01J20000317HWA0002H
EMS01J20000317HWA0006H
EMS01J20000317HWA0017H
EMS01J20000317HWA0022H
EMS01J20000317HWA0023H
EMS01J20000318HWA0008H
EMS01J20000318HWA0013H
EMS01J20000318HWA0014H
EMS01J20000319HWA0013H
EMS01J20000319HWA0014H
EMS01J20000319HWA0015H
EMS01J20000319HWA0022H
EMS01J20000320HWA0024H
EMS01J20000320HWA0025H
EMS01J20000320HWA0030H
EMS01J20000320HWA0031H
EMS01J20000320HWA0032H
EMS01J20000320HWA0034H
EMS01J20000321HWA0019H
EMS01J20000321HWA0020H
EMS01J20000321HWA0021H
EMS01J20000321HWA0024H
EMS01J20000321HWA0026H
EMS01J20000321HWA0027H
EMS01J20000321HWA0028H
EMS01J20000321HWA0029H
EMS01J20000321HWA0030H
EMS01J20000321HWA0032H
EMS01J20000321HWA0034H
EMS01J20000321HWA0036H
EMS01J20000322HWA0019H
EMS01J20000322HWA0020H
EMS01J20000322HWA0021H
EMS01J20000322HWA0023H
EMS01J20000322HWA0026H
EMS01J20000322HWA0027H
EMS01J20000322HWA0029H
EMS01J20000322HWA0030H
EMS01J20000322HWA0032H
EMS01J20000322HWA0035H
EMS01J20000322HWA0036H
EMS01J20000323HWA0001H
EMS01J20000323HWA0006H
EMS01J20000323HWA0007H
EMS01J20000323HWA0008H
EMS01J20000323HWA0009H
EMS01J20000323HWA0010H
EMS01J20000323HWA0011H
EMS01J20000323HWA0012H
EMS01J20000323HWA0013H
EMS01J20000323HWA0014H
EMS01J20000323HWA0015H
EMS01J20000323HWA0016H
EMS01J20000323HWA0017H
EMS01J20000323HWA0022H
EMS01J20000340HWA0001H
EMS01J20000340HWA0004H
EMS01J20000340HWA0005H
EMS01J20000340HWA0008H
EMS01J20000340HWA0009H
EMS01J20000340HWA0014H
EMS01J20000340HWA0018H</t>
  </si>
  <si>
    <t>BRA2023011950008</t>
  </si>
  <si>
    <t>EMS02R20001795HWA0009H
EMS02R20001812HWA0006H
EMS02R20001812HWA0007H
EMS02R20001813HWA0005H
EMS02R20001813HWA0007H</t>
  </si>
  <si>
    <t>BRA2023011950009</t>
  </si>
  <si>
    <t>SHW-40370I23</t>
  </si>
  <si>
    <t>MAERSK KARUN - 302W</t>
  </si>
  <si>
    <t>4800018406
4800018414
4800018415
4800018416
4800018417
4800018418
4800018419
4800018420
4800018421
4800018449</t>
  </si>
  <si>
    <t>4800018269
4800018295
4800018296</t>
  </si>
  <si>
    <t>07/12 - Recebidas Invoices
08/12 - Recebido BL_914683378-draft
MSKU0468867 ML-CN0735290 40 DRY 9'6 81 Case 10796.550 KGS 45.0100 CBM
Tender: HTM2022120701131
Actual Pickup Date: 2022-12-08 15:46:25
Estimated Arrive Date: 2023-01-24
Singapore  - Load on MAERSK LAVRAS / 249W - 23 Dec 2022 00:01
Previsão de chegada em Santos 15 Jan 2023 13:00
16/01 - Data Atracação 15/01/2023 10:24:00
Sem divergência de peso
Status SIGVIG: Liberado
19/01 - DI registrada - Canal verde
23/01 - Material entregue.</t>
  </si>
  <si>
    <t>23/0199468-5</t>
  </si>
  <si>
    <t>23/0199559-2</t>
  </si>
  <si>
    <t>15/12 - Recebidas Invoices
16/12 - Tender: HTM2022121500330
Actual Pickup Date: 2022-12-16 06:36:03
Estimated Arrive Date: 2023-02-01
19/12 - Recebido BL_914683382-draft
PONU0619140 ML-CN0735310 20 DRY 8'6 28 Case 3096.260 KGS 14.1100 CBM
MRKU3075440 ML-CN9940362 40 DRY 9'6 84 Case 6303.000 KGS 57.4800 CBM
Singapore - Load on MAERSK LETICIA / 250W - 30 Dec 2022 04:45
Previsão de chegada em Santos 24 Jan 2023 13:00
11/01 - enviado BL final ao despachante
23/01 - Data Atracação 22/01/2023 18:50:00
Sem divergência de peso
SIGVIG Liberado.
30/01 - DI registrada - Canal verde
01/02 - Material entregue.</t>
  </si>
  <si>
    <t>19/12 - Recebidas Invoices
21/12 - Recebido BL_223930109-draft
MRSU3883590 ML-CN0703701 40 DRY 9'6 28 Case 2063.110 KGS 32.2500 CBM
CAIU4929979 ML-CN0650279 40 DRY 9'6 48 Case 8264.000 KGS 57.0600 CBM
Singapore - Load on MAERSK LETICIA / 250W - 30 Dec 2022 04:45 
Previsão de chegada em Santos 24 Jan 2023 13:00
23/12 - Tender: HTM2022121901224
Actual Pickup Date: 2022-12-20 13:49:39
Estimated Arrive Date: 2023-02-05
11/1 - enviado BL final ao despachante
23/01 - Data Atracação 22/01/2023 18:50:00
Sem divergência de peso
SIGVIG Liberado.
30/01 - DI registrada - Canal verde
02/02 - Material entregue.</t>
  </si>
  <si>
    <t>SHW-40487I23</t>
  </si>
  <si>
    <t>SHW-40488I23</t>
  </si>
  <si>
    <t>EMS02R20001813HWA0002H</t>
  </si>
  <si>
    <t>HWC2023020397338</t>
  </si>
  <si>
    <t>BRA2023020350009</t>
  </si>
  <si>
    <t>EMS01J20000309HWA0002H
EMS01J20000317HWA0024H
EMS01J20000340HWA0013H
EMS01J20000318HWA0024H
EMS01J20000318HWA0022H
EMS01J20000319HWA0023H</t>
  </si>
  <si>
    <t>4800018407
4800018415
4800018416
4800018417
4800018449</t>
  </si>
  <si>
    <t>23/0235955-0</t>
  </si>
  <si>
    <t>23/0236327-1</t>
  </si>
  <si>
    <t>MAERSK GANGES - 305W</t>
  </si>
  <si>
    <t>23/12 - Recebidas Invoices
27/12 - Actual Pickup Date: 2022-12-23 04:58:35 
Estimated Arrive Date: 2023-02-08 
Tender: HTM2022122200579
30/12 - Recebido BL_914711951-draft
TCKU7600029 ML-CN9940360 40 DRY 9'6 53 Case 6970.000 KGS 52.8600 CBM
09/01 - Recebido BL fina
31/01 - Data Atracação 30/01/2023 06:40:00
Sem divergência de peso
SIGVIG Liberado.
03/02 - DI Registrada - Canal verde.
07/02 - Material entregue.</t>
  </si>
  <si>
    <t>26/12 - Recebidas Invoices
28/12 - Recebido BL_224083201-draft
MSKU1137138 ML-CN0733144 40 DRY 9'6 50 Case 7909.180 KGS 58.3600 CBM
MSKU7653893 ML-CN9916153 20 DRY 8'6 15 Case 1224.920 KGS 12.2700 CBM
30/12 - Actual Pickup Date: 2022-12-27 06:17:25
Estimated Arrive Date: 2023-02-12
Tender: HTM2022122600958
31/01 - Data Atracação 30/01/2023 06:40:00
Sem divergência de peso
SIGVIG Liberado.
03/02 - DI Registrada - Canal verde.
07/02 - Material entregue.</t>
  </si>
  <si>
    <t>SHW-40687I23</t>
  </si>
  <si>
    <t>SHW-40688I23</t>
  </si>
  <si>
    <t>EMS02R20001697HWA0004H
EMS02R20001868HWA0003H
EMS02R20001880HWA0002H
EMS02R20001880HWA0003H
EMS02R20001881HWA0003H
EMS02R20001884HWA0001H
EMS02R20001901HWA0001H
EMS02R20001902HWA0002H
EMS02R20001904HWA0001H
EMS02R20001905HWA0002H
EMS02R20001908HWA0001H
EMS02R20001908HWA0002H
EMS02R20001924HWA0001H</t>
  </si>
  <si>
    <t>EMS01J20000312HWA0004H
EMS01J20000313HWA0002H
EMS01J20000319HWA0024H
EMS01J20000320HWA0040H
EMS01J20000320HWA0041H
EMS01J20000321HWA0040H
EMS01J20000321HWA0042H
EMS01J20000344HWA0002H
EMS01J20000344HWA0003H
EMS01J20000344HWA0004H
EMS01J20000344HWA0007H
EMS01J20000344HWA0008H
EMS01J20000344HWA0009H
EMS01J20000344HWA0012H
EMS01J20000345HWA0001H
EMS01J20000348HWA0002H
EMS01J20000348HWA0003H
EMS01J20000348HWA0011H
EMS01J20000348HWA0012H
EMS01J20000348HWA0014H
EMS01J20000348HWA0021H
EMS01J20000348HWA0025H
EMS01J20000348HWA0026H</t>
  </si>
  <si>
    <t>BRA2023021050001</t>
  </si>
  <si>
    <t>BRA2023021050002</t>
  </si>
  <si>
    <t>XIN CHI WAN - 066W</t>
  </si>
  <si>
    <t>4800018117
4800018374
4800018390
4800018394
4800018397
4800018465
4800018466
4800018471
4800018472
4800018481
4800018571</t>
  </si>
  <si>
    <t>4800018410
4800018411
4800018417
4800018418
4800018419
4800018528
4800018566
4800018572</t>
  </si>
  <si>
    <t>SHW-40707I23</t>
  </si>
  <si>
    <t>SHW-40706I23</t>
  </si>
  <si>
    <t>EMS02R20001811HWA0002H
EMS02R20001867HWA0001H
EMS02R20001881HWA0002H
EMS02R20001883HWA0001H
EMS02R20001883HWA0002H
EMS02R20001883HWA0003H
EMS02R20001884HWA0002H
EMS02R20001902HWA0001H
EMS02R20001903HWA0001H
EMS02R20001907HWA0001H
EMS02R20001921HWA0001H
EMS02R20001922HWA0001H
EMS02R20001922HWA0002H
EMS02R20001939HWA0001H
EMS02R20001939HWA0002H
EMS02R20001958HWA0001H
EMS02R20001958HWA0002H
EMS02R20001958HWA0004H
EMS02R20001975HWA0008H</t>
  </si>
  <si>
    <t>BRA2023021750005</t>
  </si>
  <si>
    <t>BRA2023021750004</t>
  </si>
  <si>
    <t>EMS01J20000344HWA0001H
EMS01J20000345HWA0002H
EMS01J20000348HWA0001H
EMS01J20000348HWA0004H
EMS01J20000348HWA0007H
EMS01J20000348HWA0008H
EMS01J20000348HWA0013H
EMS01J20000348HWA0016H</t>
  </si>
  <si>
    <t>4800018294
4800018373
4800018394
4800018396
4800018397
4800018466
4800018470
4800018480
4800018526
4800018535
4800018568
4800018569
4800018587</t>
  </si>
  <si>
    <t>4800018528
4800018566
4800018572</t>
  </si>
  <si>
    <t xml:space="preserve">12/01 - Recebidas Invoices
15/01 - Actual Pickup Date: 2023-01-14 03:55:35
Tender: HTM2023011200974
16/01 - Recebido BL_224500599-draft
HASU1412610 ML-CN9809582 20 DRY 8'6 18 Case 484.720 KGS 3.7600 CBM
CAAU5209918 ML-CN0703708 40 DRY 9'6 12 Case 696.000 KGS 7.0800 CBM
22/02 - Data Atracação 20/02/2023 13:30:00
Sem divergência de peso
SIGVIG Liberado.
</t>
  </si>
  <si>
    <t xml:space="preserve">12/01 - Recebidas Invoices
15/01 - Actual Pickup Date: 2023-01-14 03:55:35
Estimated Arrive Date: 2023-03-02
Tender: HTM2023011200974
16/01 - Recebido BL_224500608-draft
HASU1412610 ML-CN9809582 20 DRY 8'6 25 Case 1424.960 KGS 10.4300 CBM
CAAU5209918 ML-CN0703708 40 DRY 9'6 43 Case 5990.500 KGS 46.0500 CBM
22/02 - Data Atracação 20/02/2023 13:30:00
Sem divergência de peso
SIGVIG Liberado.
</t>
  </si>
  <si>
    <t>12/01 - Recebidas Invoices
13/01 - Actual Pickup Date: 2023-01-11 14:29:31
Estimated Arrive Date: 2023-02-27
Tender:HTM2023011001622
17/01 - Recebido BL_224425586-draft
MRSU3817937 ML-CN0735283 40 DRY 9'6 2 Case 113.400 KGS 1.2400 CBM
BEAU5209562 ML-CN9807800 40 DRY 9'6 19 Case 544.020 KGS 4.2900 CBM
22/02 - Data Atracação 20/02/2023 13:30:00
Sem divergência de peso
SIGVIG Liberado.</t>
  </si>
  <si>
    <t xml:space="preserve">12/01 - Recebidas Invoices
13/01 - Actual Pickup Date: 2023-01-11 14:29:31
Estimated Arrive Date: 2023-02-27
Tender: HTM2023011001622
17/01 - Recebido BL_914709544-draft
MRSU3817937 ML-CN0735283 40 DRY 9'6 55 Case 6728.000 KGS 50.1400 CBM
BEAU5209562 ML-CN9807800 40 DRY 9'6 41 Case 3284.530 KGS 36.3400 CBM
PONU8035380 ML-CN9790026 40 DRY 9'6 54 Case 8099.000 KGS 59.6300 CBM
SUDU7607037 ML-CN0650262 20 DRY 8'6 35 Case 3702.880 KGS 16.5900 CBM
22/02 - Data Atracação 20/02/2023 13:30:00
Sem divergência de peso
SIGVIG Liberado.
</t>
  </si>
  <si>
    <t>SHW-40726I23</t>
  </si>
  <si>
    <t>SHW-40727I23</t>
  </si>
  <si>
    <t>EMS02R20001905HWA0001H
EMS02R20001920HWA0003H
EMS02R20001973HWA0001H
EMS02R20001975HWA0002H
EMS02R20001975HWA0003H
EMS02R20001886HWA0002H
EMS02R20001887HWA0001H
EMS02R20001975HWA0006H</t>
  </si>
  <si>
    <t>BRA2023022050002</t>
  </si>
  <si>
    <t>EMS01J20000348HWA0020H
EMS01J20000348HWA0024H</t>
  </si>
  <si>
    <t>BRA2023022050001</t>
  </si>
  <si>
    <t>SHW-40728I23</t>
  </si>
  <si>
    <t>SHW-40729I23</t>
  </si>
  <si>
    <t>EMS02R20001878HWA0002H
EMS02R20001885HWA0001H
EMS02R20001901HWA0002H
EMS02R20001975HWA0004H
EMS02R20001979HWA0002H</t>
  </si>
  <si>
    <t>EMS01J20000318HWA0023H
EMS01J20000320HWA0042H</t>
  </si>
  <si>
    <t>BRA2023022050013</t>
  </si>
  <si>
    <t>BRA2023022050012</t>
  </si>
  <si>
    <t>4800018385
4800018399
4800018472
4800018567
4800018585
4800018587</t>
  </si>
  <si>
    <t>4800018387
4800018398
4800018465
4800018587
4800018598</t>
  </si>
  <si>
    <t>4800018416
4800018418</t>
  </si>
  <si>
    <t>CMA CGM RODOLPHE 0AAL3W1MA</t>
  </si>
  <si>
    <t>28/2</t>
  </si>
  <si>
    <t>TSA</t>
  </si>
  <si>
    <t>23/0353961-6</t>
  </si>
  <si>
    <t>VERDE</t>
  </si>
  <si>
    <t xml:space="preserve">23/0354163-7 </t>
  </si>
  <si>
    <t>23/0372347-6</t>
  </si>
  <si>
    <t>23/0372772-2</t>
  </si>
  <si>
    <t xml:space="preserve">16/01 - Invoices recebidas
17/01 - Actual Pickup Date: 2023-01-17 21:40:49
Estimated Arrive Date: 2023-03-05
Tender: HTM2023011600990
14/02 - BL_224541512-draft
MRKU3073914 ML-CN0735305 40 DRY 9'6 48 Case 6452.000 KGS 54.2800 CBM
MRKU4325538 ML-CN0735285 40 DRY 9'6 31 Case 3542.360 KGS 28.7100 CBM
28/02 - Data Atracação 26/02/2023 23:20:00
Sem divergência de peso
SIGVIG Liberado.
02/03 - DI Registrada - Canal verde
</t>
  </si>
  <si>
    <t xml:space="preserve">16/01 - Invoices recebidas
17/01 - Actual Pickup Date: 2023-01-17 21:40:49
Estimated Arrive Date: 2023-03-05
Tender: HTM2023011600990
14/02 - BL_224541276-draft
MRKU4325538 ML-CN0735285 40 DRY 9'6 117 Case 2255.050 KGS 16.0300 CBM
28/02 - Data Atracação 26/02/2023 23:20:00
Sem divergência de peso
SIGVIG Liberado.
02/03 - DI Registrada - Canal verde
</t>
  </si>
  <si>
    <t xml:space="preserve">16/01 - Invoices recebidas
17/01 - Actual Pickup Date: 2023-01-16 22:31:23
Estimated Arrive Date: 2023-03-04
Tender: HTM2023011400991
30/01 - Recebido BL_224534551-draft
MRSU6196725 ML-CN9820420 40 DRY 9'6 38 Case 4362.500 KGS 47.6400 CBM
28/02 - Data Atracação 26/02/2023 23:20:00
Sem divergência de peso
SIGVIG Liberado.
02/03 - DI Registrada - Canal verde
</t>
  </si>
  <si>
    <t xml:space="preserve">16/01 - Invoices recebidas
17/01 - Actual Pickup Date: 2023-01-16 22:31:23
Estimated Arrive Date: 2023-03-04
Tender: HTM2023011400991
30/01 - Recebido BL_224534488-draft
MRSU6196725 ML-CN9820420 40 DRY 9'6 18 Case 80.560 KGS 0.6400 CBM
28/02 - Data Atracação 26/02/2023 23:20:00
Sem divergência de peso
SIGVIG Liberado.
02/03 - DI Registrada - Canal verde
</t>
  </si>
  <si>
    <t xml:space="preserve">16/01 - Invoices recebidas
17/01 - Actual Pickup Date: 2023-01-16 23:48:03
Estimated Arrive Date: 2023-03-04
Tender: HTM2023011302198
CIPU5124362 ML-CN0683727 40 DRY 9'6 43 Case 5735.160 KGS 38.9400 CBM
MRSU3111508 ML-CN8474947 40 DRY 9'6 50 Case 6430.500 KGS 54.0700 CBM
28/02 - Data Atracação 26/02/2023 23:20:00
Sem divergência de peso
SIGVIG Liberado.
02/03 - DI Registrada - Canal verde
</t>
  </si>
  <si>
    <t xml:space="preserve">16/01 - Invoices recebidas
17/01 - Actual Pickup Date: 2023-01-16 23:48:03
Estimated Arrive Date: 2023-03-04
Tender: HTM2023011302198
14/02 - BL_914808704-draft
CIPU5124362 ML-CN0683727 40 DRY 9'6 18 Case 460.890 KGS 3.8800 CBM
28/02 - Data Atracação 26/02/2023 23:20:00
Sem divergência de peso
SIGVIG Liberado.
02/03 - DI Registrada - Canal verde
</t>
  </si>
  <si>
    <t xml:space="preserve">17/01 - Invoices recebidas
19/01 - Actual Pickup Date: 2023-01-18 20:04:45
Estimated Arrive Date: 2023-03-06
Tender: HTM2023011701450
20/01 - Recebido BL_224585100-draft
MRSU4139860 ML-CN0722435 40 DRY 9'6 44 Case 5644.760 KGS 48.0600 CBM
28/02 - Data Atracação 26/02/2023 23:20:00
Sem divergência de peso
SIGVIG Liberado.
02/03 - DI Registrada - Canal verde
</t>
  </si>
  <si>
    <t xml:space="preserve">17/01 - Invoices recebidas
19/01 - Actual Pickup Date: 2023-01-18 20:04:45
Estimated Arrive Date: 2023-03-06
Tender: HTM2023011701450
20/01 - Recebido BL_224585115-draft
MRSU4139860 ML-CN0722435 40 DRY 9'6 37 Case 430.540 KGS 3.3900 CBM
28/02 - Data Atracação 26/02/2023 23:20:00
Sem divergência de peso
SIGVIG Liberado.
02/03 - DI Registrada - Canal verde
</t>
  </si>
  <si>
    <t xml:space="preserve">19/01 - Invoices Recebidas
20/01 - Tender: HTM2023011900616
Actual Pickup Date: 2023-01-20 08:55:07
Estimated Arrive Date: 2023-03-08
25/01 - Recebido BL_224623092-draft
HASU4173844 ML-CN0735287 40 DRY 9'6 29 Case 4356.500 KGS 31.1800 CBM
28/02 - Data Atracação 26/02/2023 23:20:00
Sem divergência de peso
SIGVIG Liberado.
02/03 - DI Registrada - Canal verde
</t>
  </si>
  <si>
    <t>SHW-40840I23</t>
  </si>
  <si>
    <t>SHW-40841I23</t>
  </si>
  <si>
    <t>BRA2023022750008</t>
  </si>
  <si>
    <t xml:space="preserve">EMS01J20000350HWA0003H </t>
  </si>
  <si>
    <t>HWC2023022725123</t>
  </si>
  <si>
    <t xml:space="preserve">EMS02R20001812HWA0008H
EMS02R20001881HWA0001H
EMS02R20001906HWA0002H
EMS02R20001923HWA0001H
EMS02R20001973HWA0003H
EMS02R20001975HWA0005H
EMS02R20001975HWA0007H
EMS02R20001975HWA0013H
EMS02R20001975HWA0014H
EMS02R20001975HWA0015H
EMS02R20001975HWA0016H
EMS02R20001979HWA0001H
EMS02R20001979HWA0004H
EMS02R20001990HWA0001H </t>
  </si>
  <si>
    <t>4800018295
4800018394
4800018479
4800018570
4800018585
4800018587
4800018598
4800018622</t>
  </si>
  <si>
    <t>SHW-40843I23</t>
  </si>
  <si>
    <t>SHW-40844I23</t>
  </si>
  <si>
    <t>BRA2023022550001</t>
  </si>
  <si>
    <t>BRA2023022550002</t>
  </si>
  <si>
    <t xml:space="preserve">EMS02R20001909HWA0001H 
EMS02R20001975HWA0001H 
EMS02R20001975HWA0009H 
EMS02R20001975HWA0011H 
EMS02R20001979HWA0003H 
EMS02R20001903HWA0002H </t>
  </si>
  <si>
    <t xml:space="preserve">EMS01J20000348HWA0022H 
EMS01J20000350HWA0001H 
EMS01J20000350HWA0002H 
EMS01J20000350HWA0004H 
EMS01J20000350HWA0005H 
EMS01J20000350HWA0006H 
EMS01J20000350HWA0007H 
EMS01J20000350HWA0008H 
EMS01J20000350HWA0009H 
EMS01J20000350HWA0010H 
EMS01J20000350HWA0011H 
EMS01J20000350HWA0012H 
EMS01J20000350HWA0013H 
EMS01J20000350HWA0014H 
EMS01J20000350HWA0015H 
EMS01J20000350HWA0016H </t>
  </si>
  <si>
    <t>4800018528
4800018620</t>
  </si>
  <si>
    <t>EVER ELITE 0205 - 159W</t>
  </si>
  <si>
    <t>4800018470
4800018484
4800018587
4800018598</t>
  </si>
  <si>
    <t>23/0410561-0</t>
  </si>
  <si>
    <t>23/0414187-0</t>
  </si>
  <si>
    <t>SHW-40924I23</t>
  </si>
  <si>
    <t>SHW-40925I23</t>
  </si>
  <si>
    <t>EMS02R20001814HWA0002H
EMS02R20001886HWA0001H
EMS02R20001885HWA0002H
EMS02R20001990HWA0005H
EMS02R20001975HWA0010H
EMS02R20001920HWA0001H
EMS02R20001990HWA0004H
EMS02R20001920HWA0002H
EMS02R20001990HWA0002H
EMS02R20001990HWA0003H</t>
  </si>
  <si>
    <t>BRA2023030650005</t>
  </si>
  <si>
    <t>CMA CGM JACQUES JUNIOR 0AAL7W1MA</t>
  </si>
  <si>
    <t>4800018299
4800018398
4800018399
4800018567
4800018622</t>
  </si>
  <si>
    <t>SHW-40926I23</t>
  </si>
  <si>
    <t>Reference</t>
  </si>
  <si>
    <t>Shipper</t>
  </si>
  <si>
    <t>Invoice #</t>
  </si>
  <si>
    <t>Packing List #</t>
  </si>
  <si>
    <t>ETA SSZ (Atracação)</t>
  </si>
  <si>
    <t>Terminal</t>
  </si>
  <si>
    <t>19/01 - Invoices Recebidas
20/01 - Tender: HTM2023011900616
Actual Pickup Date: 2023-01-20 08:55:07
Estimated Arrive Date: 2023-03-08
25/01 - Recebido BL_224623147-draft
HASU4173844 ML-CN0735287 40 DRY 9'6 29 Case 4356.500 KGS 31.1800 CBM
28/02 - Data Atracação 26/02/2023 23:20:00
Sem divergência de peso
SIGVIG Liberado.
02/03 - DI Registrada - Canal verde
06/03 - Material entregue</t>
  </si>
  <si>
    <t>23/0410409-5</t>
  </si>
  <si>
    <t>23/0487549-0</t>
  </si>
  <si>
    <t>23/0488202-0</t>
  </si>
  <si>
    <t>03/02 - Invoices Recebidas
06/02 - Tender: HTM2023020301039
Actual Pickup Date: 2023-02-04 21:23:58
Estimated Arrive Date: 2023-03-23
07/02 - BL_224962072-draft
MSKU3783224 ML-CN9820419 20 DRY 8'6 5 Case 930.000 KGS 5.9500 CBM
13/03 - Data Atracação 12/03/2023 22:24:00
Sem divergência de peso
Status SIGVIG: Retido
DI registrada - Canal verde
15/03 - Material entregue</t>
  </si>
  <si>
    <t>03/02 - Invoices Recebidas
06/02 - Tender: HTM2023020301039
Actual Pickup Date: 2023-02-04 21:23:58
Estimated Arrive Date: 2023-03-23
07/02 - BL_224623996-draft
MSKU3783224 ML-CN9820419 20 DRY 8'6 24 Case 952.950 KGS 8.8800 CBM
13/03 - Data Atracação 12/03/2023 22:24:00
Sem divergência de peso
Status SIGVIG: Liberado
DI registrada - Canal verde
15/03 - Material entregue</t>
  </si>
  <si>
    <t>SHW-41110I23</t>
  </si>
  <si>
    <t>EMS01J20000353HWA0001H
EMS01J20000353HWA0002H
EMS01J20000353HWA0003H
EMS01J20000353HWA0004H
EMS01J20000353HWA0006H
EMS01J20000353HWA0007H
EMS01J20000353HWA0009H
EMS01J20000353HWA0011H</t>
  </si>
  <si>
    <t>EMS02R20001880HWA0001H
EMS02R20001958HWA0003H
EMS02R20001974HWA0001H
EMS02R20001974HWA0004H
EMS02R20001974HWA0005H
EMS02R20001975HWA0012H
EMS02R20001996HWA0001H
EMS02R20001997HWA0001H
EMS02R20002010HWA0001H
EMS02R20002010HWA0002H
EMS02R20002011HWA0001H
EMS02R20002031HWA0001H
EMS02R20002032HWA0002H
EMS02R20002032HWA0003H
EMS02R20002036HWA0001H
EMS02R20002036HWA0008H</t>
  </si>
  <si>
    <t>BRA2023032150001</t>
  </si>
  <si>
    <t>BRA2023032150002</t>
  </si>
  <si>
    <t>EVER LENIENT 1530 - 055W</t>
  </si>
  <si>
    <t>23/0544891-0</t>
  </si>
  <si>
    <t>23/0545418-9</t>
  </si>
  <si>
    <t>10/02 - Invoices Recebidas
12/02 - Tender: HTM2023020902015
Actual Pickup Date: 2023-02-10
Estimated Arrive Date: 2023-03-29
17/02 - BL_149300487771-draft
EMCU8615518 / EMCQLN3332 / 31 CASES
20/03 - Data Atracação 18/03/2023 02:15:00
Sem divergência de peso
Status SIGVIG: Liberado
21/03 - DI Registrada - Canal verde
22/03 - Material entregue.</t>
  </si>
  <si>
    <t>10/02 - Invoices Recebidas
12/02 - Tender: HTM2023020902015
Actual Pickup Date: 2023-02-10
Estimated Arrive Date: 2023-03-29
17/02 - BL_149300409788-draft
EMCU8615518 / EMCQLN3332 / 62 CASES
20/03 - Data Atracação 18/03/2023 02:15:00
Sem divergência de peso
Status SIGVIG: Liberado
21/03 - DI Registrada - Canal verde
22/03 - Material entregue.</t>
  </si>
  <si>
    <t>Planilha Pagamento</t>
  </si>
  <si>
    <t>4800018390
4800018526
4800018586
4800018587
4800018639
4800018640
4800018674
4800018675
4800018722
4800018723
4800018736</t>
  </si>
  <si>
    <t>SHW-41243I23</t>
  </si>
  <si>
    <t>SHW-41244I23</t>
  </si>
  <si>
    <t>SHW-41245I23</t>
  </si>
  <si>
    <t>EMS02R20001973HWA0002H
EMS02R20002031HWA0003H
EMS02R20002036HWA0002H
EMS02R20002036HWA0004H
EMS02R20002036HWA0009H
EMS02R20002040HWA0001H
EMS02R20002053HWA0005H</t>
  </si>
  <si>
    <t>EMS01J20000312HWA0007H
EMS01J20000314HWA0004H
EMS01J20000315HWA0004H
EMS01J20000320HWA0035H
EMS01J20000321HWA0035H
EMS01J20000321HWA0041H
EMS01J20000322HWA0033H
EMS01J20000322HWA0040H
EMS01J20000322HWA0041H
EMS01J20000322HWA0042H
EMS01J20000323HWA0018H</t>
  </si>
  <si>
    <t>BRA2023032450002</t>
  </si>
  <si>
    <t>BRA2023032350001</t>
  </si>
  <si>
    <t>MAERSK CADIZ - 311W</t>
  </si>
  <si>
    <t>EMS02R20001974HWA0003H
EMS02R20001996HWA0002H
EMS02R20002005HWA0001H
EMS02R20002005HWA0002H
EMS02R20002009HWA0001H
EMS02R20002009HWA0002H
EMS02R20002009HWA0004H
EMS02R20002011HWA0002H
EMS02R20002011HWA0003H
EMS02R20002031HWA0002H
EMS02R20002036HWA0003H
EMS02R20002036HWA0006H
EMS02R20002036HWA0010H
EMS02R20002036HWA0011H
EMS02R20002036HWA0012H
EMS02R20002052HWA0001H
EMS02R20002053HWA0009H</t>
  </si>
  <si>
    <t>BRA2023032750010</t>
  </si>
  <si>
    <t>EMS01J20000353HWA0005H
EMS01J20000353HWA0008H
EMS01J20000353HWA0010H</t>
  </si>
  <si>
    <t>BRA2023032750009</t>
  </si>
  <si>
    <t>4800018585
4800018722
4800018735
4800018736
4800018764</t>
  </si>
  <si>
    <t>4800018410
4800018412
4800018413
4800018418
4800018419
4800018420
4800018421</t>
  </si>
  <si>
    <t>4800018586
4800018639
4800018652
4800018673
4800018675
4800018722
4800018736
4800018763
4800018764</t>
  </si>
  <si>
    <t>CMA CGM NIAGARA 0AALFW1MA</t>
  </si>
  <si>
    <t>23/0594255-8</t>
  </si>
  <si>
    <t>23/0594436-4</t>
  </si>
  <si>
    <t>23/0594624-3</t>
  </si>
  <si>
    <t>23/0594737-1</t>
  </si>
  <si>
    <t>17/02 - Invoices Recebidas
22/02 - Tender: HTM2023021702384
Actual Pickup Date: 2023-02-18 05:40:09
Estimated Arrive Date: 2023-04-06
BL_149300610904-draft
EISU8263507 / EMCSHH5792  / 53 CASES
27/03 - Data Entrada: 26/03/2023 04:59:20
Sem divergência de peso
Status SIGVIG: Liberado
28/03 - DI registrada - Canal verde
30/03 - Material entregue.</t>
  </si>
  <si>
    <t>17/02 - Invoices Recebidas
22/02 - Tender: HTM2023021702384
Actual Pickup Date: 2023-02-18 05:40:09
Estimated Arrive Date: 2023-04-06
BL_149300259522-draft
EISU8263507 / EMCSHH5792 / 14 CASES
27/03 - Data Entrada: 26/03/2023 04:59:20
Sem divergência de peso
Status SIGVIG: Liberado
28/03 - DI registrada - Canal verde
30/03 - Material entregue.</t>
  </si>
  <si>
    <t>22/02 - Invoices Recebidas
Tender: HTM2023021900031
Actual Pickup Date: 2023-02-20 00:13:29
Estimated Arrive Date: 2023-04-08
23/02 - Recebido BL_149300611439-draft
EGHU9676004 / EMCSHJ0502 / 40'(SH) / 35 CASES
27/03 - Data Entrada: 25/03/2023 17:11:24
Sem divergência de peso
Status SIGVIG: Liberado
28/03 - DI registrada - Canal verde
30/03 - Material entregue.</t>
  </si>
  <si>
    <t>22/02 - Invoices Recebidas
Tender: HTM2023021900031
Actual Pickup Date: 2023-02-20 00:13:29
Estimated Arrive Date: 2023-04-08
23/02 - Recebido BL_149300611412-draft
EGHU9676004 / EMCSHJ0502 / 40'(SH) / 13 CASES
27/03 - Data Entrada: 25/03/2023 17:11:24
Sem divergência de peso
Status SIGVIG: Liberado
28/03 - DI registrada - Canal verde
30/03 - Material entregue.</t>
  </si>
  <si>
    <t>BRA2023033150017</t>
  </si>
  <si>
    <t>EMS02R20001885HWA0003H
EMS02R20002032HWA0001H
EMS02R20002032HWA0004H
EMS02R20002033HWA0003H
EMS02R20002033HWA0006H
EMS02R20002034HWA0001H
EMS02R20002034HWA0002H
EMS02R20002044HWA0003H
EMS02R20002053HWA0002H
EMS02R20002053HWA0003H
EMS02R20002053HWA0004H
EMS02R20002053HWA0007H
EMS02R20002053HWA0008H
EMS02R20002054HWA0003H
EMS02R20002054HWA0005H
EMS02R20002054HWA0006H
EMS02R20002055HWA0001H
EMS02R20002055HWA0007H
EMS02R20002055HWA0008H
EMS02R20002056HWA0001H
EMS02R20002056HWA0002H
EMS02R20002056HWA0004H
EMS02R20002056HWA0005H
EMS02R20002060HWA0002H
EMS02R20002064HWA0002H</t>
  </si>
  <si>
    <t>4800018398
4800018723
4800018724
4800018725
4800018752
4800018764
4800018766
4800018767
4800018768
4800018770
4800018776</t>
  </si>
  <si>
    <t>EMS01J20000315HWA0003H
EMS01J20000314HWA0002H</t>
  </si>
  <si>
    <t>4800018412
4800018413</t>
  </si>
  <si>
    <t>BRA2023033150016</t>
  </si>
  <si>
    <t>SHW-41336I23</t>
  </si>
  <si>
    <t xml:space="preserve">22/02 - Invoices Recebidas
23/02 - Tender: HTM2023022001371
Actual Pickup Date: 2023-02-23 08:49:47
Estimated Arrive Date: 2023-04-11
Recebido BL_149300259514-draft
TCNU6616745 40'(SH) EMCMTA5152 FCL/FCL 2 CASES
28/03 - Site do armador mantém previsão de chegada 31/03 - 21:00hs
03/04 - Data Atracação 01/04/2023 00:10:00
Sem divergência de peso
Status SIGVIG: Liberado
04/04 - DI Registrada - Canal verde
</t>
  </si>
  <si>
    <t>22/02 - Invoices Recebidas
23/02 - Tender: HTM2023022001371
Actual Pickup Date: 2023-02-23 08:49:47
Estimated Arrive Date: 2023-04-11
Recebido BL_149300704437-draft
TCNU6616745 40'(SH) EMCMTA5152 FCL/FCL 25 CASES
28/03 - Site do armador mantém previsão de chegada 31/03 - 21:00hs
03/04 - Data Atracação 01/04/2023 00:10:00
Sem divergência de peso
Status SIGVIG: Liberado
04/04 - DI Registrada - Canal verde</t>
  </si>
  <si>
    <t>23/0643944-2</t>
  </si>
  <si>
    <t>23/0643409-2</t>
  </si>
  <si>
    <t xml:space="preserve">27/02 - Invoices Recebidas
Actual Pickup Date: 2023-02-25 23:47:12
Estimated Arrive Date: 2023-04-13
Tender:HTM2023022402515
Recebido BL_149300761384-draft
TEMU6443085 40'(SH) EMCQJP8702 FCL/FCL 51 CASES
28/03 - Site do armador mantém previsão de chegada 31/03 - 21:00hs
03/04 - Data Atracação 01/04/2023 00:10:00
Sem divergência de peso
Status SIGVIG: Liberado
DI Registrada - Canal verde
</t>
  </si>
  <si>
    <t>27/02 - Invoices Recebidas
Actual Pickup Date: 2023-02-25 23:47:12
Estimated Arrive Date: 2023-04-13
Tender:HTM2023022402515
Recebido BL_149300761350-draft
TEMU6443085 40'(SH) EMCQJP8702 FCL/FCL 29 CASES
28/03 - Site do armador mantém previsão de chegada 31/03 - 21:00hs
03/04 - Data Atracação 01/04/2023 00:10:00
Sem divergência de peso
Status SIGVIG: Liberado
DI Registrada - Canal verde</t>
  </si>
  <si>
    <t>23/0637135-0</t>
  </si>
  <si>
    <t>23/0637465-0</t>
  </si>
  <si>
    <t xml:space="preserve">27/02 - Invoices Recebidas
28/02 - Recebido BL_149300817941-draft
DRYU2371370 / 20' / EMCQLJ8242 / 4 CASES
01/03 - Tender: HTM2023022701069
Actual Pickup Date: 2023-02-28
Estimated Arrive Date: 2023-04-16
28/03 - Site do armador mantém previsão de chegada 31/03 - 21:00hs
03/04 - Data Atracação 01/04/2023 00:10:00
Sem divergência de peso
Status SIGVIG: Liberado
04/04 - DI Registrada - Canal verde
</t>
  </si>
  <si>
    <t xml:space="preserve">27/02 - Invoices Recebidas
28/02 - Recebido BL_149300818122-draft
EMCU8561730 / 40' / EMCQJV8952 / 53 CASES
DRYU2371370 / 20' / EMCQLJ8242 / 24 CASES
01/03 - Tender: HTM2023022701069
Actual Pickup Date: 2023-02-28
Estimated Arrive Date: 2023-04-16
28/03 - Site do armador mantém previsão de chegada 31/03 - 21:00hs
03/04 - Data Atracação 01/04/2023 00:10:00
Sem divergência de peso
Status SIGVIG: Liberado
04/04 - DI Registrada - Canal verde
</t>
  </si>
  <si>
    <t>23/0644196-0</t>
  </si>
  <si>
    <t>Ref/ Logística</t>
  </si>
  <si>
    <t>Agente de Carga</t>
  </si>
  <si>
    <t>ETA Foxconn</t>
  </si>
  <si>
    <t>Dolar DI BRL</t>
  </si>
  <si>
    <t>DI Number</t>
  </si>
  <si>
    <t>Chanel</t>
  </si>
  <si>
    <t>Volumes</t>
  </si>
  <si>
    <t>EMS02R20001997HWA0003H
EMS02R20002055HWA0002H
EMS02R20002056HWA0006H
EMS02R20002056HWA0008H
EMS02R20002057HWA0009H
EMS02R20002057HWA0015H
EMS02R20002064HWA0003H
EMS02R20001886HWA0003H
EMS02R20002054HWA0010H
EMS02R20002034HWA0005H
EMS02R20002066HWA0001H
EMS02R20002074HWA0005H
EMS02R20002093HWA0001H
EMS02R20002055HWA0014H
EMS02R20002054HWA0012H
EMS02R20002056HWA0015H
EMS02R20002054HWA0009H
EMS02R20002034HWA0004H
EMS02R20002057HWA0019H
EMS02R20002054HWA0007H
EMS02R20002033HWA0007H
EMS02R20002033HWA0004H</t>
  </si>
  <si>
    <t>BRA2023040650005</t>
  </si>
  <si>
    <t>4800018399
4800018640
4800018724
4800018725
4800018766
4800018767
4800018768
4800018769
4800018776
4800018865</t>
  </si>
  <si>
    <t>EVER LOADING 1533-056W</t>
  </si>
  <si>
    <t xml:space="preserve">31/03 - Invoices Recebidas
03/04 - Tender: HTM2023033102489
Actual Pickup Date: 2023-04-03 
Estimated Arrive Date: 2023-05-19
Recebido BL_149301603758-draft
TXGU5591199 / 40'(SH) / EMCSTX1292 / 16 CASES
EGHU9132248 / 40'(SH) / EMCSUA5272 / 16 CASES
10/04 - Site do armador informa previsão de chegada em 04/05/2023 21:00
</t>
  </si>
  <si>
    <t xml:space="preserve">31/03 - Invoices Recebidas
03/04 - Tender: HTM2023033102489
Actual Pickup Date: 2023-04-03 
Estimated Arrive Date: 2023-05-19
Recebido BL_149301603782-draft
TXGU5591199 / 40'(SH) / EMCSTX1292 / 37 CASES
EGHU9132248 / 40'(SH) / EMCSUA5272 / 44 CASES
10/04 - Site do armador informa previsão de chegada em 04/05/2023 21:00
</t>
  </si>
  <si>
    <t xml:space="preserve">27/03 - Invoices Recebidas
29/03 - Tender: HTM2023032703292
Actual Pickup Date: 2023-03-28
Estimated Arrive Date: 2023-05-14
Recebido BL_149301144192-draft
EGHU3959413 / 20'(SD) / EMCSTV0232 / 5 CASES
10/04 - Site do armador informa previsão de chegada em 04/05/2023 21:00
</t>
  </si>
  <si>
    <t>27/03 - Invoices Recebidas
29/03 - Tender: HTM2023032703292
Actual Pickup Date: 2023-03-28
Estimated Arrive Date: 2023-05-14
Recebido BL_149301496463-draft
EMCU8866529 / 40'(SH) / EMCSUB3902 / 48 CASES
EGHU3959413 / 20'(SD) /  EMCSTV0232 / 23 CASES
10/04 - Site do armador informa previsão de chegada em 04/05/2023 21:00</t>
  </si>
  <si>
    <t xml:space="preserve">24/03 - Invoices Recebidas
Tender: HTM2023032201480
Actual Pickup Date: 2023-03-23 15:50:55
Estimated Arrive Date: 2023-05-09
27/03 - Recebido BL_225608583-draft
TRHU7604819 ML-CN0637866 40 DRY 9'6 20 Case 704.680 KGS 6.7700 CBM
10/04 - Singapore - Load on ZIM XIAMEN / 008W
Site do armador informa previsão de chegada em 30/04/2023
</t>
  </si>
  <si>
    <t xml:space="preserve">24/03 - Invoices Recebidas
Tender: HTM2023032201480
Actual Pickup Date: 2023-03-23 15:50:55
Estimated Arrive Date: 2023-05-09
27/03 - Recebido BL_226177694-draft
TRHU7604819 ML-CN0637866 40 DRY 9'6 44 Case 4814.790 KGS 40.5900 CBM
10/04 - Singapore - Load on ZIM XIAMEN / 008W
Site do armador informa previsão de chegada em 30/04/2023
</t>
  </si>
  <si>
    <t>SHW-41617I23</t>
  </si>
  <si>
    <t>SHW-41618I23</t>
  </si>
  <si>
    <t>EMS02R20002055HWA0003H
EMS02R20002055HWA0006H
EMS02R20002055HWA0009H
EMS02R20002055HWA0004H
EMS02R20002060HWA0005H
EMS02R20002060HWA0003H
EMS02R20002074HWA0007H</t>
  </si>
  <si>
    <t>BRA2023041150010</t>
  </si>
  <si>
    <t>EMS01J20000358HWA0001H
EMS01J20000359HWA0015H
EMS01J20000359HWA0018H</t>
  </si>
  <si>
    <t>BRA2023041150009</t>
  </si>
  <si>
    <t>4800018767
4800018770
4800018821</t>
  </si>
  <si>
    <t>4800018877
4800018874</t>
  </si>
  <si>
    <t>SHW-41619I23</t>
  </si>
  <si>
    <t>SHW-41620I23</t>
  </si>
  <si>
    <t>EMS01J20000355HWA0001H
EMS01J20000355HWA0002H
EMS01J20000355HWA0003H
EMS01J20000355HWA0004H
EMS01J20000355HWA0005H
EMS01J20000355HWA0006H
EMS01J20000355HWA0008H
EMS01J20000355HWA0009H
EMS01J20000355HWA0010H
EMS01J20000355HWA0011H
EMS01J20000355HWA0013H
EMS01J20000355HWA0014H
EMS01J20000355HWA0015H
EMS01J20000355HWA0016H
EMS01J20000355HWA0017H
EMS01J20000355HWA0019H
EMS01J20000355HWA0020H
EMS01J20000355HWA0021H
EMS01J20000355HWA0022H
EMS01J20000356HWA0002H
EMS01J20000356HWA0003H
EMS01J20000356HWA0004H
EMS01J20000359HWA0004H
EMS01J20000359HWA0014H</t>
  </si>
  <si>
    <t>EMS02R20001974HWA0002H
EMS02R20001997HWA0002H
EMS02R20002033HWA0001H
EMS02R20002036HWA0005H
EMS02R20002036HWA0007H
EMS02R20002053HWA0001H
EMS02R20002053HWA0006H
EMS02R20002054HWA0004H
EMS02R20002054HWA0008H
EMS02R20002054HWA0011H
EMS02R20002055HWA0011H
EMS02R20002055HWA0013H
EMS02R20002056HWA0007H
EMS02R20002056HWA0014H
EMS02R20002057HWA0008H
EMS02R20002057HWA0014H
EMS02R20002057HWA0016H
EMS02R20002064HWA0001H
EMS02R20002093HWA0003H
EMS02R20002101HWA0003H</t>
  </si>
  <si>
    <t>BRA2023041150003</t>
  </si>
  <si>
    <t>BRA2023041150002</t>
  </si>
  <si>
    <t>4800018586
4800018640
4800018724
4800018736
4800018764
4800018766
4800018767
4800018768
4800018769
4800018776
4800018865
4800018881</t>
  </si>
  <si>
    <t>4800018850
4800018851
4800018877</t>
  </si>
  <si>
    <t>23/0682287-4</t>
  </si>
  <si>
    <t>06/03 - Invoices Recebidas
Recebido BL_149300641877-draft
EGHU9566199 / 40' / EMCSJX1152 / 67 CASES
07/03 - Tender: HTM2023030600562
Actual Pickup Date: 2023-03-07 05:43:48
Estimated Arrive Date: 2023-04-23
28/03 - Site do armador mantém previsão de chegada 06/04/2023 21:00
03/04 - Site do armador mantém previsão de chegada 06/04/2023 19:00
10/04 - Data Entrada: 07/04/2023 15:40:37
Status SIGVIG: Liberado
Com divergência de peso de -17,7%
Não solicitamos repesagem
10/04 - DI Registrada - Canal verde.
12/04 - Material entregue.</t>
  </si>
  <si>
    <t>SHW-41664I23</t>
  </si>
  <si>
    <t>SHW-41665I23</t>
  </si>
  <si>
    <t>SHW-41666I23</t>
  </si>
  <si>
    <t>EMS01J20000357HWA0006H
EMS01J20000357HWA0005H
EMS01J20000359HWA0017H
EMS01J20000357HWA0002H
EMS01J20000357HWA0003H
EMS01J20000357HWA0001H
EMS01J20000359HWA0002H</t>
  </si>
  <si>
    <t>BRA2023041250005</t>
  </si>
  <si>
    <t>EMS02R20002033HWA0002H
EMS02R20002057HWA0002H
EMS02R20002104HWA0014H
EMS02R20002100HWA0002H
EMS02R20002055HWA0005H</t>
  </si>
  <si>
    <t>BRA2023041250006</t>
  </si>
  <si>
    <t>EMS02R20002033HWA0005H
EMS02R20002056HWA0012H
EMS02R20002057HWA0001H
EMS02R20002057HWA0017H
EMS02R20002060HWA0011H
EMS02R20002060HWA0010H
EMS02R20002060HWA0009H
EMS02R20002060HWA0008H</t>
  </si>
  <si>
    <t>BRA2023041350007</t>
  </si>
  <si>
    <t>4800018860
4800018877</t>
  </si>
  <si>
    <t>COSCO SHIPPING THAMES 026W</t>
  </si>
  <si>
    <t>4800018724
4800018767
4800018769
4800018880
4800018884</t>
  </si>
  <si>
    <t>4800018724
4800018768
4800018769
4800018770</t>
  </si>
  <si>
    <t xml:space="preserve">20/03 - Invoices Recebidas
Tender: HTM2023031900079
Actual Pickup Date: 2023-03-20 08:53:54
Estimated Arrive Date: 2023-05-06
21/03 - Recebidas invoices com pesos revisados
Alterado número da invoice De:BRA2023032050005 Para:BRA2023032150001
22/03 - Recebido BL_149300856008-draft
EISU8492680 / 40'(SH) / EMCSGM7512 / 10 CASES
28/03 - Site do armador mantém previsão de chegada 20/04/2023 21:00
03/04 - Site do armador mantém previsão de chegada 20/04/2023 21:00
13/04 - Site do armador alterou chegada para 21/04/2023 13:00
</t>
  </si>
  <si>
    <t xml:space="preserve">20/03 - Invoices Recebidas
Tender: HTM2023031900079
Actual Pickup Date: 2023-03-20 08:53:54
Estimated Arrive Date: 2023-05-06
21/03 - Recebidas invoices com pesos revisados
Alterado número da invoice De:BRA2023032050006 Para:BRA2023032150002
22/03 - Recebido BL_149301240434-draft
EISU8492680 / 40'(SH) / EMCSGM7512 / 69 CASES
28/03 - Site do armador mantém previsão de chegada 20/04/2023 21:00
03/04 - Site do armador mantém previsão de chegada 20/04/2023 21:00
13/04 - Site do armador alterou chegada para 21/04/2023 13:00
</t>
  </si>
  <si>
    <t xml:space="preserve">12/04 - Invoices Recebidas
13/04 - Recebido BL_149301863041-draft
EITU9185634 / 40 / EMCSHB4942 / 11 CASES
</t>
  </si>
  <si>
    <t xml:space="preserve">11/04 - Invoices Recebidas
13/04 - Recebido BL_149301862397-draft
TGBU6019518 / 40 / EMCSHC3832 / 35 CASES
</t>
  </si>
  <si>
    <t xml:space="preserve">11/04 - Invoices Recebidas
13/04 - Recebido BL_149301487502-draft
TGBU6019518 / 40 / EMCSHC3832 / 8 CASES
</t>
  </si>
  <si>
    <t>11/04 - Invoices Recebidas
13/04 - Recebido BL_149301862796-draft
TRHU4567645 / 40 / EMCSHB3562 / 49 CASES
TRHU7874748 / 40 / EMCSHB2982 / 43 CASES
TRHU8331220 / 40 / EMCSHB3732 / 29 CASES</t>
  </si>
  <si>
    <t xml:space="preserve">11/04 - Invoices Recebidas
13/04 - Recebido BL_149301862664-draft
TRHU4567645 / 40 / EMCSHB3562 / 6 CASES
TRHU7874748 / 40 / EMCSHB2982 / 10 CASES
TRHU8331220 / 40 / EMCSHB3732 / 20 CASES
</t>
  </si>
  <si>
    <t xml:space="preserve">12/04 - Invoices Recebidas
17/04 - Recebido BL_149301916713-draft
TCNU2104437 - 40 - EMCSGU4792 - 38 CASES
</t>
  </si>
  <si>
    <t>12/04 - Invoices Recebidas
13/04 - Recebido BL_149301863130-draft
EITU9185634 - 40 - EMCSHB4942 - 36 CASES</t>
  </si>
  <si>
    <t>SHW-41808I23</t>
  </si>
  <si>
    <t>SHW-41809I23</t>
  </si>
  <si>
    <t>EMS02R20002055HWA0010H
EMS02R20002057HWA0004H
EMS02R20002057HWA0003H
EMS02R20002057HWA0005H
EMS02R20002060HWA0006H
EMS02R20002060HWA0007H
EMS02R20002074HWA0002H
EMS02R20002075HWA0001H
EMS02R20002074HWA0003H
EMS02R20002074HWA0001H
EMS02R20002074HWA0006H
EMS02R20002057HWA0018H
EMS02R20002033HWA0009H
EMS02R20002033HWA0008H
EMS02R20002055HWA0012H
EMS02R20002033HWA0010H
EMS02R20002034HWA0003H
EMS02R20002093HWA0004H
EMS02R20002093HWA0002H
EMS02R20002096HWA0002H
EMS02R20002096HWA0001H
EMS02R20002096HWA0003H
EMS02R20002103HWA0004H
EMS02R20002101HWA0006H
EMS02R20002101HWA0002H
EMS02R20002101HWA0001H
EMS02R20002100HWA0003H
EMS02R20002101HWA0007H
EMS02R20002104HWA0005H
EMS02R20002103HWA0001H
EMS02R20002101HWA0004H
EMS02R20002104HWA0009H
EMS02R20002101HWA0005H
EMS02R20002096HWA0005H
EMS02R20002096HWA0006H
EMS02R20002104HWA0013H</t>
  </si>
  <si>
    <t>BRA2023041750003</t>
  </si>
  <si>
    <t>EMS01J20000355HWA0007H
EMS01J20000356HWA0005H
EMS01J20000357HWA0004H
EMS01J20000359HWA0003H
EMS01J20000360HWA0007H
EMS01J20000359HWA0023H</t>
  </si>
  <si>
    <t>BRA2023041750002</t>
  </si>
  <si>
    <t>4800018724
4800018725
4800018767
4800018769
4800018770
4800018821
4800018822
4800018853
4800018865
4800018880
4800018881
4800018883
4800018884</t>
  </si>
  <si>
    <t>4800018850
4800018851
4800018860
4800018877
4800018886</t>
  </si>
  <si>
    <t xml:space="preserve">17/04 - Invoices Recebidas
18/04 - Recebido BL_149301996253-draft
EGHU8360449 / 40 / EMCSGW0752 / 50 CASES
EMCU3978188 / 20 / EMCSWQ9052 / 26 CASES
BSIU9961027 / 40 / EMCSGY0992 / 53 CASES
</t>
  </si>
  <si>
    <t>EVER LIVELY 1535-056W</t>
  </si>
  <si>
    <t xml:space="preserve">17/04 - Invoices Recebidas
18/04 - Recebido BL_149301487499-draft
BSIU9961027 / 40 / EMCSGY0992 / 6 CASES
EGHU8360449 / 40 / EMCSGW0752 / 3 CASES
EMCU3978188 / 20 / EMCSWQ9052 / 4 CASES
</t>
  </si>
  <si>
    <t xml:space="preserve">06/04 - Invoices Recebidas
10/04 - Tender: HTM2023040601146
Actual Pickup Date: 2023-04-07 
Estimated Arrive Date: 2023-05-23
Recebido BL_149301144125-draft
EITU9005769 / 40' / EMCSWL2162 / 81 CASES
10/04 - Site do armador informa previsão de chegada em 11/05/2023 21:00
18/04 - Site da Embraport mantém previsão de chegada em 11/05/2023 19:00
</t>
  </si>
  <si>
    <t>SHW-41335I23</t>
  </si>
  <si>
    <t>SHW-41489I23</t>
  </si>
</sst>
</file>

<file path=xl/styles.xml><?xml version="1.0" encoding="utf-8"?>
<styleSheet xmlns="http://schemas.openxmlformats.org/spreadsheetml/2006/main">
  <numFmts count="21">
    <numFmt numFmtId="164" formatCode="_-&quot;R$&quot;\ * #,##0.00_-;\-&quot;R$&quot;\ * #,##0.00_-;_-&quot;R$&quot;\ * &quot;-&quot;??_-;_-@_-"/>
    <numFmt numFmtId="165" formatCode="_-* #,##0.00_-;\-* #,##0.00_-;_-* &quot;-&quot;??_-;_-@_-"/>
    <numFmt numFmtId="166" formatCode="[$-416]d\-mmm\-yy;@"/>
    <numFmt numFmtId="167" formatCode="[$$-409]#,##0.00"/>
    <numFmt numFmtId="168" formatCode="[$-409]d\-mmm\-yy;@"/>
    <numFmt numFmtId="169" formatCode="[$-416]d\-mmm;@"/>
    <numFmt numFmtId="170" formatCode="[$$-1009]#,##0.00"/>
    <numFmt numFmtId="171" formatCode="_-[$R$-416]\ * #,##0.00_-;\-[$R$-416]\ * #,##0.00_-;_-[$R$-416]\ * &quot;-&quot;??_-;_-@_-"/>
    <numFmt numFmtId="172" formatCode="_-[$$-409]* #,##0.00_ ;_-[$$-409]* \-#,##0.00\ ;_-[$$-409]* &quot;-&quot;??_ ;_-@_ "/>
    <numFmt numFmtId="173" formatCode="00000"/>
    <numFmt numFmtId="174" formatCode="#,##0.000"/>
    <numFmt numFmtId="175" formatCode="[$USD]\ #,##0.00"/>
    <numFmt numFmtId="176" formatCode="dd/mmmm/yyyy"/>
    <numFmt numFmtId="177" formatCode="_-[$R$-416]\ * #,##0.0000_-;\-[$R$-416]\ * #,##0.0000_-;_-[$R$-416]\ * &quot;-&quot;??_-;_-@_-"/>
    <numFmt numFmtId="178" formatCode="_(&quot;R$&quot;* #,##0.00_);_(&quot;R$&quot;* \(#,##0.00\);_(&quot;R$&quot;* &quot;-&quot;??_);_(@_)"/>
    <numFmt numFmtId="179" formatCode="0.0000%"/>
    <numFmt numFmtId="180" formatCode="&quot;R$&quot;\ #,##0.00"/>
    <numFmt numFmtId="181" formatCode="#,##0.0000"/>
    <numFmt numFmtId="182" formatCode="[$BRL]\ #,##0.0000"/>
    <numFmt numFmtId="183" formatCode="[$BRL]\ #,##0.00"/>
    <numFmt numFmtId="186" formatCode="dd/mm/yy;@"/>
  </numFmts>
  <fonts count="67">
    <font>
      <sz val="10"/>
      <name val="Arial"/>
    </font>
    <font>
      <sz val="10"/>
      <name val="Arial"/>
      <family val="2"/>
    </font>
    <font>
      <sz val="8"/>
      <name val="Arial"/>
      <family val="2"/>
    </font>
    <font>
      <sz val="8"/>
      <name val="Arial"/>
      <family val="2"/>
    </font>
    <font>
      <sz val="10"/>
      <name val="Arial"/>
      <family val="2"/>
    </font>
    <font>
      <sz val="13"/>
      <name val="Arial"/>
      <family val="2"/>
    </font>
    <font>
      <b/>
      <sz val="10"/>
      <color indexed="10"/>
      <name val="Arial"/>
      <family val="2"/>
    </font>
    <font>
      <b/>
      <sz val="10"/>
      <name val="Arial"/>
      <family val="2"/>
    </font>
    <font>
      <b/>
      <u/>
      <sz val="10"/>
      <name val="Arial"/>
      <family val="2"/>
    </font>
    <font>
      <b/>
      <u val="singleAccounting"/>
      <sz val="10"/>
      <name val="Arial"/>
      <family val="2"/>
    </font>
    <font>
      <b/>
      <sz val="10"/>
      <color indexed="8"/>
      <name val="Arial"/>
      <family val="2"/>
    </font>
    <font>
      <b/>
      <u/>
      <sz val="10"/>
      <color indexed="8"/>
      <name val="Arial"/>
      <family val="2"/>
    </font>
    <font>
      <u/>
      <sz val="10"/>
      <name val="Arial"/>
      <family val="2"/>
    </font>
    <font>
      <sz val="10"/>
      <color indexed="10"/>
      <name val="Arial"/>
      <family val="2"/>
    </font>
    <font>
      <b/>
      <sz val="9"/>
      <name val="Arial"/>
      <family val="2"/>
    </font>
    <font>
      <b/>
      <u/>
      <sz val="9"/>
      <name val="Arial"/>
      <family val="2"/>
    </font>
    <font>
      <b/>
      <u val="singleAccounting"/>
      <sz val="9"/>
      <name val="Arial"/>
      <family val="2"/>
    </font>
    <font>
      <b/>
      <sz val="9"/>
      <color indexed="8"/>
      <name val="Arial"/>
      <family val="2"/>
    </font>
    <font>
      <b/>
      <u/>
      <sz val="9"/>
      <color indexed="8"/>
      <name val="Arial"/>
      <family val="2"/>
    </font>
    <font>
      <sz val="9"/>
      <name val="Arial"/>
      <family val="2"/>
    </font>
    <font>
      <sz val="10"/>
      <color indexed="9"/>
      <name val="Arial"/>
      <family val="2"/>
    </font>
    <font>
      <sz val="9"/>
      <name val="Arial"/>
      <family val="2"/>
    </font>
    <font>
      <sz val="9"/>
      <color indexed="10"/>
      <name val="Arial"/>
      <family val="2"/>
    </font>
    <font>
      <b/>
      <sz val="9"/>
      <color indexed="10"/>
      <name val="Arial"/>
      <family val="2"/>
    </font>
    <font>
      <b/>
      <sz val="11"/>
      <name val="Arial"/>
      <family val="2"/>
    </font>
    <font>
      <sz val="12"/>
      <name val="新細明體"/>
      <family val="1"/>
    </font>
    <font>
      <b/>
      <sz val="16"/>
      <name val="Arial"/>
      <family val="2"/>
    </font>
    <font>
      <b/>
      <u/>
      <sz val="28"/>
      <name val="Arial"/>
      <family val="2"/>
    </font>
    <font>
      <b/>
      <u/>
      <sz val="12"/>
      <name val="Arial"/>
      <family val="2"/>
    </font>
    <font>
      <b/>
      <sz val="18"/>
      <name val="Arial"/>
      <family val="2"/>
    </font>
    <font>
      <vertAlign val="superscript"/>
      <sz val="12"/>
      <color indexed="8"/>
      <name val="Calibri"/>
      <family val="2"/>
    </font>
    <font>
      <sz val="10"/>
      <name val="Arial"/>
      <family val="2"/>
    </font>
    <font>
      <sz val="9"/>
      <color indexed="81"/>
      <name val="Tahoma"/>
      <family val="2"/>
    </font>
    <font>
      <b/>
      <sz val="9"/>
      <color indexed="81"/>
      <name val="Tahoma"/>
      <family val="2"/>
    </font>
    <font>
      <sz val="10"/>
      <name val="Helv"/>
      <charset val="134"/>
    </font>
    <font>
      <sz val="11"/>
      <color indexed="8"/>
      <name val="Calibri"/>
      <family val="2"/>
      <charset val="1"/>
    </font>
    <font>
      <b/>
      <sz val="9"/>
      <color indexed="9"/>
      <name val="Arial"/>
      <family val="2"/>
      <charset val="1"/>
    </font>
    <font>
      <sz val="9"/>
      <name val="Arial"/>
      <family val="2"/>
      <charset val="1"/>
    </font>
    <font>
      <sz val="10"/>
      <name val="Arial"/>
      <family val="2"/>
    </font>
    <font>
      <sz val="9"/>
      <name val="Arial Unicode MS"/>
      <family val="2"/>
    </font>
    <font>
      <sz val="9"/>
      <color indexed="51"/>
      <name val="Arial"/>
      <family val="2"/>
    </font>
    <font>
      <sz val="11"/>
      <color theme="1"/>
      <name val="Calibri"/>
      <family val="2"/>
      <scheme val="minor"/>
    </font>
    <font>
      <u/>
      <sz val="10"/>
      <color theme="10"/>
      <name val="Arial"/>
      <family val="2"/>
    </font>
    <font>
      <sz val="11"/>
      <color rgb="FF000000"/>
      <name val="Calibri"/>
      <family val="2"/>
    </font>
    <font>
      <b/>
      <sz val="12"/>
      <color theme="1"/>
      <name val="Calibri"/>
      <family val="2"/>
      <scheme val="minor"/>
    </font>
    <font>
      <sz val="12"/>
      <color theme="1"/>
      <name val="Calibri"/>
      <family val="2"/>
      <scheme val="minor"/>
    </font>
    <font>
      <b/>
      <sz val="14"/>
      <color theme="1"/>
      <name val="Calibri"/>
      <family val="2"/>
      <scheme val="minor"/>
    </font>
    <font>
      <sz val="12"/>
      <name val="Calibri"/>
      <family val="2"/>
      <scheme val="minor"/>
    </font>
    <font>
      <sz val="24"/>
      <color theme="1"/>
      <name val="Calibri"/>
      <family val="2"/>
      <scheme val="minor"/>
    </font>
    <font>
      <b/>
      <sz val="12"/>
      <name val="Calibri"/>
      <family val="2"/>
      <scheme val="minor"/>
    </font>
    <font>
      <sz val="14"/>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indexed="8"/>
      <name val="Calibri"/>
      <family val="2"/>
      <scheme val="minor"/>
    </font>
    <font>
      <sz val="10"/>
      <name val="Calibri"/>
      <family val="2"/>
      <scheme val="minor"/>
    </font>
    <font>
      <sz val="9"/>
      <name val="Calibri"/>
      <family val="2"/>
      <scheme val="minor"/>
    </font>
    <font>
      <sz val="10"/>
      <color rgb="FF000000"/>
      <name val="Calibri"/>
      <family val="2"/>
      <scheme val="minor"/>
    </font>
    <font>
      <b/>
      <sz val="9"/>
      <color theme="1"/>
      <name val="Arial"/>
      <family val="2"/>
    </font>
    <font>
      <b/>
      <sz val="28"/>
      <name val="Calibri"/>
      <family val="2"/>
      <scheme val="minor"/>
    </font>
    <font>
      <sz val="16"/>
      <color theme="1"/>
      <name val="Calibri"/>
      <family val="2"/>
      <scheme val="minor"/>
    </font>
    <font>
      <sz val="9"/>
      <color rgb="FFFF0000"/>
      <name val="Arial"/>
      <family val="2"/>
    </font>
    <font>
      <b/>
      <sz val="9"/>
      <color rgb="FFFF0000"/>
      <name val="Arial"/>
      <family val="2"/>
    </font>
    <font>
      <b/>
      <sz val="8"/>
      <color theme="0"/>
      <name val="Arial"/>
      <family val="2"/>
    </font>
    <font>
      <b/>
      <sz val="8"/>
      <color theme="1"/>
      <name val="Arial"/>
      <family val="2"/>
    </font>
    <font>
      <b/>
      <sz val="8"/>
      <name val="Arial"/>
      <family val="2"/>
    </font>
    <font>
      <b/>
      <sz val="8"/>
      <color rgb="FFFF0000"/>
      <name val="Arial"/>
      <family val="2"/>
    </font>
  </fonts>
  <fills count="18">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
      <patternFill patternType="solid">
        <fgColor indexed="46"/>
        <bgColor indexed="64"/>
      </patternFill>
    </fill>
    <fill>
      <patternFill patternType="solid">
        <fgColor indexed="22"/>
        <bgColor indexed="64"/>
      </patternFill>
    </fill>
    <fill>
      <patternFill patternType="solid">
        <fgColor indexed="55"/>
        <bgColor indexed="64"/>
      </patternFill>
    </fill>
    <fill>
      <patternFill patternType="solid">
        <fgColor indexed="62"/>
        <bgColor indexed="5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s>
  <borders count="4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right/>
      <top style="medium">
        <color indexed="64"/>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3">
    <xf numFmtId="0" fontId="0" fillId="0" borderId="0" applyNumberFormat="0" applyFill="0" applyBorder="0" applyAlignment="0" applyProtection="0"/>
    <xf numFmtId="0" fontId="25" fillId="0" borderId="0"/>
    <xf numFmtId="165" fontId="1" fillId="0" borderId="0" applyFont="0" applyFill="0" applyBorder="0" applyAlignment="0" applyProtection="0"/>
    <xf numFmtId="164" fontId="31" fillId="0" borderId="0" applyFont="0" applyFill="0" applyBorder="0" applyAlignment="0" applyProtection="0"/>
    <xf numFmtId="178" fontId="41" fillId="0" borderId="0" applyFont="0" applyFill="0" applyBorder="0" applyAlignment="0" applyProtection="0"/>
    <xf numFmtId="0" fontId="34" fillId="0" borderId="0"/>
    <xf numFmtId="0" fontId="35" fillId="0" borderId="0"/>
    <xf numFmtId="0" fontId="35" fillId="0" borderId="0"/>
    <xf numFmtId="0" fontId="42" fillId="0" borderId="0" applyNumberFormat="0" applyFill="0" applyBorder="0" applyAlignment="0" applyProtection="0">
      <alignment vertical="top"/>
      <protection locked="0"/>
    </xf>
    <xf numFmtId="0" fontId="4"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1" fillId="0" borderId="0"/>
    <xf numFmtId="0" fontId="1" fillId="0" borderId="0" applyNumberFormat="0" applyFill="0" applyBorder="0" applyAlignment="0" applyProtection="0"/>
    <xf numFmtId="0" fontId="43" fillId="0" borderId="0"/>
    <xf numFmtId="0" fontId="38" fillId="0" borderId="0" applyNumberFormat="0" applyFill="0" applyBorder="0" applyAlignment="0" applyProtection="0"/>
    <xf numFmtId="9" fontId="31" fillId="0" borderId="0" applyFont="0" applyFill="0" applyBorder="0" applyAlignment="0" applyProtection="0"/>
    <xf numFmtId="0" fontId="5" fillId="0" borderId="0">
      <alignment vertical="center"/>
    </xf>
  </cellStyleXfs>
  <cellXfs count="781">
    <xf numFmtId="0" fontId="0" fillId="0" borderId="0" xfId="0"/>
    <xf numFmtId="0" fontId="2" fillId="0" borderId="0" xfId="0" applyFont="1" applyFill="1" applyAlignment="1">
      <alignment horizontal="center" vertical="center"/>
    </xf>
    <xf numFmtId="166" fontId="2" fillId="0" borderId="0" xfId="0" applyNumberFormat="1" applyFont="1" applyFill="1" applyAlignment="1">
      <alignment horizontal="center" vertical="center"/>
    </xf>
    <xf numFmtId="0" fontId="2" fillId="0" borderId="0" xfId="0" applyNumberFormat="1" applyFont="1" applyFill="1" applyAlignment="1">
      <alignment horizontal="center" vertical="center"/>
    </xf>
    <xf numFmtId="4" fontId="2" fillId="0" borderId="0" xfId="0" applyNumberFormat="1" applyFont="1" applyFill="1" applyAlignment="1">
      <alignment horizontal="right" vertical="center"/>
    </xf>
    <xf numFmtId="0" fontId="2" fillId="0" borderId="0" xfId="0" applyFont="1" applyAlignment="1">
      <alignment vertical="center"/>
    </xf>
    <xf numFmtId="4" fontId="2" fillId="0" borderId="0" xfId="0" applyNumberFormat="1" applyFont="1" applyFill="1" applyAlignment="1">
      <alignment horizontal="center" vertical="center"/>
    </xf>
    <xf numFmtId="0" fontId="2" fillId="0" borderId="0" xfId="0" applyFont="1" applyAlignment="1">
      <alignment vertical="center" wrapText="1"/>
    </xf>
    <xf numFmtId="166" fontId="2" fillId="0" borderId="1" xfId="0" applyNumberFormat="1" applyFont="1" applyFill="1" applyBorder="1" applyAlignment="1">
      <alignment horizontal="center" vertical="center"/>
    </xf>
    <xf numFmtId="168" fontId="2" fillId="0" borderId="0" xfId="0" applyNumberFormat="1" applyFont="1" applyFill="1" applyAlignment="1">
      <alignment horizontal="center" vertical="center"/>
    </xf>
    <xf numFmtId="168" fontId="2" fillId="0" borderId="0" xfId="0" applyNumberFormat="1" applyFont="1" applyFill="1" applyAlignment="1">
      <alignment horizontal="center" vertical="center" wrapText="1"/>
    </xf>
    <xf numFmtId="4" fontId="2" fillId="0" borderId="0" xfId="0" applyNumberFormat="1" applyFont="1" applyFill="1" applyAlignment="1">
      <alignment horizontal="center" vertical="center" wrapText="1"/>
    </xf>
    <xf numFmtId="1" fontId="2" fillId="0" borderId="0" xfId="0" applyNumberFormat="1" applyFont="1" applyFill="1" applyAlignment="1">
      <alignment horizontal="center" vertical="center"/>
    </xf>
    <xf numFmtId="0" fontId="6" fillId="0" borderId="0" xfId="0" applyFont="1"/>
    <xf numFmtId="0" fontId="6" fillId="0" borderId="2" xfId="0" applyFont="1" applyBorder="1" applyAlignment="1">
      <alignment horizontal="center"/>
    </xf>
    <xf numFmtId="0" fontId="4" fillId="0" borderId="2" xfId="0" applyFont="1" applyBorder="1" applyAlignment="1">
      <alignment horizontal="center"/>
    </xf>
    <xf numFmtId="0" fontId="4" fillId="0" borderId="0" xfId="0" applyFont="1"/>
    <xf numFmtId="0" fontId="7" fillId="2" borderId="0" xfId="0" applyFont="1" applyFill="1" applyBorder="1" applyAlignment="1">
      <alignment horizontal="left" vertical="center" wrapText="1"/>
    </xf>
    <xf numFmtId="166" fontId="7" fillId="2" borderId="0" xfId="0" applyNumberFormat="1" applyFont="1" applyFill="1" applyBorder="1" applyAlignment="1">
      <alignment horizontal="left" vertical="center"/>
    </xf>
    <xf numFmtId="0" fontId="7" fillId="0" borderId="0" xfId="0" applyFont="1" applyAlignment="1">
      <alignment horizontal="left" vertical="center" wrapText="1"/>
    </xf>
    <xf numFmtId="0" fontId="7" fillId="2" borderId="0" xfId="0" applyFont="1" applyFill="1" applyBorder="1" applyAlignment="1">
      <alignment horizontal="center" vertical="center"/>
    </xf>
    <xf numFmtId="0" fontId="7" fillId="2" borderId="3" xfId="0" applyFont="1" applyFill="1" applyBorder="1" applyAlignment="1">
      <alignment horizontal="center" vertical="center"/>
    </xf>
    <xf numFmtId="0" fontId="7" fillId="0" borderId="0" xfId="0" applyFont="1" applyFill="1" applyBorder="1" applyAlignment="1">
      <alignment horizontal="left" vertical="center"/>
    </xf>
    <xf numFmtId="0" fontId="7" fillId="0" borderId="0" xfId="0" applyFont="1" applyAlignment="1">
      <alignment horizontal="left" vertical="center"/>
    </xf>
    <xf numFmtId="0" fontId="7" fillId="0" borderId="0"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66" fontId="4" fillId="0" borderId="2" xfId="0" applyNumberFormat="1" applyFont="1" applyFill="1" applyBorder="1" applyAlignment="1">
      <alignment horizontal="center" vertical="center"/>
    </xf>
    <xf numFmtId="1" fontId="4" fillId="0" borderId="2" xfId="0" applyNumberFormat="1" applyFont="1" applyFill="1" applyBorder="1" applyAlignment="1">
      <alignment horizontal="center" vertical="center"/>
    </xf>
    <xf numFmtId="167" fontId="4" fillId="0" borderId="2" xfId="0" applyNumberFormat="1" applyFont="1" applyFill="1" applyBorder="1" applyAlignment="1">
      <alignment horizontal="right" vertical="center"/>
    </xf>
    <xf numFmtId="0" fontId="4" fillId="0" borderId="0" xfId="0" applyFont="1" applyFill="1" applyBorder="1" applyAlignment="1">
      <alignment vertical="center"/>
    </xf>
    <xf numFmtId="0" fontId="4" fillId="0" borderId="0" xfId="0" applyFont="1" applyAlignment="1">
      <alignment vertical="center"/>
    </xf>
    <xf numFmtId="0" fontId="4" fillId="0" borderId="2" xfId="0" applyFont="1" applyBorder="1" applyAlignment="1">
      <alignment vertical="center" wrapText="1"/>
    </xf>
    <xf numFmtId="0" fontId="4"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166" fontId="4" fillId="0" borderId="0" xfId="0" applyNumberFormat="1" applyFont="1" applyFill="1" applyAlignment="1">
      <alignment horizontal="center" vertical="center"/>
    </xf>
    <xf numFmtId="0" fontId="4" fillId="0" borderId="0" xfId="0" applyFont="1" applyAlignment="1">
      <alignment vertical="center" wrapText="1"/>
    </xf>
    <xf numFmtId="166" fontId="4" fillId="0" borderId="1" xfId="0" applyNumberFormat="1" applyFont="1" applyFill="1" applyBorder="1" applyAlignment="1">
      <alignment horizontal="center" vertical="center"/>
    </xf>
    <xf numFmtId="0" fontId="4" fillId="0" borderId="2" xfId="0" applyFont="1" applyFill="1" applyBorder="1" applyAlignment="1">
      <alignment vertical="center" wrapText="1"/>
    </xf>
    <xf numFmtId="0" fontId="4" fillId="3" borderId="2"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2" xfId="0" quotePrefix="1" applyFont="1" applyFill="1" applyBorder="1" applyAlignment="1">
      <alignment horizontal="center" vertical="center" wrapText="1"/>
    </xf>
    <xf numFmtId="0" fontId="4" fillId="4" borderId="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67" fontId="4" fillId="0" borderId="1" xfId="0" applyNumberFormat="1" applyFont="1" applyFill="1" applyBorder="1" applyAlignment="1">
      <alignment horizontal="right" vertical="center"/>
    </xf>
    <xf numFmtId="0" fontId="4" fillId="0" borderId="1" xfId="0" applyFont="1" applyBorder="1" applyAlignment="1">
      <alignment vertical="center" wrapText="1"/>
    </xf>
    <xf numFmtId="0" fontId="4" fillId="0" borderId="2" xfId="0" applyFont="1" applyFill="1" applyBorder="1" applyAlignment="1">
      <alignment vertical="center"/>
    </xf>
    <xf numFmtId="0" fontId="4" fillId="0" borderId="2" xfId="0" applyFont="1" applyBorder="1" applyAlignment="1">
      <alignment vertical="center"/>
    </xf>
    <xf numFmtId="0" fontId="6" fillId="0" borderId="2" xfId="0" applyFont="1" applyBorder="1" applyAlignment="1">
      <alignment horizontal="left"/>
    </xf>
    <xf numFmtId="166" fontId="4" fillId="0" borderId="2" xfId="0" applyNumberFormat="1" applyFont="1" applyFill="1" applyBorder="1" applyAlignment="1">
      <alignment horizontal="center" vertical="center" wrapText="1"/>
    </xf>
    <xf numFmtId="0" fontId="4" fillId="0" borderId="2" xfId="0" applyFont="1" applyBorder="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2" xfId="0" applyNumberFormat="1" applyFont="1" applyFill="1" applyBorder="1" applyAlignment="1" applyProtection="1">
      <alignment wrapText="1"/>
    </xf>
    <xf numFmtId="166" fontId="7" fillId="2" borderId="0" xfId="0" applyNumberFormat="1" applyFont="1" applyFill="1" applyBorder="1" applyAlignment="1">
      <alignment horizontal="center" vertical="center"/>
    </xf>
    <xf numFmtId="166" fontId="4" fillId="0" borderId="2" xfId="0" applyNumberFormat="1" applyFont="1" applyBorder="1" applyAlignment="1">
      <alignment horizontal="center" vertical="center"/>
    </xf>
    <xf numFmtId="167" fontId="7" fillId="2" borderId="0" xfId="0" applyNumberFormat="1" applyFont="1" applyFill="1" applyBorder="1" applyAlignment="1">
      <alignment horizontal="left" vertical="center"/>
    </xf>
    <xf numFmtId="167" fontId="4" fillId="0" borderId="2" xfId="0" applyNumberFormat="1" applyFont="1" applyBorder="1" applyAlignment="1">
      <alignment vertical="center"/>
    </xf>
    <xf numFmtId="167" fontId="4" fillId="0" borderId="0" xfId="0" applyNumberFormat="1" applyFont="1" applyFill="1" applyAlignment="1">
      <alignment horizontal="right" vertical="center"/>
    </xf>
    <xf numFmtId="0" fontId="4" fillId="0" borderId="2" xfId="0" applyFont="1" applyBorder="1" applyAlignment="1">
      <alignment horizontal="left" wrapText="1"/>
    </xf>
    <xf numFmtId="0" fontId="4" fillId="0" borderId="2" xfId="0" applyFont="1" applyFill="1" applyBorder="1" applyAlignment="1">
      <alignment horizontal="left" vertical="center" wrapText="1"/>
    </xf>
    <xf numFmtId="0" fontId="2" fillId="0" borderId="0" xfId="0" applyFont="1" applyFill="1" applyAlignment="1">
      <alignment horizontal="left" vertical="center" wrapText="1"/>
    </xf>
    <xf numFmtId="0" fontId="4" fillId="4" borderId="1" xfId="0" applyFont="1" applyFill="1" applyBorder="1" applyAlignment="1">
      <alignment horizontal="center" vertical="center"/>
    </xf>
    <xf numFmtId="166" fontId="4" fillId="0" borderId="2" xfId="0" quotePrefix="1" applyNumberFormat="1" applyFont="1" applyFill="1" applyBorder="1" applyAlignment="1">
      <alignment horizontal="center" vertical="center" wrapText="1"/>
    </xf>
    <xf numFmtId="0" fontId="15" fillId="5" borderId="2" xfId="0" applyFont="1" applyFill="1" applyBorder="1" applyAlignment="1">
      <alignment horizontal="center" vertical="center" wrapText="1"/>
    </xf>
    <xf numFmtId="164" fontId="16" fillId="5" borderId="2" xfId="0" applyNumberFormat="1" applyFont="1" applyFill="1" applyBorder="1" applyAlignment="1">
      <alignment horizontal="center" vertical="center" wrapText="1"/>
    </xf>
    <xf numFmtId="0" fontId="14" fillId="5" borderId="2" xfId="0" applyFont="1" applyFill="1" applyBorder="1" applyAlignment="1">
      <alignment horizontal="center" vertical="center" wrapText="1"/>
    </xf>
    <xf numFmtId="0" fontId="17" fillId="5" borderId="2" xfId="0" applyFont="1" applyFill="1" applyBorder="1" applyAlignment="1">
      <alignment horizontal="center" vertical="center" wrapText="1"/>
    </xf>
    <xf numFmtId="0" fontId="18" fillId="5" borderId="2" xfId="0" applyFont="1" applyFill="1" applyBorder="1" applyAlignment="1">
      <alignment horizontal="center" vertical="center" wrapText="1"/>
    </xf>
    <xf numFmtId="4" fontId="15" fillId="5" borderId="2" xfId="0"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19" fillId="0" borderId="2" xfId="0" applyFont="1" applyBorder="1" applyAlignment="1">
      <alignment horizontal="center" vertical="center"/>
    </xf>
    <xf numFmtId="0" fontId="19" fillId="0" borderId="2" xfId="0" applyFont="1" applyBorder="1" applyAlignment="1">
      <alignment horizontal="left" vertical="center" wrapText="1"/>
    </xf>
    <xf numFmtId="0" fontId="19" fillId="0" borderId="2" xfId="0" applyFont="1" applyBorder="1" applyAlignment="1">
      <alignment horizontal="left" vertical="center"/>
    </xf>
    <xf numFmtId="170" fontId="19" fillId="0" borderId="2" xfId="0" applyNumberFormat="1" applyFont="1" applyBorder="1" applyAlignment="1">
      <alignment horizontal="center" vertical="center"/>
    </xf>
    <xf numFmtId="0" fontId="2" fillId="0" borderId="2" xfId="0" applyFont="1" applyFill="1" applyBorder="1" applyAlignment="1">
      <alignment horizontal="center" vertical="center"/>
    </xf>
    <xf numFmtId="0" fontId="4" fillId="0" borderId="2" xfId="0" applyFont="1" applyBorder="1" applyAlignment="1">
      <alignment horizontal="left" vertical="center" wrapText="1"/>
    </xf>
    <xf numFmtId="0" fontId="4" fillId="0" borderId="0" xfId="0" applyFont="1" applyAlignment="1">
      <alignment horizontal="left" vertical="center"/>
    </xf>
    <xf numFmtId="16" fontId="4" fillId="0" borderId="2" xfId="0" applyNumberFormat="1" applyFont="1" applyBorder="1" applyAlignment="1">
      <alignment horizontal="left" vertical="center" wrapText="1"/>
    </xf>
    <xf numFmtId="16" fontId="0" fillId="0" borderId="2" xfId="0" applyNumberFormat="1" applyBorder="1" applyAlignment="1">
      <alignment horizontal="center" vertical="center"/>
    </xf>
    <xf numFmtId="0" fontId="2" fillId="0" borderId="2" xfId="0" applyFont="1" applyBorder="1" applyAlignment="1">
      <alignment vertical="center"/>
    </xf>
    <xf numFmtId="1" fontId="2" fillId="0" borderId="2" xfId="0" applyNumberFormat="1" applyFont="1" applyFill="1" applyBorder="1" applyAlignment="1">
      <alignment horizontal="center" vertical="center"/>
    </xf>
    <xf numFmtId="168" fontId="2" fillId="0" borderId="2" xfId="0" applyNumberFormat="1" applyFont="1" applyFill="1" applyBorder="1" applyAlignment="1">
      <alignment horizontal="center" vertical="center" wrapText="1"/>
    </xf>
    <xf numFmtId="168" fontId="2" fillId="0" borderId="2" xfId="0" applyNumberFormat="1" applyFont="1" applyFill="1" applyBorder="1" applyAlignment="1">
      <alignment horizontal="center" vertical="center"/>
    </xf>
    <xf numFmtId="166"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4" fontId="2" fillId="0" borderId="2" xfId="0" applyNumberFormat="1" applyFont="1" applyFill="1" applyBorder="1" applyAlignment="1">
      <alignment horizontal="right" vertical="center"/>
    </xf>
    <xf numFmtId="4" fontId="2" fillId="0" borderId="2" xfId="0" applyNumberFormat="1" applyFont="1" applyFill="1" applyBorder="1" applyAlignment="1">
      <alignment horizontal="center" vertical="center"/>
    </xf>
    <xf numFmtId="4" fontId="2" fillId="0" borderId="2" xfId="0" applyNumberFormat="1" applyFont="1" applyFill="1" applyBorder="1" applyAlignment="1">
      <alignment horizontal="center" vertical="center" wrapText="1"/>
    </xf>
    <xf numFmtId="0" fontId="2" fillId="0" borderId="2" xfId="0" applyFont="1" applyBorder="1" applyAlignment="1">
      <alignment vertical="center" wrapText="1"/>
    </xf>
    <xf numFmtId="16" fontId="4" fillId="0" borderId="2" xfId="0" applyNumberFormat="1" applyFont="1" applyBorder="1" applyAlignment="1">
      <alignment vertical="center"/>
    </xf>
    <xf numFmtId="16" fontId="0" fillId="0" borderId="0" xfId="0" applyNumberFormat="1" applyAlignment="1">
      <alignment horizontal="center" vertical="center"/>
    </xf>
    <xf numFmtId="16" fontId="0" fillId="4" borderId="2" xfId="0" applyNumberFormat="1" applyFill="1" applyBorder="1" applyAlignment="1">
      <alignment horizontal="center" vertical="center"/>
    </xf>
    <xf numFmtId="0" fontId="10" fillId="5" borderId="2" xfId="0" applyFont="1" applyFill="1" applyBorder="1" applyAlignment="1">
      <alignment horizontal="center" vertical="center"/>
    </xf>
    <xf numFmtId="0" fontId="10" fillId="5" borderId="2" xfId="0" applyFont="1" applyFill="1" applyBorder="1" applyAlignment="1">
      <alignment horizontal="center" vertical="center" wrapText="1"/>
    </xf>
    <xf numFmtId="0" fontId="10" fillId="5" borderId="2" xfId="0" applyFont="1" applyFill="1" applyBorder="1" applyAlignment="1">
      <alignment vertical="center"/>
    </xf>
    <xf numFmtId="0" fontId="7" fillId="0" borderId="2" xfId="0" applyFont="1" applyFill="1" applyBorder="1" applyAlignment="1">
      <alignment horizontal="left" vertical="center" wrapText="1"/>
    </xf>
    <xf numFmtId="0" fontId="4" fillId="0" borderId="2" xfId="0" applyFont="1" applyBorder="1" applyAlignment="1">
      <alignment horizontal="center" vertical="center" wrapText="1"/>
    </xf>
    <xf numFmtId="0" fontId="20" fillId="6" borderId="2" xfId="0" applyFont="1" applyFill="1" applyBorder="1" applyAlignment="1">
      <alignment horizontal="center" vertical="center"/>
    </xf>
    <xf numFmtId="0" fontId="20" fillId="0" borderId="2" xfId="0" applyFont="1" applyFill="1" applyBorder="1" applyAlignment="1">
      <alignment horizontal="center" vertical="center"/>
    </xf>
    <xf numFmtId="0" fontId="8" fillId="5" borderId="4" xfId="0" applyFont="1" applyFill="1" applyBorder="1" applyAlignment="1">
      <alignment horizontal="center" vertical="center"/>
    </xf>
    <xf numFmtId="164" fontId="9" fillId="5" borderId="5" xfId="0" applyNumberFormat="1" applyFont="1" applyFill="1" applyBorder="1" applyAlignment="1">
      <alignment horizontal="center" vertical="center" wrapText="1"/>
    </xf>
    <xf numFmtId="0" fontId="7" fillId="5" borderId="5" xfId="0" applyFont="1" applyFill="1" applyBorder="1" applyAlignment="1">
      <alignment horizontal="center" vertical="center" wrapText="1"/>
    </xf>
    <xf numFmtId="166" fontId="10" fillId="5" borderId="5" xfId="0" applyNumberFormat="1" applyFont="1" applyFill="1" applyBorder="1" applyAlignment="1">
      <alignment horizontal="center" vertical="center" wrapText="1"/>
    </xf>
    <xf numFmtId="0" fontId="10" fillId="5" borderId="5" xfId="0" applyFont="1" applyFill="1" applyBorder="1" applyAlignment="1">
      <alignment horizontal="center" vertical="center" wrapText="1"/>
    </xf>
    <xf numFmtId="0" fontId="11" fillId="5" borderId="5" xfId="0" applyFont="1" applyFill="1" applyBorder="1" applyAlignment="1">
      <alignment horizontal="center" vertical="center" wrapText="1"/>
    </xf>
    <xf numFmtId="167" fontId="7" fillId="5" borderId="5" xfId="0" applyNumberFormat="1" applyFont="1" applyFill="1" applyBorder="1" applyAlignment="1">
      <alignment horizontal="center" vertical="center" wrapText="1"/>
    </xf>
    <xf numFmtId="0" fontId="7" fillId="5" borderId="2" xfId="0" applyFont="1" applyFill="1" applyBorder="1" applyAlignment="1">
      <alignment horizontal="center" vertical="center" wrapText="1"/>
    </xf>
    <xf numFmtId="0" fontId="12" fillId="5" borderId="5" xfId="0" applyFont="1" applyFill="1" applyBorder="1" applyAlignment="1">
      <alignment horizontal="center" vertical="center" wrapText="1"/>
    </xf>
    <xf numFmtId="166" fontId="12" fillId="5" borderId="5" xfId="0" applyNumberFormat="1" applyFont="1" applyFill="1" applyBorder="1" applyAlignment="1">
      <alignment horizontal="center" vertical="center" wrapText="1"/>
    </xf>
    <xf numFmtId="0" fontId="4" fillId="0" borderId="6" xfId="0" applyFont="1" applyBorder="1" applyAlignment="1">
      <alignment horizontal="center" vertical="center"/>
    </xf>
    <xf numFmtId="170" fontId="4" fillId="0" borderId="2" xfId="0" applyNumberFormat="1" applyFont="1" applyBorder="1" applyAlignment="1">
      <alignment horizontal="center" vertical="center"/>
    </xf>
    <xf numFmtId="0" fontId="4"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9" fillId="4" borderId="2" xfId="0" applyFont="1" applyFill="1" applyBorder="1" applyAlignment="1">
      <alignment horizontal="left" vertical="center" wrapText="1"/>
    </xf>
    <xf numFmtId="0" fontId="19" fillId="4" borderId="2" xfId="0" applyFont="1" applyFill="1" applyBorder="1" applyAlignment="1">
      <alignment horizontal="left" vertical="center"/>
    </xf>
    <xf numFmtId="170" fontId="4" fillId="0" borderId="2" xfId="0" applyNumberFormat="1" applyFont="1" applyFill="1" applyBorder="1" applyAlignment="1">
      <alignment horizontal="right" vertical="center"/>
    </xf>
    <xf numFmtId="0" fontId="4" fillId="4" borderId="2" xfId="0" applyFont="1" applyFill="1" applyBorder="1" applyAlignment="1">
      <alignment vertical="center"/>
    </xf>
    <xf numFmtId="16" fontId="4" fillId="4" borderId="2" xfId="0" applyNumberFormat="1" applyFont="1" applyFill="1" applyBorder="1" applyAlignment="1">
      <alignment horizontal="center" vertical="center"/>
    </xf>
    <xf numFmtId="0" fontId="19" fillId="2" borderId="2" xfId="0" applyFont="1" applyFill="1" applyBorder="1" applyAlignment="1">
      <alignment horizontal="left" vertical="center"/>
    </xf>
    <xf numFmtId="0" fontId="6" fillId="0" borderId="2" xfId="0" applyFont="1" applyBorder="1"/>
    <xf numFmtId="16" fontId="2" fillId="0" borderId="2" xfId="0" applyNumberFormat="1" applyFont="1" applyFill="1" applyBorder="1" applyAlignment="1">
      <alignment horizontal="center" vertical="center"/>
    </xf>
    <xf numFmtId="0" fontId="7" fillId="0" borderId="2" xfId="0" applyFont="1" applyBorder="1" applyAlignment="1">
      <alignment vertical="center" wrapText="1"/>
    </xf>
    <xf numFmtId="0" fontId="13" fillId="0" borderId="2" xfId="0" applyFont="1" applyBorder="1" applyAlignment="1">
      <alignment horizontal="left" vertical="center" wrapText="1"/>
    </xf>
    <xf numFmtId="0" fontId="14" fillId="3" borderId="2" xfId="0" applyFont="1" applyFill="1" applyBorder="1" applyAlignment="1">
      <alignment horizontal="left" vertical="center"/>
    </xf>
    <xf numFmtId="0" fontId="4" fillId="2" borderId="2" xfId="0" applyFont="1" applyFill="1" applyBorder="1" applyAlignment="1">
      <alignment horizontal="left" vertical="center"/>
    </xf>
    <xf numFmtId="0" fontId="4" fillId="0" borderId="2" xfId="0" applyFont="1" applyBorder="1" applyAlignment="1">
      <alignment horizontal="left" vertical="center"/>
    </xf>
    <xf numFmtId="16" fontId="4" fillId="0" borderId="2" xfId="0" applyNumberFormat="1" applyFont="1" applyBorder="1" applyAlignment="1">
      <alignment horizontal="left" vertical="center"/>
    </xf>
    <xf numFmtId="0" fontId="14" fillId="2" borderId="2" xfId="0" applyFont="1" applyFill="1" applyBorder="1" applyAlignment="1">
      <alignment horizontal="left" vertical="center"/>
    </xf>
    <xf numFmtId="0" fontId="4" fillId="4" borderId="2" xfId="0" applyFont="1" applyFill="1" applyBorder="1" applyAlignment="1">
      <alignment horizontal="center"/>
    </xf>
    <xf numFmtId="16" fontId="4" fillId="0" borderId="2" xfId="0" applyNumberFormat="1" applyFont="1" applyBorder="1"/>
    <xf numFmtId="0" fontId="0" fillId="0" borderId="2" xfId="0" applyBorder="1" applyAlignment="1">
      <alignment horizontal="center" vertical="center" wrapText="1"/>
    </xf>
    <xf numFmtId="170" fontId="0" fillId="0" borderId="2" xfId="0" applyNumberFormat="1" applyBorder="1" applyAlignment="1">
      <alignment horizontal="center" vertical="center"/>
    </xf>
    <xf numFmtId="0" fontId="0" fillId="0" borderId="2" xfId="0" applyBorder="1" applyAlignment="1">
      <alignment horizontal="left" vertical="center" wrapText="1"/>
    </xf>
    <xf numFmtId="0" fontId="0" fillId="4" borderId="2" xfId="0" applyFill="1" applyBorder="1" applyAlignment="1">
      <alignment horizontal="center" vertical="center"/>
    </xf>
    <xf numFmtId="0" fontId="14" fillId="4" borderId="2" xfId="0" applyFont="1" applyFill="1" applyBorder="1" applyAlignment="1">
      <alignment horizontal="left" vertical="center"/>
    </xf>
    <xf numFmtId="0" fontId="0" fillId="0" borderId="2" xfId="0" applyBorder="1"/>
    <xf numFmtId="0" fontId="19" fillId="0" borderId="6" xfId="0" applyFont="1" applyBorder="1" applyAlignment="1">
      <alignment horizontal="center" vertical="center"/>
    </xf>
    <xf numFmtId="0" fontId="0" fillId="0" borderId="2" xfId="0" applyBorder="1" applyAlignment="1">
      <alignment wrapText="1"/>
    </xf>
    <xf numFmtId="16" fontId="0" fillId="0" borderId="2" xfId="0" applyNumberFormat="1" applyBorder="1" applyAlignment="1">
      <alignment vertical="center"/>
    </xf>
    <xf numFmtId="0" fontId="0" fillId="4" borderId="2" xfId="0" applyFill="1" applyBorder="1"/>
    <xf numFmtId="0" fontId="0" fillId="3" borderId="2" xfId="0" applyFill="1" applyBorder="1"/>
    <xf numFmtId="16" fontId="0" fillId="0" borderId="2" xfId="0" applyNumberFormat="1" applyBorder="1"/>
    <xf numFmtId="0" fontId="4" fillId="0" borderId="2" xfId="0" applyFont="1" applyBorder="1"/>
    <xf numFmtId="0" fontId="21" fillId="0" borderId="6" xfId="0" applyFont="1" applyBorder="1" applyAlignment="1">
      <alignment horizontal="center" vertical="center"/>
    </xf>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170" fontId="21" fillId="0" borderId="2" xfId="0" applyNumberFormat="1" applyFont="1" applyBorder="1" applyAlignment="1">
      <alignment horizontal="center" vertical="center"/>
    </xf>
    <xf numFmtId="0" fontId="13" fillId="0" borderId="2" xfId="0" applyFont="1" applyBorder="1" applyAlignment="1">
      <alignment wrapText="1"/>
    </xf>
    <xf numFmtId="0" fontId="4" fillId="4" borderId="2" xfId="0" applyFont="1" applyFill="1" applyBorder="1"/>
    <xf numFmtId="0" fontId="19" fillId="2" borderId="2" xfId="0" applyFont="1" applyFill="1" applyBorder="1" applyAlignment="1">
      <alignment horizontal="center" vertical="center"/>
    </xf>
    <xf numFmtId="0" fontId="22" fillId="0" borderId="2" xfId="0" applyFont="1" applyBorder="1" applyAlignment="1">
      <alignment horizontal="left" vertical="center" wrapText="1"/>
    </xf>
    <xf numFmtId="0" fontId="7" fillId="0" borderId="2" xfId="0" applyFont="1" applyBorder="1" applyAlignment="1">
      <alignment horizontal="center" vertical="center"/>
    </xf>
    <xf numFmtId="0" fontId="7" fillId="0" borderId="6" xfId="0" applyFont="1" applyBorder="1" applyAlignment="1">
      <alignment horizontal="center" vertical="center"/>
    </xf>
    <xf numFmtId="170" fontId="7" fillId="0" borderId="2" xfId="0" applyNumberFormat="1" applyFont="1" applyBorder="1" applyAlignment="1">
      <alignment horizontal="center" vertical="center"/>
    </xf>
    <xf numFmtId="0" fontId="7" fillId="0" borderId="0" xfId="0" applyFont="1" applyAlignment="1">
      <alignment vertical="center"/>
    </xf>
    <xf numFmtId="16" fontId="0" fillId="4" borderId="2" xfId="0" applyNumberFormat="1" applyFill="1" applyBorder="1"/>
    <xf numFmtId="0" fontId="19" fillId="4" borderId="2" xfId="0" applyFont="1" applyFill="1" applyBorder="1" applyAlignment="1">
      <alignment horizontal="center" vertical="center"/>
    </xf>
    <xf numFmtId="0" fontId="19" fillId="3" borderId="2" xfId="0" applyFont="1" applyFill="1" applyBorder="1" applyAlignment="1">
      <alignment horizontal="center" vertical="center"/>
    </xf>
    <xf numFmtId="0" fontId="7" fillId="0" borderId="6" xfId="0" applyFont="1" applyBorder="1" applyAlignment="1">
      <alignment horizontal="center" vertical="center" wrapText="1"/>
    </xf>
    <xf numFmtId="0" fontId="14" fillId="0" borderId="2" xfId="0" applyFont="1" applyBorder="1" applyAlignment="1">
      <alignment horizontal="left" vertical="center" wrapText="1"/>
    </xf>
    <xf numFmtId="0" fontId="21" fillId="0" borderId="2" xfId="0" applyFont="1" applyBorder="1" applyAlignment="1">
      <alignment horizontal="left" vertical="center" wrapText="1"/>
    </xf>
    <xf numFmtId="16" fontId="4" fillId="0" borderId="2" xfId="0" applyNumberFormat="1" applyFont="1" applyBorder="1" applyAlignment="1">
      <alignment horizontal="center" vertical="center"/>
    </xf>
    <xf numFmtId="0" fontId="21" fillId="2" borderId="2" xfId="0" applyFont="1" applyFill="1" applyBorder="1" applyAlignment="1">
      <alignment horizontal="center" vertical="center"/>
    </xf>
    <xf numFmtId="0" fontId="21" fillId="3" borderId="2" xfId="0" applyFont="1" applyFill="1" applyBorder="1" applyAlignment="1">
      <alignment horizontal="center" vertical="center"/>
    </xf>
    <xf numFmtId="0" fontId="19" fillId="0" borderId="2" xfId="0" quotePrefix="1" applyFont="1" applyBorder="1" applyAlignment="1">
      <alignment horizontal="center" vertical="center"/>
    </xf>
    <xf numFmtId="0" fontId="21" fillId="4" borderId="2" xfId="0" applyFont="1" applyFill="1" applyBorder="1" applyAlignment="1">
      <alignment horizontal="center" vertical="center"/>
    </xf>
    <xf numFmtId="0" fontId="4" fillId="2" borderId="2" xfId="0" applyFont="1" applyFill="1" applyBorder="1"/>
    <xf numFmtId="0" fontId="0" fillId="2" borderId="2" xfId="0" applyFill="1" applyBorder="1"/>
    <xf numFmtId="0" fontId="13" fillId="0" borderId="2" xfId="0" applyFont="1" applyBorder="1" applyAlignment="1">
      <alignment vertical="center" wrapText="1"/>
    </xf>
    <xf numFmtId="0" fontId="0" fillId="2" borderId="2" xfId="0" applyFill="1" applyBorder="1" applyAlignment="1">
      <alignment horizontal="center" vertical="center"/>
    </xf>
    <xf numFmtId="0" fontId="0" fillId="3" borderId="2" xfId="0" applyFill="1" applyBorder="1" applyAlignment="1">
      <alignment horizontal="center" vertical="center"/>
    </xf>
    <xf numFmtId="16" fontId="0" fillId="0" borderId="2" xfId="0" applyNumberFormat="1" applyFill="1" applyBorder="1"/>
    <xf numFmtId="16" fontId="4" fillId="0" borderId="2" xfId="0" applyNumberFormat="1" applyFont="1" applyFill="1" applyBorder="1"/>
    <xf numFmtId="0" fontId="14" fillId="0" borderId="2" xfId="0" applyFont="1" applyFill="1" applyBorder="1" applyAlignment="1">
      <alignment horizontal="center" vertical="center"/>
    </xf>
    <xf numFmtId="170" fontId="14" fillId="5" borderId="2" xfId="0" applyNumberFormat="1" applyFont="1" applyFill="1" applyBorder="1" applyAlignment="1">
      <alignment horizontal="center" vertical="center" wrapText="1"/>
    </xf>
    <xf numFmtId="0" fontId="21" fillId="0" borderId="2" xfId="0" applyFont="1" applyFill="1" applyBorder="1" applyAlignment="1">
      <alignment horizontal="center" vertical="center"/>
    </xf>
    <xf numFmtId="0" fontId="21" fillId="0" borderId="6" xfId="0" applyFont="1" applyFill="1" applyBorder="1" applyAlignment="1">
      <alignment horizontal="center" vertical="center"/>
    </xf>
    <xf numFmtId="0" fontId="0" fillId="4" borderId="2" xfId="0" applyFill="1" applyBorder="1" applyAlignment="1">
      <alignment wrapText="1"/>
    </xf>
    <xf numFmtId="0" fontId="7" fillId="0" borderId="2" xfId="0" applyFont="1" applyBorder="1"/>
    <xf numFmtId="0" fontId="14" fillId="0" borderId="6" xfId="0" applyFont="1" applyFill="1" applyBorder="1" applyAlignment="1">
      <alignment horizontal="center" vertic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170" fontId="14" fillId="0" borderId="2" xfId="0" applyNumberFormat="1" applyFont="1" applyBorder="1" applyAlignment="1">
      <alignment horizontal="center" vertical="center"/>
    </xf>
    <xf numFmtId="0" fontId="7" fillId="0" borderId="2" xfId="0" applyFont="1" applyBorder="1" applyAlignment="1">
      <alignment wrapText="1"/>
    </xf>
    <xf numFmtId="0" fontId="7" fillId="0" borderId="0" xfId="0" applyFont="1"/>
    <xf numFmtId="0" fontId="4" fillId="0" borderId="2" xfId="0" applyFont="1" applyBorder="1" applyAlignment="1">
      <alignment wrapText="1"/>
    </xf>
    <xf numFmtId="16" fontId="7" fillId="0" borderId="2" xfId="0" applyNumberFormat="1" applyFont="1" applyBorder="1"/>
    <xf numFmtId="0" fontId="6" fillId="0" borderId="2" xfId="0" applyFont="1" applyBorder="1" applyAlignment="1">
      <alignment wrapText="1"/>
    </xf>
    <xf numFmtId="0" fontId="21" fillId="0" borderId="2" xfId="0" quotePrefix="1" applyFont="1" applyBorder="1" applyAlignment="1">
      <alignment horizontal="center" vertical="center"/>
    </xf>
    <xf numFmtId="0" fontId="7" fillId="4" borderId="2" xfId="0" applyFont="1" applyFill="1" applyBorder="1"/>
    <xf numFmtId="0" fontId="10" fillId="7" borderId="2"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16" fontId="7" fillId="0" borderId="2" xfId="0" applyNumberFormat="1" applyFont="1" applyBorder="1" applyAlignment="1">
      <alignment horizontal="center" vertical="center"/>
    </xf>
    <xf numFmtId="16" fontId="4" fillId="7" borderId="2" xfId="0" applyNumberFormat="1" applyFont="1" applyFill="1" applyBorder="1" applyAlignment="1">
      <alignment horizontal="center" vertical="center"/>
    </xf>
    <xf numFmtId="0" fontId="7" fillId="4" borderId="2" xfId="0" applyFont="1" applyFill="1" applyBorder="1" applyAlignment="1">
      <alignment horizontal="center" vertical="center"/>
    </xf>
    <xf numFmtId="0" fontId="6" fillId="0" borderId="2" xfId="0" applyFont="1" applyBorder="1" applyAlignment="1">
      <alignment vertical="center" wrapText="1"/>
    </xf>
    <xf numFmtId="16" fontId="7" fillId="7" borderId="2" xfId="0" applyNumberFormat="1" applyFont="1" applyFill="1" applyBorder="1" applyAlignment="1">
      <alignment horizontal="center" vertical="center"/>
    </xf>
    <xf numFmtId="16" fontId="7" fillId="0" borderId="2" xfId="0" applyNumberFormat="1" applyFont="1" applyBorder="1" applyAlignment="1">
      <alignment vertical="center"/>
    </xf>
    <xf numFmtId="0" fontId="21" fillId="4" borderId="2" xfId="0" applyFont="1" applyFill="1" applyBorder="1" applyAlignment="1">
      <alignment horizontal="left" vertical="center" wrapText="1"/>
    </xf>
    <xf numFmtId="14" fontId="4" fillId="7" borderId="2" xfId="0" applyNumberFormat="1" applyFont="1" applyFill="1" applyBorder="1" applyAlignment="1">
      <alignment horizontal="center" vertical="center"/>
    </xf>
    <xf numFmtId="14" fontId="4" fillId="0" borderId="2" xfId="0" applyNumberFormat="1" applyFont="1" applyBorder="1" applyAlignment="1">
      <alignment horizontal="center" vertical="center"/>
    </xf>
    <xf numFmtId="0" fontId="4" fillId="0" borderId="2" xfId="0" quotePrefix="1" applyFont="1" applyBorder="1" applyAlignment="1">
      <alignment horizontal="center" vertical="center"/>
    </xf>
    <xf numFmtId="0" fontId="4" fillId="0" borderId="6" xfId="0" applyFont="1" applyFill="1" applyBorder="1" applyAlignment="1">
      <alignment horizontal="center" vertical="center"/>
    </xf>
    <xf numFmtId="0" fontId="4" fillId="0" borderId="6" xfId="0" applyFont="1" applyFill="1" applyBorder="1" applyAlignment="1">
      <alignment horizontal="center" vertical="center" wrapText="1"/>
    </xf>
    <xf numFmtId="170" fontId="4" fillId="0" borderId="2" xfId="0" applyNumberFormat="1" applyFont="1" applyFill="1" applyBorder="1" applyAlignment="1">
      <alignment horizontal="center" vertical="center"/>
    </xf>
    <xf numFmtId="16" fontId="4" fillId="0" borderId="2" xfId="0" applyNumberFormat="1" applyFont="1" applyFill="1" applyBorder="1" applyAlignment="1">
      <alignment horizontal="center" vertical="center"/>
    </xf>
    <xf numFmtId="16" fontId="4" fillId="0" borderId="2" xfId="0" applyNumberFormat="1" applyFont="1" applyFill="1" applyBorder="1" applyAlignment="1">
      <alignment vertical="center"/>
    </xf>
    <xf numFmtId="0" fontId="7" fillId="0" borderId="2" xfId="0" applyFont="1" applyFill="1" applyBorder="1" applyAlignment="1">
      <alignment horizontal="center" vertical="center"/>
    </xf>
    <xf numFmtId="0" fontId="7" fillId="0" borderId="2" xfId="0" applyFont="1" applyFill="1" applyBorder="1" applyAlignment="1">
      <alignment vertical="center" wrapText="1"/>
    </xf>
    <xf numFmtId="0" fontId="6" fillId="0" borderId="2" xfId="0" applyFont="1" applyFill="1" applyBorder="1" applyAlignment="1">
      <alignment vertical="center" wrapText="1"/>
    </xf>
    <xf numFmtId="0" fontId="13" fillId="0" borderId="2" xfId="0" applyFont="1" applyFill="1" applyBorder="1" applyAlignment="1">
      <alignment vertical="center" wrapText="1"/>
    </xf>
    <xf numFmtId="0" fontId="4" fillId="0" borderId="0" xfId="0" applyFont="1" applyFill="1" applyAlignment="1">
      <alignment horizontal="left" vertical="center" wrapText="1"/>
    </xf>
    <xf numFmtId="0" fontId="24" fillId="8" borderId="2" xfId="28" applyFont="1" applyFill="1" applyBorder="1" applyAlignment="1">
      <alignment horizontal="center" vertical="center" wrapText="1"/>
    </xf>
    <xf numFmtId="4" fontId="14" fillId="8" borderId="2" xfId="28" applyNumberFormat="1" applyFont="1" applyFill="1" applyBorder="1" applyAlignment="1">
      <alignment horizontal="center" vertical="center" wrapText="1"/>
    </xf>
    <xf numFmtId="169" fontId="14" fillId="8" borderId="2" xfId="28" applyNumberFormat="1" applyFont="1" applyFill="1" applyBorder="1" applyAlignment="1">
      <alignment horizontal="center" vertical="center" wrapText="1"/>
    </xf>
    <xf numFmtId="0" fontId="24" fillId="8" borderId="7" xfId="28" applyFont="1" applyFill="1" applyBorder="1" applyAlignment="1">
      <alignment horizontal="left" vertical="center" wrapText="1"/>
    </xf>
    <xf numFmtId="169" fontId="24" fillId="8" borderId="7" xfId="28" applyNumberFormat="1" applyFont="1" applyFill="1" applyBorder="1" applyAlignment="1">
      <alignment horizontal="center" vertical="center" wrapText="1"/>
    </xf>
    <xf numFmtId="0" fontId="24" fillId="9" borderId="2" xfId="28" applyFont="1" applyFill="1" applyBorder="1" applyAlignment="1">
      <alignment horizontal="center" vertical="center" wrapText="1"/>
    </xf>
    <xf numFmtId="0" fontId="14" fillId="9" borderId="2" xfId="28" applyFont="1" applyFill="1" applyBorder="1" applyAlignment="1">
      <alignment horizontal="center" vertical="center" wrapText="1"/>
    </xf>
    <xf numFmtId="0" fontId="19" fillId="0" borderId="2" xfId="28" applyFont="1" applyBorder="1" applyAlignment="1">
      <alignment horizontal="center" vertical="center" wrapText="1"/>
    </xf>
    <xf numFmtId="4" fontId="19" fillId="0" borderId="2" xfId="28" applyNumberFormat="1" applyFont="1" applyBorder="1" applyAlignment="1">
      <alignment horizontal="center" vertical="center" wrapText="1"/>
    </xf>
    <xf numFmtId="169" fontId="19" fillId="0" borderId="2" xfId="28" applyNumberFormat="1" applyFont="1" applyBorder="1" applyAlignment="1">
      <alignment horizontal="center" vertical="center" wrapText="1"/>
    </xf>
    <xf numFmtId="0" fontId="19" fillId="0" borderId="2" xfId="28" applyFont="1" applyBorder="1" applyAlignment="1">
      <alignment horizontal="left" vertical="center" wrapText="1"/>
    </xf>
    <xf numFmtId="0" fontId="19" fillId="2" borderId="2" xfId="28" applyFont="1" applyFill="1" applyBorder="1" applyAlignment="1">
      <alignment horizontal="center" vertical="center" wrapText="1"/>
    </xf>
    <xf numFmtId="0" fontId="19" fillId="0" borderId="2" xfId="28" applyFont="1" applyBorder="1" applyAlignment="1">
      <alignment horizontal="center" vertical="center"/>
    </xf>
    <xf numFmtId="0" fontId="19" fillId="0" borderId="2" xfId="28" applyFont="1" applyFill="1" applyBorder="1" applyAlignment="1">
      <alignment horizontal="center" vertical="center" wrapText="1"/>
    </xf>
    <xf numFmtId="4" fontId="19" fillId="0" borderId="2" xfId="28" applyNumberFormat="1" applyFont="1" applyFill="1" applyBorder="1" applyAlignment="1">
      <alignment horizontal="center" vertical="center" wrapText="1"/>
    </xf>
    <xf numFmtId="169" fontId="19" fillId="0" borderId="2" xfId="28" applyNumberFormat="1" applyFont="1" applyFill="1" applyBorder="1" applyAlignment="1">
      <alignment horizontal="center" vertical="center" wrapText="1"/>
    </xf>
    <xf numFmtId="0" fontId="19" fillId="0" borderId="2" xfId="28" applyFont="1" applyFill="1" applyBorder="1" applyAlignment="1">
      <alignment horizontal="left" vertical="center" wrapText="1"/>
    </xf>
    <xf numFmtId="0" fontId="19" fillId="0" borderId="2" xfId="28" applyFont="1" applyFill="1" applyBorder="1" applyAlignment="1">
      <alignment horizontal="center" vertical="center"/>
    </xf>
    <xf numFmtId="0" fontId="0" fillId="0" borderId="0" xfId="0" applyFill="1"/>
    <xf numFmtId="0" fontId="26" fillId="0" borderId="0" xfId="21" applyFont="1" applyAlignment="1">
      <alignment horizontal="left"/>
    </xf>
    <xf numFmtId="0" fontId="41" fillId="0" borderId="0" xfId="21"/>
    <xf numFmtId="0" fontId="26" fillId="0" borderId="0" xfId="21" applyFont="1" applyAlignment="1">
      <alignment horizontal="center"/>
    </xf>
    <xf numFmtId="0" fontId="44" fillId="0" borderId="0" xfId="21" applyFont="1"/>
    <xf numFmtId="0" fontId="45" fillId="0" borderId="0" xfId="21" applyFont="1"/>
    <xf numFmtId="0" fontId="45" fillId="0" borderId="0" xfId="21" applyFont="1" applyBorder="1"/>
    <xf numFmtId="0" fontId="44" fillId="0" borderId="0" xfId="21" applyFont="1" applyAlignment="1">
      <alignment horizontal="center" vertical="center"/>
    </xf>
    <xf numFmtId="0" fontId="45" fillId="0" borderId="8" xfId="21" applyFont="1" applyBorder="1" applyAlignment="1">
      <alignment horizontal="left"/>
    </xf>
    <xf numFmtId="0" fontId="44" fillId="0" borderId="8" xfId="21" applyFont="1" applyBorder="1"/>
    <xf numFmtId="174" fontId="44" fillId="0" borderId="8" xfId="21" applyNumberFormat="1" applyFont="1" applyBorder="1" applyAlignment="1"/>
    <xf numFmtId="0" fontId="44" fillId="0" borderId="8" xfId="21" applyFont="1" applyBorder="1" applyAlignment="1">
      <alignment horizontal="left"/>
    </xf>
    <xf numFmtId="175" fontId="44" fillId="0" borderId="8" xfId="21" applyNumberFormat="1" applyFont="1" applyBorder="1" applyAlignment="1"/>
    <xf numFmtId="0" fontId="45" fillId="0" borderId="8" xfId="21" applyFont="1" applyBorder="1"/>
    <xf numFmtId="4" fontId="46" fillId="0" borderId="8" xfId="21" applyNumberFormat="1" applyFont="1" applyBorder="1" applyAlignment="1"/>
    <xf numFmtId="0" fontId="47" fillId="0" borderId="8" xfId="21" applyFont="1" applyBorder="1"/>
    <xf numFmtId="0" fontId="44" fillId="0" borderId="0" xfId="21" applyFont="1" applyBorder="1"/>
    <xf numFmtId="16" fontId="45" fillId="0" borderId="0" xfId="21" applyNumberFormat="1" applyFont="1" applyBorder="1"/>
    <xf numFmtId="0" fontId="41" fillId="0" borderId="0" xfId="21" applyBorder="1"/>
    <xf numFmtId="14" fontId="45" fillId="0" borderId="0" xfId="21" applyNumberFormat="1" applyFont="1" applyBorder="1" applyAlignment="1"/>
    <xf numFmtId="16" fontId="45" fillId="0" borderId="0" xfId="21" applyNumberFormat="1" applyFont="1" applyBorder="1" applyAlignment="1">
      <alignment horizontal="center"/>
    </xf>
    <xf numFmtId="0" fontId="47" fillId="0" borderId="0" xfId="21" applyFont="1" applyAlignment="1">
      <alignment horizontal="center"/>
    </xf>
    <xf numFmtId="0" fontId="47" fillId="0" borderId="0" xfId="21" applyFont="1"/>
    <xf numFmtId="14" fontId="45" fillId="0" borderId="0" xfId="21" applyNumberFormat="1" applyFont="1" applyAlignment="1">
      <alignment horizontal="center"/>
    </xf>
    <xf numFmtId="0" fontId="47" fillId="0" borderId="0" xfId="21" applyFont="1" applyAlignment="1">
      <alignment horizontal="left"/>
    </xf>
    <xf numFmtId="0" fontId="41" fillId="0" borderId="0" xfId="21" applyFont="1"/>
    <xf numFmtId="0" fontId="45" fillId="0" borderId="0" xfId="21" applyFont="1" applyAlignment="1">
      <alignment horizontal="center"/>
    </xf>
    <xf numFmtId="0" fontId="45" fillId="0" borderId="0" xfId="21" applyFont="1" applyAlignment="1">
      <alignment horizontal="left"/>
    </xf>
    <xf numFmtId="0" fontId="45" fillId="0" borderId="9" xfId="21" applyFont="1" applyBorder="1"/>
    <xf numFmtId="0" fontId="47" fillId="0" borderId="0" xfId="21" applyFont="1" applyAlignment="1">
      <alignment horizontal="right"/>
    </xf>
    <xf numFmtId="0" fontId="48" fillId="0" borderId="0" xfId="21" applyFont="1" applyFill="1" applyBorder="1" applyAlignment="1">
      <alignment horizontal="center" vertical="center" textRotation="90"/>
    </xf>
    <xf numFmtId="0" fontId="45" fillId="0" borderId="0" xfId="21" applyFont="1" applyBorder="1" applyAlignment="1">
      <alignment horizontal="center"/>
    </xf>
    <xf numFmtId="0" fontId="49" fillId="0" borderId="0" xfId="21" applyFont="1" applyBorder="1" applyAlignment="1">
      <alignment horizontal="left"/>
    </xf>
    <xf numFmtId="0" fontId="49" fillId="0" borderId="0" xfId="21" applyFont="1" applyAlignment="1">
      <alignment horizontal="center" vertical="center"/>
    </xf>
    <xf numFmtId="0" fontId="49" fillId="0" borderId="0" xfId="21" applyFont="1" applyAlignment="1">
      <alignment horizontal="left" vertical="center"/>
    </xf>
    <xf numFmtId="0" fontId="49" fillId="0" borderId="0" xfId="21" applyFont="1" applyAlignment="1">
      <alignment vertical="center"/>
    </xf>
    <xf numFmtId="0" fontId="50" fillId="0" borderId="0" xfId="21" applyFont="1"/>
    <xf numFmtId="0" fontId="41" fillId="0" borderId="9" xfId="21" applyBorder="1"/>
    <xf numFmtId="0" fontId="45" fillId="0" borderId="8" xfId="21" applyFont="1" applyBorder="1" applyAlignment="1">
      <alignment horizontal="center"/>
    </xf>
    <xf numFmtId="0" fontId="47" fillId="0" borderId="8" xfId="21" applyFont="1" applyBorder="1" applyAlignment="1">
      <alignment horizontal="center"/>
    </xf>
    <xf numFmtId="175" fontId="45" fillId="0" borderId="8" xfId="21" applyNumberFormat="1" applyFont="1" applyBorder="1" applyAlignment="1">
      <alignment horizontal="center" vertical="center"/>
    </xf>
    <xf numFmtId="4" fontId="45" fillId="0" borderId="8" xfId="21" applyNumberFormat="1" applyFont="1" applyBorder="1" applyAlignment="1">
      <alignment horizontal="center" vertical="center"/>
    </xf>
    <xf numFmtId="0" fontId="41" fillId="0" borderId="8" xfId="21" applyBorder="1" applyAlignment="1">
      <alignment horizontal="center" vertical="center"/>
    </xf>
    <xf numFmtId="3" fontId="41" fillId="0" borderId="8" xfId="21" applyNumberFormat="1" applyBorder="1" applyAlignment="1">
      <alignment horizontal="center" vertical="center"/>
    </xf>
    <xf numFmtId="0" fontId="51" fillId="0" borderId="10" xfId="21" applyFont="1" applyBorder="1" applyAlignment="1">
      <alignment vertical="center" wrapText="1"/>
    </xf>
    <xf numFmtId="0" fontId="44" fillId="0" borderId="9" xfId="21" applyFont="1" applyBorder="1" applyAlignment="1">
      <alignment horizontal="center" vertical="center" wrapText="1"/>
    </xf>
    <xf numFmtId="0" fontId="41" fillId="0" borderId="11" xfId="21" applyBorder="1"/>
    <xf numFmtId="0" fontId="44" fillId="0" borderId="12" xfId="21" applyFont="1" applyBorder="1" applyAlignment="1">
      <alignment horizontal="center" vertical="center"/>
    </xf>
    <xf numFmtId="0" fontId="7" fillId="0" borderId="2" xfId="0" applyFont="1"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42" fillId="0" borderId="2" xfId="8" applyBorder="1" applyAlignment="1" applyProtection="1">
      <alignment horizontal="center" vertical="center" wrapText="1"/>
    </xf>
    <xf numFmtId="0" fontId="0" fillId="0" borderId="0" xfId="0" applyAlignment="1">
      <alignment wrapText="1"/>
    </xf>
    <xf numFmtId="0" fontId="1" fillId="0" borderId="0" xfId="0" applyFont="1" applyAlignment="1"/>
    <xf numFmtId="0" fontId="1" fillId="0" borderId="0" xfId="0" applyFont="1"/>
    <xf numFmtId="0" fontId="36" fillId="10" borderId="13" xfId="6" applyFont="1" applyFill="1" applyBorder="1" applyAlignment="1">
      <alignment horizontal="center" vertical="center" wrapText="1"/>
    </xf>
    <xf numFmtId="14" fontId="36" fillId="10" borderId="13" xfId="6" applyNumberFormat="1" applyFont="1" applyFill="1" applyBorder="1" applyAlignment="1">
      <alignment horizontal="center" vertical="center" wrapText="1"/>
    </xf>
    <xf numFmtId="180" fontId="36" fillId="10" borderId="13" xfId="6" applyNumberFormat="1" applyFont="1" applyFill="1" applyBorder="1" applyAlignment="1">
      <alignment horizontal="center" vertical="center" wrapText="1"/>
    </xf>
    <xf numFmtId="0" fontId="36" fillId="10" borderId="13" xfId="7" applyFont="1" applyFill="1" applyBorder="1" applyAlignment="1">
      <alignment horizontal="center" vertical="center" wrapText="1"/>
    </xf>
    <xf numFmtId="49" fontId="36" fillId="10" borderId="13" xfId="7" applyNumberFormat="1" applyFont="1" applyFill="1" applyBorder="1" applyAlignment="1">
      <alignment horizontal="center" vertical="center" wrapText="1"/>
    </xf>
    <xf numFmtId="0" fontId="36" fillId="10" borderId="14" xfId="7" applyFont="1" applyFill="1" applyBorder="1" applyAlignment="1">
      <alignment horizontal="center" vertical="center" wrapText="1"/>
    </xf>
    <xf numFmtId="0" fontId="37" fillId="0" borderId="0" xfId="0" applyFont="1" applyAlignment="1">
      <alignment wrapText="1"/>
    </xf>
    <xf numFmtId="0" fontId="1" fillId="0" borderId="0" xfId="0" applyFont="1" applyFill="1" applyBorder="1"/>
    <xf numFmtId="0" fontId="45" fillId="0" borderId="8" xfId="21" applyNumberFormat="1" applyFont="1" applyBorder="1" applyAlignment="1">
      <alignment horizontal="center" vertical="center"/>
    </xf>
    <xf numFmtId="4" fontId="47" fillId="0" borderId="8" xfId="21" applyNumberFormat="1" applyFont="1" applyBorder="1" applyAlignment="1">
      <alignment horizontal="center"/>
    </xf>
    <xf numFmtId="0" fontId="52" fillId="11" borderId="15" xfId="0" applyFont="1" applyFill="1" applyBorder="1" applyAlignment="1">
      <alignment horizontal="center" vertical="center" wrapText="1"/>
    </xf>
    <xf numFmtId="174" fontId="52" fillId="11" borderId="15" xfId="0" applyNumberFormat="1" applyFont="1" applyFill="1" applyBorder="1" applyAlignment="1">
      <alignment horizontal="center" vertical="center" wrapText="1"/>
    </xf>
    <xf numFmtId="4" fontId="52" fillId="11" borderId="15" xfId="0" applyNumberFormat="1" applyFont="1" applyFill="1" applyBorder="1" applyAlignment="1">
      <alignment horizontal="center" vertical="center" wrapText="1"/>
    </xf>
    <xf numFmtId="181" fontId="52" fillId="11" borderId="15" xfId="0" applyNumberFormat="1" applyFont="1" applyFill="1" applyBorder="1" applyAlignment="1">
      <alignment horizontal="center" vertical="center" wrapText="1"/>
    </xf>
    <xf numFmtId="3" fontId="52" fillId="11" borderId="15" xfId="0" applyNumberFormat="1" applyFont="1" applyFill="1" applyBorder="1" applyAlignment="1">
      <alignment horizontal="center" vertical="center" wrapText="1"/>
    </xf>
    <xf numFmtId="180" fontId="52" fillId="11" borderId="15" xfId="0" applyNumberFormat="1" applyFont="1" applyFill="1" applyBorder="1" applyAlignment="1">
      <alignment horizontal="center" vertical="center" wrapText="1"/>
    </xf>
    <xf numFmtId="4" fontId="52" fillId="11" borderId="16" xfId="0" applyNumberFormat="1" applyFont="1" applyFill="1" applyBorder="1" applyAlignment="1">
      <alignment horizontal="center" vertical="center" wrapText="1"/>
    </xf>
    <xf numFmtId="0" fontId="53" fillId="12" borderId="17" xfId="28" applyFont="1" applyFill="1" applyBorder="1" applyAlignment="1" applyProtection="1">
      <alignment horizontal="center" vertical="center" wrapText="1"/>
      <protection locked="0"/>
    </xf>
    <xf numFmtId="0" fontId="53" fillId="12" borderId="15" xfId="28" applyFont="1" applyFill="1" applyBorder="1" applyAlignment="1" applyProtection="1">
      <alignment horizontal="center" vertical="center" wrapText="1"/>
      <protection locked="0"/>
    </xf>
    <xf numFmtId="0" fontId="53" fillId="12" borderId="15" xfId="0" applyFont="1" applyFill="1" applyBorder="1" applyAlignment="1">
      <alignment horizontal="center" vertical="center" wrapText="1"/>
    </xf>
    <xf numFmtId="4" fontId="54" fillId="12" borderId="15" xfId="0" applyNumberFormat="1" applyFont="1" applyFill="1" applyBorder="1" applyAlignment="1">
      <alignment horizontal="center" vertical="center" wrapText="1"/>
    </xf>
    <xf numFmtId="4" fontId="53" fillId="12" borderId="15" xfId="0" applyNumberFormat="1" applyFont="1" applyFill="1" applyBorder="1" applyAlignment="1">
      <alignment horizontal="center" vertical="center" wrapText="1"/>
    </xf>
    <xf numFmtId="4" fontId="53" fillId="11" borderId="15" xfId="0" applyNumberFormat="1" applyFont="1" applyFill="1" applyBorder="1" applyAlignment="1">
      <alignment horizontal="center" vertical="center" wrapText="1"/>
    </xf>
    <xf numFmtId="0" fontId="53" fillId="13" borderId="15" xfId="28" applyFont="1" applyFill="1" applyBorder="1" applyAlignment="1" applyProtection="1">
      <alignment horizontal="center" vertical="center" wrapText="1"/>
      <protection locked="0"/>
    </xf>
    <xf numFmtId="0" fontId="53" fillId="14" borderId="15" xfId="0" applyFont="1" applyFill="1" applyBorder="1" applyAlignment="1" applyProtection="1">
      <alignment horizontal="center" vertical="center" wrapText="1"/>
      <protection locked="0"/>
    </xf>
    <xf numFmtId="0" fontId="53" fillId="15" borderId="18" xfId="0" applyFont="1" applyFill="1" applyBorder="1" applyAlignment="1">
      <alignment horizontal="center" vertical="center" wrapText="1"/>
    </xf>
    <xf numFmtId="0" fontId="55" fillId="0" borderId="2" xfId="0" applyFont="1" applyFill="1" applyBorder="1" applyAlignment="1">
      <alignment horizontal="center" vertical="center" wrapText="1"/>
    </xf>
    <xf numFmtId="1" fontId="55" fillId="15" borderId="2" xfId="0" applyNumberFormat="1" applyFont="1" applyFill="1" applyBorder="1" applyAlignment="1">
      <alignment horizontal="center" vertical="center" wrapText="1"/>
    </xf>
    <xf numFmtId="173" fontId="55" fillId="15" borderId="2" xfId="0" applyNumberFormat="1" applyFont="1" applyFill="1" applyBorder="1" applyAlignment="1" applyProtection="1">
      <alignment horizontal="center" vertical="center" wrapText="1"/>
      <protection locked="0"/>
    </xf>
    <xf numFmtId="16" fontId="55" fillId="15" borderId="2" xfId="0" applyNumberFormat="1" applyFont="1" applyFill="1" applyBorder="1" applyAlignment="1">
      <alignment horizontal="center" vertical="center"/>
    </xf>
    <xf numFmtId="16" fontId="55" fillId="0" borderId="2" xfId="0" applyNumberFormat="1" applyFont="1" applyFill="1" applyBorder="1" applyAlignment="1">
      <alignment horizontal="center" vertical="center"/>
    </xf>
    <xf numFmtId="0" fontId="53" fillId="0" borderId="2" xfId="0" applyFont="1" applyFill="1" applyBorder="1" applyAlignment="1">
      <alignment horizontal="center" vertical="center"/>
    </xf>
    <xf numFmtId="4" fontId="55" fillId="0" borderId="2" xfId="0" applyNumberFormat="1" applyFont="1" applyFill="1" applyBorder="1" applyAlignment="1">
      <alignment horizontal="center" vertical="center"/>
    </xf>
    <xf numFmtId="0" fontId="55" fillId="0" borderId="2" xfId="0" applyFont="1" applyFill="1" applyBorder="1" applyAlignment="1">
      <alignment horizontal="center" vertical="center"/>
    </xf>
    <xf numFmtId="0" fontId="55" fillId="0" borderId="2" xfId="0" applyFont="1" applyBorder="1" applyAlignment="1">
      <alignment horizontal="center" vertical="center"/>
    </xf>
    <xf numFmtId="3" fontId="55" fillId="0" borderId="2" xfId="0" applyNumberFormat="1" applyFont="1" applyFill="1" applyBorder="1" applyAlignment="1">
      <alignment horizontal="center" vertical="center"/>
    </xf>
    <xf numFmtId="169" fontId="55" fillId="0" borderId="2" xfId="0" applyNumberFormat="1" applyFont="1" applyBorder="1" applyAlignment="1">
      <alignment horizontal="center" vertical="center"/>
    </xf>
    <xf numFmtId="0" fontId="55" fillId="0" borderId="2" xfId="0" applyFont="1" applyBorder="1" applyAlignment="1">
      <alignment horizontal="center" vertical="center" wrapText="1"/>
    </xf>
    <xf numFmtId="0" fontId="53" fillId="15" borderId="19" xfId="0" applyFont="1" applyFill="1" applyBorder="1" applyAlignment="1">
      <alignment horizontal="center" vertical="center" wrapText="1"/>
    </xf>
    <xf numFmtId="0" fontId="55" fillId="0" borderId="1" xfId="0" applyFont="1" applyFill="1" applyBorder="1" applyAlignment="1">
      <alignment horizontal="center" vertical="center" wrapText="1"/>
    </xf>
    <xf numFmtId="1" fontId="55" fillId="15" borderId="1" xfId="0" applyNumberFormat="1" applyFont="1" applyFill="1" applyBorder="1" applyAlignment="1">
      <alignment horizontal="center" vertical="center" wrapText="1"/>
    </xf>
    <xf numFmtId="173" fontId="55" fillId="15" borderId="1" xfId="0" applyNumberFormat="1" applyFont="1" applyFill="1" applyBorder="1" applyAlignment="1" applyProtection="1">
      <alignment horizontal="center" vertical="center" wrapText="1"/>
      <protection locked="0"/>
    </xf>
    <xf numFmtId="16" fontId="55" fillId="15" borderId="1" xfId="0" applyNumberFormat="1" applyFont="1" applyFill="1" applyBorder="1" applyAlignment="1">
      <alignment horizontal="center" vertical="center"/>
    </xf>
    <xf numFmtId="16" fontId="55" fillId="0" borderId="1" xfId="0" applyNumberFormat="1" applyFont="1" applyFill="1" applyBorder="1" applyAlignment="1">
      <alignment horizontal="center" vertical="center"/>
    </xf>
    <xf numFmtId="0" fontId="53" fillId="0" borderId="1" xfId="0" applyFont="1" applyFill="1" applyBorder="1" applyAlignment="1">
      <alignment horizontal="center" vertical="center"/>
    </xf>
    <xf numFmtId="0" fontId="55" fillId="15" borderId="1" xfId="0" applyFont="1" applyFill="1" applyBorder="1" applyAlignment="1" applyProtection="1">
      <alignment horizontal="left" vertical="center" wrapText="1"/>
      <protection locked="0"/>
    </xf>
    <xf numFmtId="4" fontId="55" fillId="0" borderId="1" xfId="0" applyNumberFormat="1" applyFont="1" applyFill="1" applyBorder="1" applyAlignment="1">
      <alignment horizontal="center" vertical="center"/>
    </xf>
    <xf numFmtId="0" fontId="55" fillId="0" borderId="1" xfId="0" applyFont="1" applyBorder="1" applyAlignment="1">
      <alignment horizontal="center" vertical="center"/>
    </xf>
    <xf numFmtId="3" fontId="55" fillId="0" borderId="1" xfId="0" applyNumberFormat="1" applyFont="1" applyFill="1" applyBorder="1" applyAlignment="1">
      <alignment horizontal="center" vertical="center"/>
    </xf>
    <xf numFmtId="169" fontId="55" fillId="0" borderId="1" xfId="0" applyNumberFormat="1" applyFont="1" applyBorder="1" applyAlignment="1">
      <alignment horizontal="center" vertical="center"/>
    </xf>
    <xf numFmtId="0" fontId="55" fillId="0" borderId="1" xfId="0" applyFont="1" applyBorder="1" applyAlignment="1">
      <alignment horizontal="center" vertical="center" wrapText="1"/>
    </xf>
    <xf numFmtId="16" fontId="55" fillId="0" borderId="20" xfId="0" applyNumberFormat="1" applyFont="1" applyFill="1" applyBorder="1" applyAlignment="1">
      <alignment horizontal="center" vertical="center"/>
    </xf>
    <xf numFmtId="0" fontId="55" fillId="0" borderId="0" xfId="0" applyFont="1" applyBorder="1" applyAlignment="1">
      <alignment horizontal="center" vertical="center"/>
    </xf>
    <xf numFmtId="0" fontId="55" fillId="0" borderId="0" xfId="0" applyFont="1" applyFill="1" applyBorder="1" applyAlignment="1">
      <alignment horizontal="center" vertical="center"/>
    </xf>
    <xf numFmtId="0" fontId="55" fillId="0" borderId="0" xfId="0" applyFont="1" applyFill="1" applyBorder="1" applyAlignment="1">
      <alignment horizontal="center" vertical="center" wrapText="1"/>
    </xf>
    <xf numFmtId="16" fontId="55" fillId="0" borderId="1" xfId="0" applyNumberFormat="1" applyFont="1" applyBorder="1" applyAlignment="1">
      <alignment horizontal="center" vertical="center"/>
    </xf>
    <xf numFmtId="16" fontId="55" fillId="0" borderId="2" xfId="0" applyNumberFormat="1" applyFont="1" applyBorder="1" applyAlignment="1">
      <alignment horizontal="center" vertical="center"/>
    </xf>
    <xf numFmtId="0" fontId="56" fillId="0" borderId="0" xfId="0" applyFont="1"/>
    <xf numFmtId="172" fontId="55" fillId="0" borderId="2" xfId="0" applyNumberFormat="1" applyFont="1" applyBorder="1" applyAlignment="1">
      <alignment horizontal="center" vertical="center"/>
    </xf>
    <xf numFmtId="172" fontId="55" fillId="0" borderId="2" xfId="3" applyNumberFormat="1" applyFont="1" applyBorder="1" applyAlignment="1">
      <alignment horizontal="center" vertical="center"/>
    </xf>
    <xf numFmtId="172" fontId="55" fillId="0" borderId="1" xfId="0" applyNumberFormat="1" applyFont="1" applyBorder="1" applyAlignment="1">
      <alignment horizontal="center" vertical="center"/>
    </xf>
    <xf numFmtId="0" fontId="55" fillId="15" borderId="2" xfId="0" applyFont="1" applyFill="1" applyBorder="1" applyAlignment="1" applyProtection="1">
      <alignment horizontal="left" vertical="center" wrapText="1"/>
      <protection locked="0"/>
    </xf>
    <xf numFmtId="0" fontId="19" fillId="0" borderId="2" xfId="0" applyFont="1" applyFill="1" applyBorder="1" applyAlignment="1">
      <alignment horizontal="center" vertical="center" wrapText="1"/>
    </xf>
    <xf numFmtId="1" fontId="19" fillId="15" borderId="2" xfId="0" applyNumberFormat="1" applyFont="1" applyFill="1" applyBorder="1" applyAlignment="1">
      <alignment horizontal="center" vertical="center" wrapText="1"/>
    </xf>
    <xf numFmtId="173" fontId="19" fillId="15" borderId="2" xfId="0" applyNumberFormat="1" applyFont="1" applyFill="1" applyBorder="1" applyAlignment="1" applyProtection="1">
      <alignment horizontal="center" vertical="center" wrapText="1"/>
      <protection locked="0"/>
    </xf>
    <xf numFmtId="1" fontId="19" fillId="15" borderId="2" xfId="0" applyNumberFormat="1" applyFont="1" applyFill="1" applyBorder="1" applyAlignment="1" applyProtection="1">
      <alignment horizontal="center" vertical="center" wrapText="1"/>
      <protection locked="0"/>
    </xf>
    <xf numFmtId="16" fontId="19" fillId="15" borderId="2" xfId="0" applyNumberFormat="1" applyFont="1" applyFill="1" applyBorder="1" applyAlignment="1">
      <alignment horizontal="center" vertical="center"/>
    </xf>
    <xf numFmtId="16" fontId="14" fillId="15" borderId="2" xfId="0" applyNumberFormat="1" applyFont="1" applyFill="1" applyBorder="1" applyAlignment="1">
      <alignment horizontal="center" vertical="center"/>
    </xf>
    <xf numFmtId="16" fontId="19" fillId="0" borderId="2" xfId="0" applyNumberFormat="1" applyFont="1" applyFill="1" applyBorder="1" applyAlignment="1">
      <alignment horizontal="center" vertical="center"/>
    </xf>
    <xf numFmtId="0" fontId="19" fillId="15" borderId="2" xfId="0" applyFont="1" applyFill="1" applyBorder="1" applyAlignment="1" applyProtection="1">
      <alignment horizontal="left" vertical="center" wrapText="1"/>
      <protection locked="0"/>
    </xf>
    <xf numFmtId="0" fontId="19" fillId="0" borderId="2" xfId="0" applyFont="1" applyFill="1" applyBorder="1" applyAlignment="1">
      <alignment horizontal="center" vertical="center"/>
    </xf>
    <xf numFmtId="3" fontId="19" fillId="0" borderId="2" xfId="0" applyNumberFormat="1" applyFont="1" applyFill="1" applyBorder="1" applyAlignment="1">
      <alignment horizontal="center" vertical="center"/>
    </xf>
    <xf numFmtId="16" fontId="19" fillId="0" borderId="2" xfId="0" applyNumberFormat="1" applyFont="1" applyFill="1" applyBorder="1" applyAlignment="1">
      <alignment horizontal="center" vertical="center" wrapText="1"/>
    </xf>
    <xf numFmtId="14" fontId="19" fillId="0" borderId="2" xfId="0" applyNumberFormat="1" applyFont="1" applyFill="1" applyBorder="1" applyAlignment="1">
      <alignment horizontal="center" vertical="center"/>
    </xf>
    <xf numFmtId="0" fontId="19" fillId="0" borderId="2" xfId="10" applyFont="1" applyFill="1" applyBorder="1" applyAlignment="1">
      <alignment horizontal="center" vertical="center"/>
    </xf>
    <xf numFmtId="0" fontId="14" fillId="15" borderId="18" xfId="0" applyFont="1" applyFill="1" applyBorder="1" applyAlignment="1">
      <alignment horizontal="center" vertical="center" wrapText="1"/>
    </xf>
    <xf numFmtId="0" fontId="19" fillId="0" borderId="0" xfId="0" applyFont="1" applyBorder="1" applyAlignment="1">
      <alignment horizontal="center" vertical="center"/>
    </xf>
    <xf numFmtId="0" fontId="14" fillId="0" borderId="0" xfId="10" applyFont="1" applyAlignment="1">
      <alignment horizontal="center" vertical="center"/>
    </xf>
    <xf numFmtId="0" fontId="19" fillId="0" borderId="0" xfId="10" applyFont="1" applyAlignment="1">
      <alignment horizontal="center" vertical="center"/>
    </xf>
    <xf numFmtId="0" fontId="19" fillId="0" borderId="0" xfId="10" applyNumberFormat="1" applyFont="1" applyAlignment="1">
      <alignment horizontal="center" vertical="center"/>
    </xf>
    <xf numFmtId="4" fontId="19" fillId="0" borderId="0" xfId="10" applyNumberFormat="1" applyFont="1" applyAlignment="1">
      <alignment horizontal="center" vertical="center"/>
    </xf>
    <xf numFmtId="169" fontId="19" fillId="0" borderId="0" xfId="10" applyNumberFormat="1" applyFont="1" applyAlignment="1">
      <alignment horizontal="center" vertical="center"/>
    </xf>
    <xf numFmtId="0" fontId="19" fillId="0" borderId="0" xfId="10" applyFont="1" applyFill="1" applyAlignment="1">
      <alignment horizontal="center" vertical="center"/>
    </xf>
    <xf numFmtId="3" fontId="19" fillId="0" borderId="0" xfId="10" applyNumberFormat="1" applyFont="1" applyAlignment="1">
      <alignment horizontal="center" vertical="center"/>
    </xf>
    <xf numFmtId="0" fontId="19" fillId="0" borderId="0" xfId="10" applyFont="1" applyBorder="1" applyAlignment="1">
      <alignment horizontal="center" vertical="center"/>
    </xf>
    <xf numFmtId="0" fontId="19" fillId="0" borderId="0" xfId="10" applyFont="1" applyAlignment="1">
      <alignment vertical="center"/>
    </xf>
    <xf numFmtId="0" fontId="19" fillId="0" borderId="0" xfId="10" applyFont="1" applyBorder="1" applyAlignment="1">
      <alignment vertical="center"/>
    </xf>
    <xf numFmtId="0" fontId="14" fillId="0" borderId="0" xfId="10" applyFont="1" applyFill="1" applyAlignment="1">
      <alignment horizontal="center" vertical="center"/>
    </xf>
    <xf numFmtId="0" fontId="19" fillId="15" borderId="2" xfId="0" applyFont="1" applyFill="1" applyBorder="1" applyAlignment="1" applyProtection="1">
      <alignment horizontal="center" vertical="center" wrapText="1"/>
      <protection locked="0"/>
    </xf>
    <xf numFmtId="174" fontId="19" fillId="0" borderId="2" xfId="0" applyNumberFormat="1" applyFont="1" applyFill="1" applyBorder="1" applyAlignment="1">
      <alignment horizontal="center" vertical="center"/>
    </xf>
    <xf numFmtId="172" fontId="19" fillId="0" borderId="2" xfId="0" applyNumberFormat="1" applyFont="1" applyFill="1" applyBorder="1" applyAlignment="1">
      <alignment horizontal="center" vertical="center"/>
    </xf>
    <xf numFmtId="177" fontId="19" fillId="0" borderId="2" xfId="0" applyNumberFormat="1" applyFont="1" applyFill="1" applyBorder="1" applyAlignment="1">
      <alignment horizontal="center" vertical="center"/>
    </xf>
    <xf numFmtId="171" fontId="19" fillId="0" borderId="2" xfId="0" applyNumberFormat="1" applyFont="1" applyFill="1" applyBorder="1" applyAlignment="1">
      <alignment horizontal="center" vertical="center"/>
    </xf>
    <xf numFmtId="0" fontId="19" fillId="0" borderId="0" xfId="0" applyFont="1" applyFill="1" applyBorder="1" applyAlignment="1">
      <alignment horizontal="center" vertical="center"/>
    </xf>
    <xf numFmtId="1" fontId="19" fillId="0" borderId="2" xfId="0" applyNumberFormat="1" applyFont="1" applyFill="1" applyBorder="1" applyAlignment="1">
      <alignment horizontal="center" vertical="center"/>
    </xf>
    <xf numFmtId="4" fontId="53" fillId="0" borderId="2" xfId="0" applyNumberFormat="1" applyFont="1" applyBorder="1" applyAlignment="1">
      <alignment horizontal="center" vertical="center"/>
    </xf>
    <xf numFmtId="4" fontId="53" fillId="0" borderId="1" xfId="0" applyNumberFormat="1" applyFont="1" applyBorder="1" applyAlignment="1">
      <alignment horizontal="center" vertical="center"/>
    </xf>
    <xf numFmtId="16" fontId="19" fillId="0" borderId="2" xfId="0" applyNumberFormat="1" applyFont="1" applyBorder="1" applyAlignment="1">
      <alignment horizontal="center" vertical="center"/>
    </xf>
    <xf numFmtId="0" fontId="53" fillId="0" borderId="21" xfId="30" applyFont="1" applyFill="1" applyBorder="1" applyAlignment="1">
      <alignment horizontal="center" vertical="center" wrapText="1"/>
    </xf>
    <xf numFmtId="0" fontId="55" fillId="0" borderId="20" xfId="30" applyFont="1" applyFill="1" applyBorder="1" applyAlignment="1">
      <alignment horizontal="center" vertical="center" wrapText="1"/>
    </xf>
    <xf numFmtId="1" fontId="55" fillId="0" borderId="20" xfId="30" applyNumberFormat="1" applyFont="1" applyFill="1" applyBorder="1" applyAlignment="1">
      <alignment horizontal="center" vertical="center" wrapText="1"/>
    </xf>
    <xf numFmtId="173" fontId="55" fillId="0" borderId="20" xfId="30" applyNumberFormat="1" applyFont="1" applyFill="1" applyBorder="1" applyAlignment="1" applyProtection="1">
      <alignment horizontal="center" vertical="center" wrapText="1"/>
      <protection locked="0"/>
    </xf>
    <xf numFmtId="16" fontId="55" fillId="0" borderId="20" xfId="30" applyNumberFormat="1" applyFont="1" applyFill="1" applyBorder="1" applyAlignment="1">
      <alignment horizontal="center" vertical="center"/>
    </xf>
    <xf numFmtId="4" fontId="53" fillId="0" borderId="20" xfId="30" applyNumberFormat="1" applyFont="1" applyFill="1" applyBorder="1" applyAlignment="1">
      <alignment horizontal="center" vertical="center"/>
    </xf>
    <xf numFmtId="0" fontId="53" fillId="0" borderId="20" xfId="30" applyFont="1" applyFill="1" applyBorder="1" applyAlignment="1">
      <alignment horizontal="center" vertical="center"/>
    </xf>
    <xf numFmtId="4" fontId="55" fillId="0" borderId="20" xfId="30" applyNumberFormat="1" applyFont="1" applyFill="1" applyBorder="1" applyAlignment="1">
      <alignment horizontal="center" vertical="center"/>
    </xf>
    <xf numFmtId="0" fontId="55" fillId="0" borderId="20" xfId="30" applyFont="1" applyFill="1" applyBorder="1" applyAlignment="1">
      <alignment horizontal="center" vertical="center"/>
    </xf>
    <xf numFmtId="3" fontId="55" fillId="0" borderId="20" xfId="30" applyNumberFormat="1" applyFont="1" applyFill="1" applyBorder="1" applyAlignment="1">
      <alignment horizontal="center" vertical="center"/>
    </xf>
    <xf numFmtId="172" fontId="55" fillId="0" borderId="20" xfId="30" applyNumberFormat="1" applyFont="1" applyFill="1" applyBorder="1" applyAlignment="1">
      <alignment horizontal="center" vertical="center"/>
    </xf>
    <xf numFmtId="0" fontId="55" fillId="0" borderId="0" xfId="30" applyFont="1" applyBorder="1" applyAlignment="1">
      <alignment horizontal="center" vertical="center"/>
    </xf>
    <xf numFmtId="0" fontId="55" fillId="0" borderId="1" xfId="0" applyFont="1" applyFill="1" applyBorder="1" applyAlignment="1">
      <alignment horizontal="center" vertical="center"/>
    </xf>
    <xf numFmtId="169" fontId="55" fillId="0" borderId="1" xfId="0" applyNumberFormat="1" applyFont="1" applyFill="1" applyBorder="1" applyAlignment="1">
      <alignment horizontal="center" vertical="center"/>
    </xf>
    <xf numFmtId="0" fontId="53" fillId="0" borderId="19" xfId="30" applyFont="1" applyFill="1" applyBorder="1" applyAlignment="1">
      <alignment horizontal="center" vertical="center" wrapText="1"/>
    </xf>
    <xf numFmtId="0" fontId="55" fillId="0" borderId="1" xfId="30" applyFont="1" applyFill="1" applyBorder="1" applyAlignment="1">
      <alignment horizontal="center" vertical="center" wrapText="1"/>
    </xf>
    <xf numFmtId="1" fontId="55" fillId="0" borderId="1" xfId="30" applyNumberFormat="1" applyFont="1" applyFill="1" applyBorder="1" applyAlignment="1">
      <alignment horizontal="center" vertical="center" wrapText="1"/>
    </xf>
    <xf numFmtId="0" fontId="39" fillId="0" borderId="1" xfId="30" applyFont="1" applyBorder="1" applyAlignment="1">
      <alignment horizontal="center" wrapText="1"/>
    </xf>
    <xf numFmtId="173" fontId="55" fillId="0" borderId="1" xfId="30" applyNumberFormat="1" applyFont="1" applyFill="1" applyBorder="1" applyAlignment="1" applyProtection="1">
      <alignment horizontal="center" vertical="center" wrapText="1"/>
      <protection locked="0"/>
    </xf>
    <xf numFmtId="16" fontId="55" fillId="0" borderId="1" xfId="30" applyNumberFormat="1" applyFont="1" applyFill="1" applyBorder="1" applyAlignment="1">
      <alignment horizontal="center" vertical="center"/>
    </xf>
    <xf numFmtId="4" fontId="53" fillId="0" borderId="1" xfId="30" applyNumberFormat="1" applyFont="1" applyFill="1" applyBorder="1" applyAlignment="1">
      <alignment horizontal="center" vertical="center"/>
    </xf>
    <xf numFmtId="0" fontId="53" fillId="0" borderId="1" xfId="30" applyFont="1" applyFill="1" applyBorder="1" applyAlignment="1">
      <alignment horizontal="center" vertical="center"/>
    </xf>
    <xf numFmtId="0" fontId="55" fillId="0" borderId="1" xfId="30" applyFont="1" applyFill="1" applyBorder="1" applyAlignment="1" applyProtection="1">
      <alignment horizontal="left" vertical="center" wrapText="1"/>
      <protection locked="0"/>
    </xf>
    <xf numFmtId="4" fontId="55" fillId="0" borderId="1" xfId="30" applyNumberFormat="1" applyFont="1" applyFill="1" applyBorder="1" applyAlignment="1">
      <alignment horizontal="center" vertical="center"/>
    </xf>
    <xf numFmtId="0" fontId="55" fillId="0" borderId="1" xfId="30" applyFont="1" applyFill="1" applyBorder="1" applyAlignment="1">
      <alignment horizontal="center" vertical="center"/>
    </xf>
    <xf numFmtId="3" fontId="55" fillId="0" borderId="1" xfId="30" applyNumberFormat="1" applyFont="1" applyFill="1" applyBorder="1" applyAlignment="1">
      <alignment horizontal="center" vertical="center"/>
    </xf>
    <xf numFmtId="172" fontId="55" fillId="0" borderId="1" xfId="30" applyNumberFormat="1" applyFont="1" applyFill="1" applyBorder="1" applyAlignment="1">
      <alignment horizontal="center" vertical="center"/>
    </xf>
    <xf numFmtId="171" fontId="55" fillId="0" borderId="2" xfId="0" applyNumberFormat="1" applyFont="1" applyBorder="1" applyAlignment="1">
      <alignment horizontal="center" vertical="center"/>
    </xf>
    <xf numFmtId="177" fontId="55" fillId="0" borderId="2" xfId="0" applyNumberFormat="1" applyFont="1" applyBorder="1" applyAlignment="1">
      <alignment horizontal="center" vertical="center"/>
    </xf>
    <xf numFmtId="171" fontId="55" fillId="0" borderId="22" xfId="0" applyNumberFormat="1" applyFont="1" applyBorder="1" applyAlignment="1">
      <alignment horizontal="center" vertical="center"/>
    </xf>
    <xf numFmtId="171" fontId="55" fillId="0" borderId="20" xfId="30" applyNumberFormat="1" applyFont="1" applyFill="1" applyBorder="1" applyAlignment="1">
      <alignment horizontal="center" vertical="center"/>
    </xf>
    <xf numFmtId="0" fontId="14" fillId="15" borderId="19" xfId="0" applyFont="1" applyFill="1" applyBorder="1" applyAlignment="1">
      <alignment horizontal="center" vertical="center" wrapText="1"/>
    </xf>
    <xf numFmtId="0" fontId="19" fillId="0" borderId="1" xfId="0" applyFont="1" applyFill="1" applyBorder="1" applyAlignment="1">
      <alignment horizontal="center" vertical="center" wrapText="1"/>
    </xf>
    <xf numFmtId="1" fontId="19" fillId="15" borderId="1" xfId="0" applyNumberFormat="1" applyFont="1" applyFill="1" applyBorder="1" applyAlignment="1">
      <alignment horizontal="center" vertical="center" wrapText="1"/>
    </xf>
    <xf numFmtId="173" fontId="19" fillId="15" borderId="1" xfId="0" applyNumberFormat="1" applyFont="1" applyFill="1" applyBorder="1" applyAlignment="1" applyProtection="1">
      <alignment horizontal="center" vertical="center" wrapText="1"/>
      <protection locked="0"/>
    </xf>
    <xf numFmtId="16" fontId="19" fillId="15" borderId="1" xfId="0" applyNumberFormat="1" applyFont="1" applyFill="1" applyBorder="1" applyAlignment="1">
      <alignment horizontal="center" vertical="center"/>
    </xf>
    <xf numFmtId="16" fontId="19" fillId="0" borderId="1" xfId="0" applyNumberFormat="1" applyFont="1" applyFill="1" applyBorder="1" applyAlignment="1">
      <alignment horizontal="center" vertical="center"/>
    </xf>
    <xf numFmtId="4" fontId="19"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9" fillId="15" borderId="1" xfId="0" applyFont="1" applyFill="1" applyBorder="1" applyAlignment="1" applyProtection="1">
      <alignment horizontal="left" vertical="center" wrapText="1"/>
      <protection locked="0"/>
    </xf>
    <xf numFmtId="4" fontId="19" fillId="0" borderId="1" xfId="0" applyNumberFormat="1" applyFont="1" applyFill="1" applyBorder="1" applyAlignment="1">
      <alignment horizontal="center" vertical="center"/>
    </xf>
    <xf numFmtId="0" fontId="19" fillId="0" borderId="1" xfId="0" applyFont="1" applyFill="1" applyBorder="1" applyAlignment="1">
      <alignment horizontal="center" vertical="center"/>
    </xf>
    <xf numFmtId="0" fontId="19" fillId="0" borderId="1" xfId="0" applyFont="1" applyBorder="1" applyAlignment="1">
      <alignment horizontal="center" vertical="center"/>
    </xf>
    <xf numFmtId="3" fontId="19" fillId="0" borderId="1" xfId="0" applyNumberFormat="1" applyFont="1" applyFill="1" applyBorder="1" applyAlignment="1">
      <alignment horizontal="center" vertical="center"/>
    </xf>
    <xf numFmtId="16" fontId="19" fillId="0" borderId="1" xfId="0" applyNumberFormat="1" applyFont="1" applyBorder="1" applyAlignment="1">
      <alignment horizontal="center" vertical="center"/>
    </xf>
    <xf numFmtId="169" fontId="19" fillId="0" borderId="1" xfId="0" applyNumberFormat="1" applyFont="1" applyBorder="1" applyAlignment="1">
      <alignment horizontal="center" vertical="center"/>
    </xf>
    <xf numFmtId="16" fontId="19" fillId="0" borderId="23" xfId="0" applyNumberFormat="1" applyFont="1" applyBorder="1" applyAlignment="1">
      <alignment horizontal="center" vertical="center"/>
    </xf>
    <xf numFmtId="0" fontId="19" fillId="0" borderId="1" xfId="0" applyFont="1" applyBorder="1" applyAlignment="1">
      <alignment horizontal="center" vertical="center" wrapText="1"/>
    </xf>
    <xf numFmtId="172" fontId="19" fillId="0" borderId="1" xfId="0" applyNumberFormat="1" applyFont="1" applyBorder="1" applyAlignment="1">
      <alignment horizontal="center" vertical="center"/>
    </xf>
    <xf numFmtId="177" fontId="19" fillId="0" borderId="1" xfId="0" applyNumberFormat="1" applyFont="1" applyBorder="1" applyAlignment="1">
      <alignment horizontal="center" vertical="center"/>
    </xf>
    <xf numFmtId="171" fontId="19" fillId="0" borderId="1" xfId="0" applyNumberFormat="1" applyFont="1" applyBorder="1" applyAlignment="1">
      <alignment horizontal="center" vertical="center"/>
    </xf>
    <xf numFmtId="171" fontId="19" fillId="0" borderId="24" xfId="0" applyNumberFormat="1" applyFont="1" applyBorder="1" applyAlignment="1">
      <alignment horizontal="center" vertical="center"/>
    </xf>
    <xf numFmtId="169" fontId="55" fillId="0" borderId="20" xfId="0" applyNumberFormat="1" applyFont="1" applyBorder="1" applyAlignment="1">
      <alignment horizontal="center" vertical="center"/>
    </xf>
    <xf numFmtId="169" fontId="55" fillId="0" borderId="20" xfId="30" applyNumberFormat="1" applyFont="1" applyFill="1" applyBorder="1" applyAlignment="1">
      <alignment horizontal="center" vertical="center" wrapText="1"/>
    </xf>
    <xf numFmtId="171" fontId="55" fillId="0" borderId="1" xfId="0" applyNumberFormat="1" applyFont="1" applyBorder="1" applyAlignment="1">
      <alignment horizontal="center" vertical="center"/>
    </xf>
    <xf numFmtId="177" fontId="55" fillId="0" borderId="1" xfId="0" applyNumberFormat="1" applyFont="1" applyBorder="1" applyAlignment="1">
      <alignment horizontal="center" vertical="center"/>
    </xf>
    <xf numFmtId="171" fontId="55" fillId="0" borderId="24" xfId="0" applyNumberFormat="1" applyFont="1" applyBorder="1" applyAlignment="1">
      <alignment horizontal="center" vertical="center"/>
    </xf>
    <xf numFmtId="172" fontId="55" fillId="0" borderId="1" xfId="3" applyNumberFormat="1" applyFont="1" applyBorder="1" applyAlignment="1">
      <alignment horizontal="center" vertical="center"/>
    </xf>
    <xf numFmtId="169" fontId="55" fillId="0" borderId="1" xfId="30" applyNumberFormat="1" applyFont="1" applyFill="1" applyBorder="1" applyAlignment="1">
      <alignment horizontal="center" vertical="center" wrapText="1"/>
    </xf>
    <xf numFmtId="171" fontId="55" fillId="0" borderId="1" xfId="30" applyNumberFormat="1" applyFont="1" applyFill="1" applyBorder="1" applyAlignment="1">
      <alignment horizontal="center" vertical="center"/>
    </xf>
    <xf numFmtId="0" fontId="55" fillId="15" borderId="1" xfId="0" applyFont="1" applyFill="1" applyBorder="1" applyAlignment="1" applyProtection="1">
      <alignment horizontal="left" vertical="top" wrapText="1"/>
      <protection locked="0"/>
    </xf>
    <xf numFmtId="171" fontId="19" fillId="0" borderId="22" xfId="0" applyNumberFormat="1" applyFont="1" applyFill="1" applyBorder="1" applyAlignment="1">
      <alignment horizontal="center" vertical="center"/>
    </xf>
    <xf numFmtId="4" fontId="52" fillId="11" borderId="25" xfId="0" applyNumberFormat="1" applyFont="1" applyFill="1" applyBorder="1" applyAlignment="1">
      <alignment horizontal="center" vertical="center" wrapText="1"/>
    </xf>
    <xf numFmtId="171" fontId="19" fillId="0" borderId="26" xfId="0" applyNumberFormat="1" applyFont="1" applyBorder="1" applyAlignment="1">
      <alignment horizontal="center" vertical="center"/>
    </xf>
    <xf numFmtId="171" fontId="55" fillId="0" borderId="7" xfId="0" applyNumberFormat="1" applyFont="1" applyBorder="1" applyAlignment="1">
      <alignment horizontal="center" vertical="center"/>
    </xf>
    <xf numFmtId="171" fontId="55" fillId="0" borderId="26" xfId="0" applyNumberFormat="1" applyFont="1" applyBorder="1" applyAlignment="1">
      <alignment horizontal="center" vertical="center"/>
    </xf>
    <xf numFmtId="171" fontId="19" fillId="0" borderId="7" xfId="0" applyNumberFormat="1" applyFont="1" applyFill="1" applyBorder="1" applyAlignment="1">
      <alignment horizontal="center" vertical="center"/>
    </xf>
    <xf numFmtId="171" fontId="55" fillId="0" borderId="24" xfId="30" applyNumberFormat="1" applyFont="1" applyFill="1" applyBorder="1" applyAlignment="1">
      <alignment horizontal="center" vertical="center"/>
    </xf>
    <xf numFmtId="171" fontId="55" fillId="0" borderId="27" xfId="30" applyNumberFormat="1" applyFont="1" applyFill="1" applyBorder="1" applyAlignment="1">
      <alignment horizontal="center" vertical="center"/>
    </xf>
    <xf numFmtId="1" fontId="55" fillId="0" borderId="1" xfId="0" applyNumberFormat="1" applyFont="1" applyBorder="1" applyAlignment="1">
      <alignment horizontal="center" vertical="center"/>
    </xf>
    <xf numFmtId="1" fontId="55" fillId="0" borderId="20" xfId="30" applyNumberFormat="1" applyFont="1" applyFill="1" applyBorder="1" applyAlignment="1">
      <alignment horizontal="center" vertical="center"/>
    </xf>
    <xf numFmtId="1" fontId="55" fillId="0" borderId="1" xfId="30" applyNumberFormat="1" applyFont="1" applyFill="1" applyBorder="1" applyAlignment="1">
      <alignment horizontal="center" vertical="center"/>
    </xf>
    <xf numFmtId="3" fontId="47" fillId="0" borderId="8" xfId="21" applyNumberFormat="1" applyFont="1" applyBorder="1"/>
    <xf numFmtId="0" fontId="39" fillId="0" borderId="20" xfId="30" applyFont="1" applyBorder="1" applyAlignment="1">
      <alignment horizontal="center" vertical="center" wrapText="1"/>
    </xf>
    <xf numFmtId="0" fontId="57" fillId="0" borderId="1" xfId="0" applyFont="1" applyBorder="1" applyAlignment="1">
      <alignment horizontal="center" vertical="center" wrapText="1"/>
    </xf>
    <xf numFmtId="171" fontId="55" fillId="0" borderId="1" xfId="31" applyNumberFormat="1" applyFont="1" applyBorder="1" applyAlignment="1">
      <alignment horizontal="center" vertical="center"/>
    </xf>
    <xf numFmtId="0" fontId="39" fillId="0" borderId="1" xfId="30" applyFont="1" applyBorder="1" applyAlignment="1">
      <alignment horizontal="center" vertical="center" wrapText="1"/>
    </xf>
    <xf numFmtId="4" fontId="55" fillId="0" borderId="1" xfId="0" applyNumberFormat="1" applyFont="1" applyBorder="1" applyAlignment="1">
      <alignment horizontal="center" vertical="center"/>
    </xf>
    <xf numFmtId="177" fontId="55" fillId="0" borderId="1" xfId="30" applyNumberFormat="1" applyFont="1" applyFill="1" applyBorder="1" applyAlignment="1">
      <alignment horizontal="center" vertical="center"/>
    </xf>
    <xf numFmtId="0" fontId="53" fillId="0" borderId="19" xfId="0" applyFont="1" applyFill="1" applyBorder="1" applyAlignment="1">
      <alignment horizontal="center" vertical="center" wrapText="1"/>
    </xf>
    <xf numFmtId="1" fontId="55" fillId="0" borderId="1" xfId="0" applyNumberFormat="1" applyFont="1" applyFill="1" applyBorder="1" applyAlignment="1">
      <alignment horizontal="center" vertical="center" wrapText="1"/>
    </xf>
    <xf numFmtId="173" fontId="55" fillId="0" borderId="1" xfId="0" applyNumberFormat="1" applyFont="1" applyFill="1" applyBorder="1" applyAlignment="1" applyProtection="1">
      <alignment horizontal="center" vertical="center" wrapText="1"/>
      <protection locked="0"/>
    </xf>
    <xf numFmtId="0" fontId="55" fillId="0" borderId="1" xfId="0" applyFont="1" applyFill="1" applyBorder="1" applyAlignment="1" applyProtection="1">
      <alignment horizontal="left" vertical="center" wrapText="1"/>
      <protection locked="0"/>
    </xf>
    <xf numFmtId="4" fontId="53" fillId="0" borderId="1" xfId="0" applyNumberFormat="1" applyFont="1" applyFill="1" applyBorder="1" applyAlignment="1">
      <alignment horizontal="center" vertical="center"/>
    </xf>
    <xf numFmtId="172" fontId="55" fillId="0" borderId="1" xfId="0" applyNumberFormat="1" applyFont="1" applyFill="1" applyBorder="1" applyAlignment="1">
      <alignment horizontal="center" vertical="center"/>
    </xf>
    <xf numFmtId="177" fontId="55" fillId="0" borderId="1" xfId="0" applyNumberFormat="1" applyFont="1" applyFill="1" applyBorder="1" applyAlignment="1">
      <alignment horizontal="center" vertical="center"/>
    </xf>
    <xf numFmtId="171" fontId="55" fillId="0" borderId="1" xfId="0" applyNumberFormat="1" applyFont="1" applyFill="1" applyBorder="1" applyAlignment="1">
      <alignment horizontal="center" vertical="center"/>
    </xf>
    <xf numFmtId="171" fontId="55" fillId="0" borderId="26" xfId="0" applyNumberFormat="1" applyFont="1" applyFill="1" applyBorder="1" applyAlignment="1">
      <alignment horizontal="center" vertical="center"/>
    </xf>
    <xf numFmtId="171" fontId="55" fillId="0" borderId="24" xfId="0" applyNumberFormat="1" applyFont="1" applyFill="1" applyBorder="1" applyAlignment="1">
      <alignment horizontal="center" vertical="center"/>
    </xf>
    <xf numFmtId="0" fontId="55" fillId="0" borderId="1" xfId="30" applyFont="1" applyFill="1" applyBorder="1" applyAlignment="1" applyProtection="1">
      <alignment horizontal="left" vertical="top" wrapText="1"/>
      <protection locked="0"/>
    </xf>
    <xf numFmtId="0" fontId="53" fillId="0" borderId="18" xfId="30" applyFont="1" applyFill="1" applyBorder="1" applyAlignment="1">
      <alignment horizontal="center" vertical="center" wrapText="1"/>
    </xf>
    <xf numFmtId="0" fontId="55" fillId="0" borderId="2" xfId="30" applyFont="1" applyFill="1" applyBorder="1" applyAlignment="1">
      <alignment horizontal="center" vertical="center" wrapText="1"/>
    </xf>
    <xf numFmtId="1" fontId="55" fillId="0" borderId="2" xfId="30" applyNumberFormat="1" applyFont="1" applyFill="1" applyBorder="1" applyAlignment="1">
      <alignment horizontal="center" vertical="center" wrapText="1"/>
    </xf>
    <xf numFmtId="173" fontId="55" fillId="0" borderId="2" xfId="30" applyNumberFormat="1" applyFont="1" applyFill="1" applyBorder="1" applyAlignment="1" applyProtection="1">
      <alignment horizontal="center" vertical="center" wrapText="1"/>
      <protection locked="0"/>
    </xf>
    <xf numFmtId="0" fontId="55" fillId="0" borderId="2" xfId="30" applyFont="1" applyFill="1" applyBorder="1" applyAlignment="1">
      <alignment horizontal="center" vertical="center"/>
    </xf>
    <xf numFmtId="16" fontId="55" fillId="0" borderId="2" xfId="30" applyNumberFormat="1" applyFont="1" applyFill="1" applyBorder="1" applyAlignment="1">
      <alignment horizontal="center" vertical="center"/>
    </xf>
    <xf numFmtId="169" fontId="55" fillId="0" borderId="2" xfId="30" applyNumberFormat="1" applyFont="1" applyFill="1" applyBorder="1" applyAlignment="1">
      <alignment horizontal="center" vertical="center" wrapText="1"/>
    </xf>
    <xf numFmtId="0" fontId="55" fillId="0" borderId="2" xfId="30" applyFont="1" applyFill="1" applyBorder="1" applyAlignment="1" applyProtection="1">
      <alignment horizontal="left" vertical="center" wrapText="1"/>
      <protection locked="0"/>
    </xf>
    <xf numFmtId="4" fontId="53" fillId="0" borderId="2" xfId="30" applyNumberFormat="1" applyFont="1" applyFill="1" applyBorder="1" applyAlignment="1">
      <alignment horizontal="center" vertical="center"/>
    </xf>
    <xf numFmtId="0" fontId="53" fillId="0" borderId="2" xfId="30" applyFont="1" applyFill="1" applyBorder="1" applyAlignment="1">
      <alignment horizontal="center" vertical="center"/>
    </xf>
    <xf numFmtId="4" fontId="55" fillId="0" borderId="2" xfId="30" applyNumberFormat="1" applyFont="1" applyFill="1" applyBorder="1" applyAlignment="1">
      <alignment horizontal="center" vertical="center"/>
    </xf>
    <xf numFmtId="3" fontId="55" fillId="0" borderId="2" xfId="30" applyNumberFormat="1" applyFont="1" applyFill="1" applyBorder="1" applyAlignment="1">
      <alignment horizontal="center" vertical="center"/>
    </xf>
    <xf numFmtId="172" fontId="55" fillId="0" borderId="2" xfId="30" applyNumberFormat="1" applyFont="1" applyFill="1" applyBorder="1" applyAlignment="1">
      <alignment horizontal="center" vertical="center"/>
    </xf>
    <xf numFmtId="171" fontId="55" fillId="0" borderId="2" xfId="30" applyNumberFormat="1" applyFont="1" applyFill="1" applyBorder="1" applyAlignment="1">
      <alignment horizontal="center" vertical="center"/>
    </xf>
    <xf numFmtId="1" fontId="55" fillId="0" borderId="2" xfId="0" applyNumberFormat="1" applyFont="1" applyBorder="1" applyAlignment="1">
      <alignment horizontal="center" vertical="center"/>
    </xf>
    <xf numFmtId="171" fontId="55" fillId="0" borderId="7" xfId="30" applyNumberFormat="1" applyFont="1" applyFill="1" applyBorder="1" applyAlignment="1">
      <alignment horizontal="center" vertical="center"/>
    </xf>
    <xf numFmtId="171" fontId="55" fillId="0" borderId="22" xfId="30" applyNumberFormat="1" applyFont="1" applyFill="1" applyBorder="1" applyAlignment="1">
      <alignment horizontal="center" vertical="center"/>
    </xf>
    <xf numFmtId="171" fontId="55" fillId="0" borderId="26" xfId="30" applyNumberFormat="1" applyFont="1" applyFill="1" applyBorder="1" applyAlignment="1">
      <alignment horizontal="center" vertical="center"/>
    </xf>
    <xf numFmtId="0" fontId="39" fillId="0" borderId="2" xfId="30" applyFont="1" applyBorder="1" applyAlignment="1">
      <alignment horizontal="center" vertical="center" wrapText="1"/>
    </xf>
    <xf numFmtId="1" fontId="55" fillId="0" borderId="2" xfId="30" applyNumberFormat="1" applyFont="1" applyFill="1" applyBorder="1" applyAlignment="1">
      <alignment horizontal="center" vertical="center"/>
    </xf>
    <xf numFmtId="0" fontId="55" fillId="0" borderId="20" xfId="30" applyFont="1" applyFill="1" applyBorder="1" applyAlignment="1" applyProtection="1">
      <alignment horizontal="left" vertical="top" wrapText="1"/>
      <protection locked="0"/>
    </xf>
    <xf numFmtId="171" fontId="53" fillId="0" borderId="1" xfId="30" applyNumberFormat="1" applyFont="1" applyFill="1" applyBorder="1" applyAlignment="1">
      <alignment horizontal="center" vertical="center"/>
    </xf>
    <xf numFmtId="177" fontId="55" fillId="0" borderId="20" xfId="30" applyNumberFormat="1" applyFont="1" applyFill="1" applyBorder="1" applyAlignment="1">
      <alignment horizontal="center" vertical="center"/>
    </xf>
    <xf numFmtId="0" fontId="55" fillId="0" borderId="2" xfId="30" applyFont="1" applyFill="1" applyBorder="1" applyAlignment="1" applyProtection="1">
      <alignment horizontal="left" vertical="top" wrapText="1"/>
      <protection locked="0"/>
    </xf>
    <xf numFmtId="177" fontId="55" fillId="0" borderId="2" xfId="30" applyNumberFormat="1" applyFont="1" applyFill="1" applyBorder="1" applyAlignment="1">
      <alignment horizontal="center" vertical="center"/>
    </xf>
    <xf numFmtId="3" fontId="45" fillId="0" borderId="8" xfId="21" applyNumberFormat="1" applyFont="1" applyBorder="1" applyAlignment="1">
      <alignment horizontal="center" vertical="center"/>
    </xf>
    <xf numFmtId="0" fontId="19" fillId="0" borderId="2" xfId="30" applyFont="1" applyBorder="1" applyAlignment="1">
      <alignment horizontal="center" vertical="center" wrapText="1"/>
    </xf>
    <xf numFmtId="0" fontId="19" fillId="0" borderId="0" xfId="0" applyFont="1" applyFill="1" applyBorder="1" applyAlignment="1">
      <alignment horizontal="center" vertical="center" wrapText="1"/>
    </xf>
    <xf numFmtId="0" fontId="19" fillId="0" borderId="2" xfId="30" applyFont="1" applyFill="1" applyBorder="1" applyAlignment="1">
      <alignment horizontal="center" vertical="center" wrapText="1"/>
    </xf>
    <xf numFmtId="1" fontId="19" fillId="0" borderId="2" xfId="30" applyNumberFormat="1" applyFont="1" applyFill="1" applyBorder="1" applyAlignment="1">
      <alignment horizontal="center" vertical="center" wrapText="1"/>
    </xf>
    <xf numFmtId="173" fontId="19" fillId="0" borderId="2" xfId="30" applyNumberFormat="1" applyFont="1" applyFill="1" applyBorder="1" applyAlignment="1" applyProtection="1">
      <alignment horizontal="center" vertical="center" wrapText="1"/>
      <protection locked="0"/>
    </xf>
    <xf numFmtId="0" fontId="19" fillId="0" borderId="2" xfId="30" applyFont="1" applyFill="1" applyBorder="1" applyAlignment="1">
      <alignment horizontal="center" vertical="center"/>
    </xf>
    <xf numFmtId="16" fontId="19" fillId="0" borderId="2" xfId="30" applyNumberFormat="1" applyFont="1" applyFill="1" applyBorder="1" applyAlignment="1">
      <alignment horizontal="center" vertical="center"/>
    </xf>
    <xf numFmtId="0" fontId="19" fillId="0" borderId="2" xfId="30" applyFont="1" applyFill="1" applyBorder="1" applyAlignment="1" applyProtection="1">
      <alignment horizontal="left" vertical="top" wrapText="1"/>
      <protection locked="0"/>
    </xf>
    <xf numFmtId="4" fontId="14" fillId="0" borderId="2" xfId="30" applyNumberFormat="1" applyFont="1" applyFill="1" applyBorder="1" applyAlignment="1">
      <alignment horizontal="center" vertical="center"/>
    </xf>
    <xf numFmtId="0" fontId="14" fillId="0" borderId="2" xfId="30" applyFont="1" applyFill="1" applyBorder="1" applyAlignment="1">
      <alignment horizontal="center" vertical="center"/>
    </xf>
    <xf numFmtId="4" fontId="19" fillId="0" borderId="2" xfId="30" applyNumberFormat="1" applyFont="1" applyFill="1" applyBorder="1" applyAlignment="1">
      <alignment horizontal="center" vertical="center"/>
    </xf>
    <xf numFmtId="3" fontId="19" fillId="0" borderId="2" xfId="30" applyNumberFormat="1" applyFont="1" applyFill="1" applyBorder="1" applyAlignment="1">
      <alignment horizontal="center" vertical="center"/>
    </xf>
    <xf numFmtId="172" fontId="19" fillId="0" borderId="2" xfId="30" applyNumberFormat="1" applyFont="1" applyFill="1" applyBorder="1" applyAlignment="1">
      <alignment horizontal="center" vertical="center"/>
    </xf>
    <xf numFmtId="177" fontId="19" fillId="0" borderId="2" xfId="30" applyNumberFormat="1" applyFont="1" applyFill="1" applyBorder="1" applyAlignment="1">
      <alignment horizontal="center" vertical="center"/>
    </xf>
    <xf numFmtId="171" fontId="19" fillId="0" borderId="2" xfId="30" applyNumberFormat="1" applyFont="1" applyFill="1" applyBorder="1" applyAlignment="1">
      <alignment horizontal="center" vertical="center"/>
    </xf>
    <xf numFmtId="169" fontId="19" fillId="0" borderId="2" xfId="0" applyNumberFormat="1" applyFont="1" applyBorder="1" applyAlignment="1">
      <alignment horizontal="center" vertical="center"/>
    </xf>
    <xf numFmtId="1" fontId="19" fillId="0" borderId="2" xfId="30" applyNumberFormat="1" applyFont="1" applyFill="1" applyBorder="1" applyAlignment="1">
      <alignment horizontal="center" vertical="center"/>
    </xf>
    <xf numFmtId="0" fontId="19" fillId="0" borderId="0" xfId="30" applyFont="1" applyBorder="1" applyAlignment="1">
      <alignment horizontal="center" vertical="center"/>
    </xf>
    <xf numFmtId="0" fontId="19" fillId="0" borderId="0" xfId="0" applyFont="1"/>
    <xf numFmtId="171" fontId="14" fillId="0" borderId="2" xfId="30" applyNumberFormat="1" applyFont="1" applyFill="1" applyBorder="1" applyAlignment="1">
      <alignment horizontal="center" vertical="center"/>
    </xf>
    <xf numFmtId="0" fontId="14" fillId="12" borderId="2" xfId="28" applyFont="1" applyFill="1" applyBorder="1" applyAlignment="1" applyProtection="1">
      <alignment horizontal="center" vertical="center" wrapText="1"/>
      <protection locked="0"/>
    </xf>
    <xf numFmtId="0" fontId="14" fillId="12" borderId="2" xfId="0" applyFont="1" applyFill="1" applyBorder="1" applyAlignment="1">
      <alignment horizontal="center" vertical="center" wrapText="1"/>
    </xf>
    <xf numFmtId="4" fontId="17" fillId="12" borderId="2" xfId="0" applyNumberFormat="1" applyFont="1" applyFill="1" applyBorder="1" applyAlignment="1">
      <alignment horizontal="center" vertical="center" wrapText="1"/>
    </xf>
    <xf numFmtId="4" fontId="14" fillId="12" borderId="2" xfId="0" applyNumberFormat="1" applyFont="1" applyFill="1" applyBorder="1" applyAlignment="1">
      <alignment horizontal="center" vertical="center" wrapText="1"/>
    </xf>
    <xf numFmtId="4" fontId="14" fillId="11" borderId="2" xfId="0" applyNumberFormat="1" applyFont="1" applyFill="1" applyBorder="1" applyAlignment="1">
      <alignment horizontal="center" vertical="center" wrapText="1"/>
    </xf>
    <xf numFmtId="0" fontId="14" fillId="13" borderId="2" xfId="28" applyFont="1" applyFill="1" applyBorder="1" applyAlignment="1" applyProtection="1">
      <alignment horizontal="center" vertical="center" wrapText="1"/>
      <protection locked="0"/>
    </xf>
    <xf numFmtId="0" fontId="14" fillId="14" borderId="2" xfId="0" applyFont="1" applyFill="1" applyBorder="1" applyAlignment="1" applyProtection="1">
      <alignment horizontal="center" vertical="center" wrapText="1"/>
      <protection locked="0"/>
    </xf>
    <xf numFmtId="0" fontId="58" fillId="11" borderId="2" xfId="0" applyFont="1" applyFill="1" applyBorder="1" applyAlignment="1">
      <alignment horizontal="center" vertical="center" wrapText="1"/>
    </xf>
    <xf numFmtId="4" fontId="58" fillId="11" borderId="2" xfId="0" applyNumberFormat="1" applyFont="1" applyFill="1" applyBorder="1" applyAlignment="1">
      <alignment horizontal="center" vertical="center" wrapText="1"/>
    </xf>
    <xf numFmtId="181" fontId="58" fillId="11" borderId="2" xfId="0" applyNumberFormat="1" applyFont="1" applyFill="1" applyBorder="1" applyAlignment="1">
      <alignment horizontal="center" vertical="center" wrapText="1"/>
    </xf>
    <xf numFmtId="3" fontId="58" fillId="11" borderId="2" xfId="0" applyNumberFormat="1" applyFont="1" applyFill="1" applyBorder="1" applyAlignment="1">
      <alignment horizontal="center" vertical="center" wrapText="1"/>
    </xf>
    <xf numFmtId="180" fontId="58" fillId="11" borderId="2" xfId="0" applyNumberFormat="1" applyFont="1" applyFill="1" applyBorder="1" applyAlignment="1">
      <alignment horizontal="center" vertical="center" wrapText="1"/>
    </xf>
    <xf numFmtId="174" fontId="58" fillId="11" borderId="2" xfId="0" applyNumberFormat="1" applyFont="1" applyFill="1" applyBorder="1" applyAlignment="1">
      <alignment horizontal="center" vertical="center" wrapText="1"/>
    </xf>
    <xf numFmtId="0" fontId="14" fillId="0" borderId="2" xfId="30" applyFont="1" applyFill="1" applyBorder="1" applyAlignment="1">
      <alignment horizontal="center" vertical="center" wrapText="1"/>
    </xf>
    <xf numFmtId="177" fontId="58" fillId="11" borderId="2" xfId="0" applyNumberFormat="1" applyFont="1" applyFill="1" applyBorder="1" applyAlignment="1">
      <alignment horizontal="center" vertical="center" wrapText="1"/>
    </xf>
    <xf numFmtId="0" fontId="19" fillId="0" borderId="1" xfId="30" applyFont="1" applyBorder="1" applyAlignment="1">
      <alignment horizontal="center" vertical="center" wrapText="1"/>
    </xf>
    <xf numFmtId="0" fontId="19" fillId="0" borderId="1" xfId="30" applyFont="1" applyBorder="1" applyAlignment="1">
      <alignment horizontal="center" vertical="top" wrapText="1"/>
    </xf>
    <xf numFmtId="0" fontId="19" fillId="0" borderId="20" xfId="30" applyFont="1" applyBorder="1" applyAlignment="1">
      <alignment horizontal="center" vertical="center" wrapText="1"/>
    </xf>
    <xf numFmtId="0" fontId="19" fillId="0" borderId="23" xfId="30" applyFont="1" applyBorder="1" applyAlignment="1">
      <alignment horizontal="center" vertical="center" wrapText="1"/>
    </xf>
    <xf numFmtId="0" fontId="14" fillId="12" borderId="17" xfId="28" applyFont="1" applyFill="1" applyBorder="1" applyAlignment="1" applyProtection="1">
      <alignment horizontal="center" vertical="center" wrapText="1"/>
      <protection locked="0"/>
    </xf>
    <xf numFmtId="0" fontId="14" fillId="12" borderId="15" xfId="28" applyFont="1" applyFill="1" applyBorder="1" applyAlignment="1" applyProtection="1">
      <alignment horizontal="center" vertical="center" wrapText="1"/>
      <protection locked="0"/>
    </xf>
    <xf numFmtId="0" fontId="14" fillId="12" borderId="15" xfId="0" applyFont="1" applyFill="1" applyBorder="1" applyAlignment="1">
      <alignment horizontal="center" vertical="center" wrapText="1"/>
    </xf>
    <xf numFmtId="4" fontId="17" fillId="12" borderId="15" xfId="0" applyNumberFormat="1" applyFont="1" applyFill="1" applyBorder="1" applyAlignment="1">
      <alignment horizontal="center" vertical="center" wrapText="1"/>
    </xf>
    <xf numFmtId="4" fontId="14" fillId="12" borderId="15" xfId="0" applyNumberFormat="1" applyFont="1" applyFill="1" applyBorder="1" applyAlignment="1">
      <alignment horizontal="center" vertical="center" wrapText="1"/>
    </xf>
    <xf numFmtId="4" fontId="14" fillId="11" borderId="15" xfId="0" applyNumberFormat="1" applyFont="1" applyFill="1" applyBorder="1" applyAlignment="1">
      <alignment horizontal="center" vertical="center" wrapText="1"/>
    </xf>
    <xf numFmtId="0" fontId="14" fillId="13" borderId="15" xfId="28" applyFont="1" applyFill="1" applyBorder="1" applyAlignment="1" applyProtection="1">
      <alignment horizontal="center" vertical="center" wrapText="1"/>
      <protection locked="0"/>
    </xf>
    <xf numFmtId="0" fontId="14" fillId="14" borderId="15" xfId="0" applyFont="1" applyFill="1" applyBorder="1" applyAlignment="1" applyProtection="1">
      <alignment horizontal="center" vertical="center" wrapText="1"/>
      <protection locked="0"/>
    </xf>
    <xf numFmtId="0" fontId="58" fillId="11" borderId="15" xfId="0" applyFont="1" applyFill="1" applyBorder="1" applyAlignment="1">
      <alignment horizontal="center" vertical="center" wrapText="1"/>
    </xf>
    <xf numFmtId="4" fontId="58" fillId="11" borderId="15" xfId="0" applyNumberFormat="1" applyFont="1" applyFill="1" applyBorder="1" applyAlignment="1">
      <alignment horizontal="center" vertical="center" wrapText="1"/>
    </xf>
    <xf numFmtId="181" fontId="58" fillId="11" borderId="15" xfId="0" applyNumberFormat="1" applyFont="1" applyFill="1" applyBorder="1" applyAlignment="1">
      <alignment horizontal="center" vertical="center" wrapText="1"/>
    </xf>
    <xf numFmtId="3" fontId="58" fillId="11" borderId="15" xfId="0" applyNumberFormat="1" applyFont="1" applyFill="1" applyBorder="1" applyAlignment="1">
      <alignment horizontal="center" vertical="center" wrapText="1"/>
    </xf>
    <xf numFmtId="180" fontId="58" fillId="11" borderId="15" xfId="0" applyNumberFormat="1" applyFont="1" applyFill="1" applyBorder="1" applyAlignment="1">
      <alignment horizontal="center" vertical="center" wrapText="1"/>
    </xf>
    <xf numFmtId="174" fontId="58" fillId="11" borderId="15" xfId="0" applyNumberFormat="1" applyFont="1" applyFill="1" applyBorder="1" applyAlignment="1">
      <alignment horizontal="center" vertical="center" wrapText="1"/>
    </xf>
    <xf numFmtId="4" fontId="58" fillId="11" borderId="25" xfId="0" applyNumberFormat="1" applyFont="1" applyFill="1" applyBorder="1" applyAlignment="1">
      <alignment horizontal="center" vertical="center" wrapText="1"/>
    </xf>
    <xf numFmtId="4" fontId="58" fillId="11" borderId="16" xfId="0" applyNumberFormat="1" applyFont="1" applyFill="1" applyBorder="1" applyAlignment="1">
      <alignment horizontal="center" vertical="center" wrapText="1"/>
    </xf>
    <xf numFmtId="0" fontId="14" fillId="0" borderId="19" xfId="30" applyFont="1" applyFill="1" applyBorder="1" applyAlignment="1">
      <alignment horizontal="center" vertical="center" wrapText="1"/>
    </xf>
    <xf numFmtId="0" fontId="19" fillId="0" borderId="1" xfId="30" applyFont="1" applyFill="1" applyBorder="1" applyAlignment="1">
      <alignment horizontal="center" vertical="center" wrapText="1"/>
    </xf>
    <xf numFmtId="1" fontId="19" fillId="0" borderId="1" xfId="30" applyNumberFormat="1" applyFont="1" applyFill="1" applyBorder="1" applyAlignment="1">
      <alignment horizontal="center" vertical="center" wrapText="1"/>
    </xf>
    <xf numFmtId="173" fontId="19" fillId="0" borderId="1" xfId="30" applyNumberFormat="1" applyFont="1" applyFill="1" applyBorder="1" applyAlignment="1" applyProtection="1">
      <alignment horizontal="center" vertical="center" wrapText="1"/>
      <protection locked="0"/>
    </xf>
    <xf numFmtId="0" fontId="19" fillId="0" borderId="1" xfId="30" applyFont="1" applyFill="1" applyBorder="1" applyAlignment="1">
      <alignment horizontal="center" vertical="center"/>
    </xf>
    <xf numFmtId="16" fontId="19" fillId="0" borderId="1" xfId="30" applyNumberFormat="1" applyFont="1" applyFill="1" applyBorder="1" applyAlignment="1">
      <alignment horizontal="center" vertical="center"/>
    </xf>
    <xf numFmtId="169" fontId="19" fillId="0" borderId="1" xfId="30" applyNumberFormat="1" applyFont="1" applyFill="1" applyBorder="1" applyAlignment="1">
      <alignment horizontal="center" vertical="center" wrapText="1"/>
    </xf>
    <xf numFmtId="0" fontId="19" fillId="0" borderId="1" xfId="30" applyFont="1" applyFill="1" applyBorder="1" applyAlignment="1" applyProtection="1">
      <alignment horizontal="left" vertical="top" wrapText="1"/>
      <protection locked="0"/>
    </xf>
    <xf numFmtId="4" fontId="14" fillId="0" borderId="1" xfId="30" applyNumberFormat="1" applyFont="1" applyFill="1" applyBorder="1" applyAlignment="1">
      <alignment horizontal="center" vertical="center"/>
    </xf>
    <xf numFmtId="0" fontId="14" fillId="0" borderId="1" xfId="30" applyFont="1" applyFill="1" applyBorder="1" applyAlignment="1">
      <alignment horizontal="center" vertical="center"/>
    </xf>
    <xf numFmtId="4" fontId="19" fillId="0" borderId="1" xfId="30" applyNumberFormat="1" applyFont="1" applyFill="1" applyBorder="1" applyAlignment="1">
      <alignment horizontal="center" vertical="center"/>
    </xf>
    <xf numFmtId="3" fontId="19" fillId="0" borderId="1" xfId="30" applyNumberFormat="1" applyFont="1" applyFill="1" applyBorder="1" applyAlignment="1">
      <alignment horizontal="center" vertical="center"/>
    </xf>
    <xf numFmtId="14" fontId="19" fillId="0" borderId="1" xfId="30" applyNumberFormat="1" applyFont="1" applyFill="1" applyBorder="1" applyAlignment="1">
      <alignment horizontal="center" vertical="center"/>
    </xf>
    <xf numFmtId="172" fontId="19" fillId="0" borderId="1" xfId="30" applyNumberFormat="1" applyFont="1" applyFill="1" applyBorder="1" applyAlignment="1">
      <alignment horizontal="center" vertical="center"/>
    </xf>
    <xf numFmtId="177" fontId="19" fillId="0" borderId="1" xfId="30" applyNumberFormat="1" applyFont="1" applyFill="1" applyBorder="1" applyAlignment="1">
      <alignment horizontal="center" vertical="center"/>
    </xf>
    <xf numFmtId="171" fontId="19" fillId="0" borderId="1" xfId="30" applyNumberFormat="1" applyFont="1" applyFill="1" applyBorder="1" applyAlignment="1">
      <alignment horizontal="center" vertical="center"/>
    </xf>
    <xf numFmtId="1" fontId="19" fillId="0" borderId="1" xfId="30" applyNumberFormat="1" applyFont="1" applyFill="1" applyBorder="1" applyAlignment="1">
      <alignment horizontal="center" vertical="center"/>
    </xf>
    <xf numFmtId="171" fontId="19" fillId="0" borderId="24" xfId="30" applyNumberFormat="1" applyFont="1" applyFill="1" applyBorder="1" applyAlignment="1">
      <alignment horizontal="center" vertical="center"/>
    </xf>
    <xf numFmtId="0" fontId="19" fillId="0" borderId="1" xfId="30" applyFont="1" applyFill="1" applyBorder="1" applyAlignment="1" applyProtection="1">
      <alignment horizontal="left" vertical="center" wrapText="1"/>
      <protection locked="0"/>
    </xf>
    <xf numFmtId="0" fontId="14" fillId="0" borderId="18" xfId="30" applyFont="1" applyFill="1" applyBorder="1" applyAlignment="1">
      <alignment horizontal="center" vertical="center" wrapText="1"/>
    </xf>
    <xf numFmtId="169" fontId="19" fillId="0" borderId="2" xfId="30" applyNumberFormat="1" applyFont="1" applyFill="1" applyBorder="1" applyAlignment="1">
      <alignment horizontal="center" vertical="center" wrapText="1"/>
    </xf>
    <xf numFmtId="171" fontId="19" fillId="0" borderId="22" xfId="30" applyNumberFormat="1" applyFont="1" applyFill="1" applyBorder="1" applyAlignment="1">
      <alignment horizontal="center" vertical="center"/>
    </xf>
    <xf numFmtId="0" fontId="19" fillId="0" borderId="20" xfId="30" applyFont="1" applyFill="1" applyBorder="1" applyAlignment="1">
      <alignment horizontal="center" vertical="center"/>
    </xf>
    <xf numFmtId="172" fontId="19" fillId="0" borderId="20" xfId="30" applyNumberFormat="1" applyFont="1" applyFill="1" applyBorder="1" applyAlignment="1">
      <alignment horizontal="center" vertical="center"/>
    </xf>
    <xf numFmtId="177" fontId="19" fillId="0" borderId="20" xfId="30" applyNumberFormat="1" applyFont="1" applyFill="1" applyBorder="1" applyAlignment="1">
      <alignment horizontal="center" vertical="center"/>
    </xf>
    <xf numFmtId="171" fontId="19" fillId="0" borderId="20" xfId="30" applyNumberFormat="1" applyFont="1" applyFill="1" applyBorder="1" applyAlignment="1">
      <alignment horizontal="center" vertical="center"/>
    </xf>
    <xf numFmtId="0" fontId="14" fillId="0" borderId="21" xfId="30" applyFont="1" applyFill="1" applyBorder="1" applyAlignment="1">
      <alignment horizontal="center" vertical="center" wrapText="1"/>
    </xf>
    <xf numFmtId="0" fontId="19" fillId="0" borderId="20" xfId="30" applyFont="1" applyFill="1" applyBorder="1" applyAlignment="1">
      <alignment horizontal="center" vertical="center" wrapText="1"/>
    </xf>
    <xf numFmtId="1" fontId="19" fillId="0" borderId="20" xfId="30" applyNumberFormat="1" applyFont="1" applyFill="1" applyBorder="1" applyAlignment="1">
      <alignment horizontal="center" vertical="center" wrapText="1"/>
    </xf>
    <xf numFmtId="173" fontId="19" fillId="0" borderId="20" xfId="30" applyNumberFormat="1" applyFont="1" applyFill="1" applyBorder="1" applyAlignment="1" applyProtection="1">
      <alignment horizontal="center" vertical="center" wrapText="1"/>
      <protection locked="0"/>
    </xf>
    <xf numFmtId="16" fontId="19" fillId="0" borderId="20" xfId="30" applyNumberFormat="1" applyFont="1" applyFill="1" applyBorder="1" applyAlignment="1">
      <alignment horizontal="center" vertical="center"/>
    </xf>
    <xf numFmtId="169" fontId="19" fillId="0" borderId="20" xfId="30" applyNumberFormat="1" applyFont="1" applyFill="1" applyBorder="1" applyAlignment="1">
      <alignment horizontal="center" vertical="center" wrapText="1"/>
    </xf>
    <xf numFmtId="0" fontId="19" fillId="0" borderId="20" xfId="30" applyFont="1" applyFill="1" applyBorder="1" applyAlignment="1" applyProtection="1">
      <alignment horizontal="left" vertical="top" wrapText="1"/>
      <protection locked="0"/>
    </xf>
    <xf numFmtId="4" fontId="14" fillId="0" borderId="20" xfId="30" applyNumberFormat="1" applyFont="1" applyFill="1" applyBorder="1" applyAlignment="1">
      <alignment horizontal="center" vertical="center"/>
    </xf>
    <xf numFmtId="0" fontId="14" fillId="0" borderId="20" xfId="30" applyFont="1" applyFill="1" applyBorder="1" applyAlignment="1">
      <alignment horizontal="center" vertical="center"/>
    </xf>
    <xf numFmtId="4" fontId="19" fillId="0" borderId="20" xfId="30" applyNumberFormat="1" applyFont="1" applyFill="1" applyBorder="1" applyAlignment="1">
      <alignment horizontal="center" vertical="center"/>
    </xf>
    <xf numFmtId="3" fontId="19" fillId="0" borderId="20" xfId="30" applyNumberFormat="1" applyFont="1" applyFill="1" applyBorder="1" applyAlignment="1">
      <alignment horizontal="center" vertical="center"/>
    </xf>
    <xf numFmtId="16" fontId="19" fillId="0" borderId="20" xfId="0" applyNumberFormat="1" applyFont="1" applyFill="1" applyBorder="1" applyAlignment="1">
      <alignment horizontal="center" vertical="center"/>
    </xf>
    <xf numFmtId="169" fontId="19" fillId="0" borderId="20" xfId="0" applyNumberFormat="1" applyFont="1" applyBorder="1" applyAlignment="1">
      <alignment horizontal="center" vertical="center"/>
    </xf>
    <xf numFmtId="1" fontId="19" fillId="0" borderId="20" xfId="30" applyNumberFormat="1" applyFont="1" applyFill="1" applyBorder="1" applyAlignment="1">
      <alignment horizontal="center" vertical="center"/>
    </xf>
    <xf numFmtId="171" fontId="19" fillId="0" borderId="27" xfId="30" applyNumberFormat="1" applyFont="1" applyFill="1" applyBorder="1" applyAlignment="1">
      <alignment horizontal="center" vertical="center"/>
    </xf>
    <xf numFmtId="0" fontId="19" fillId="0" borderId="1" xfId="30" applyFont="1" applyFill="1" applyBorder="1" applyAlignment="1" applyProtection="1">
      <alignment vertical="center" wrapText="1"/>
      <protection locked="0"/>
    </xf>
    <xf numFmtId="0" fontId="14" fillId="0" borderId="28" xfId="30" applyFont="1" applyFill="1" applyBorder="1" applyAlignment="1">
      <alignment horizontal="center" vertical="center" wrapText="1"/>
    </xf>
    <xf numFmtId="0" fontId="19" fillId="0" borderId="23" xfId="30" applyFont="1" applyFill="1" applyBorder="1" applyAlignment="1">
      <alignment horizontal="center" vertical="center" wrapText="1"/>
    </xf>
    <xf numFmtId="1" fontId="19" fillId="0" borderId="23" xfId="30" applyNumberFormat="1" applyFont="1" applyFill="1" applyBorder="1" applyAlignment="1">
      <alignment horizontal="center" vertical="center" wrapText="1"/>
    </xf>
    <xf numFmtId="173" fontId="19" fillId="0" borderId="23" xfId="30" applyNumberFormat="1" applyFont="1" applyFill="1" applyBorder="1" applyAlignment="1" applyProtection="1">
      <alignment horizontal="center" vertical="center" wrapText="1"/>
      <protection locked="0"/>
    </xf>
    <xf numFmtId="0" fontId="19" fillId="0" borderId="23" xfId="30" applyFont="1" applyFill="1" applyBorder="1" applyAlignment="1">
      <alignment horizontal="center" vertical="center"/>
    </xf>
    <xf numFmtId="16" fontId="19" fillId="0" borderId="23" xfId="30" applyNumberFormat="1" applyFont="1" applyFill="1" applyBorder="1" applyAlignment="1">
      <alignment horizontal="center" vertical="center"/>
    </xf>
    <xf numFmtId="0" fontId="19" fillId="0" borderId="23" xfId="30" applyFont="1" applyFill="1" applyBorder="1" applyAlignment="1" applyProtection="1">
      <alignment horizontal="left" vertical="top" wrapText="1"/>
      <protection locked="0"/>
    </xf>
    <xf numFmtId="4" fontId="14" fillId="0" borderId="23" xfId="30" applyNumberFormat="1" applyFont="1" applyFill="1" applyBorder="1" applyAlignment="1">
      <alignment horizontal="center" vertical="center"/>
    </xf>
    <xf numFmtId="0" fontId="14" fillId="0" borderId="23" xfId="30" applyFont="1" applyFill="1" applyBorder="1" applyAlignment="1">
      <alignment horizontal="center" vertical="center"/>
    </xf>
    <xf numFmtId="4" fontId="19" fillId="0" borderId="23" xfId="30" applyNumberFormat="1" applyFont="1" applyFill="1" applyBorder="1" applyAlignment="1">
      <alignment horizontal="center" vertical="center"/>
    </xf>
    <xf numFmtId="3" fontId="19" fillId="0" borderId="23" xfId="30" applyNumberFormat="1" applyFont="1" applyFill="1" applyBorder="1" applyAlignment="1">
      <alignment horizontal="center" vertical="center"/>
    </xf>
    <xf numFmtId="16" fontId="19" fillId="0" borderId="23" xfId="0" applyNumberFormat="1" applyFont="1" applyFill="1" applyBorder="1" applyAlignment="1">
      <alignment horizontal="center" vertical="center"/>
    </xf>
    <xf numFmtId="172" fontId="19" fillId="0" borderId="23" xfId="30" applyNumberFormat="1" applyFont="1" applyFill="1" applyBorder="1" applyAlignment="1">
      <alignment horizontal="center" vertical="center"/>
    </xf>
    <xf numFmtId="177" fontId="19" fillId="0" borderId="23" xfId="30" applyNumberFormat="1" applyFont="1" applyFill="1" applyBorder="1" applyAlignment="1">
      <alignment horizontal="center" vertical="center"/>
    </xf>
    <xf numFmtId="171" fontId="19" fillId="0" borderId="23" xfId="30" applyNumberFormat="1" applyFont="1" applyFill="1" applyBorder="1" applyAlignment="1">
      <alignment horizontal="center" vertical="center"/>
    </xf>
    <xf numFmtId="169" fontId="19" fillId="0" borderId="23" xfId="0" applyNumberFormat="1" applyFont="1" applyBorder="1" applyAlignment="1">
      <alignment horizontal="center" vertical="center"/>
    </xf>
    <xf numFmtId="1" fontId="19" fillId="0" borderId="23" xfId="30" applyNumberFormat="1" applyFont="1" applyFill="1" applyBorder="1" applyAlignment="1">
      <alignment horizontal="center" vertical="center"/>
    </xf>
    <xf numFmtId="171" fontId="19" fillId="0" borderId="29" xfId="30" applyNumberFormat="1" applyFont="1" applyFill="1" applyBorder="1" applyAlignment="1">
      <alignment horizontal="center" vertical="center"/>
    </xf>
    <xf numFmtId="0" fontId="19" fillId="15" borderId="2" xfId="30" applyFont="1" applyFill="1" applyBorder="1" applyAlignment="1" applyProtection="1">
      <alignment horizontal="left" vertical="top" wrapText="1"/>
      <protection locked="0"/>
    </xf>
    <xf numFmtId="16" fontId="19" fillId="0" borderId="2" xfId="30" quotePrefix="1" applyNumberFormat="1" applyFont="1" applyFill="1" applyBorder="1" applyAlignment="1">
      <alignment horizontal="center" vertical="center"/>
    </xf>
    <xf numFmtId="171" fontId="58" fillId="11" borderId="2" xfId="0" applyNumberFormat="1" applyFont="1" applyFill="1" applyBorder="1" applyAlignment="1">
      <alignment horizontal="center" vertical="center" wrapText="1"/>
    </xf>
    <xf numFmtId="0" fontId="19" fillId="15" borderId="0" xfId="30" applyFont="1" applyFill="1" applyBorder="1" applyAlignment="1">
      <alignment horizontal="center" vertical="center"/>
    </xf>
    <xf numFmtId="0" fontId="19" fillId="15" borderId="0" xfId="0" applyFont="1" applyFill="1"/>
    <xf numFmtId="177" fontId="19" fillId="0" borderId="2" xfId="30" applyNumberFormat="1" applyFont="1" applyFill="1" applyBorder="1" applyAlignment="1">
      <alignment horizontal="center" vertical="center" wrapText="1"/>
    </xf>
    <xf numFmtId="171" fontId="19" fillId="0" borderId="2" xfId="30" applyNumberFormat="1" applyFont="1" applyFill="1" applyBorder="1" applyAlignment="1">
      <alignment horizontal="center" vertical="center" wrapText="1"/>
    </xf>
    <xf numFmtId="169" fontId="19" fillId="0" borderId="2" xfId="0" applyNumberFormat="1" applyFont="1" applyFill="1" applyBorder="1" applyAlignment="1">
      <alignment horizontal="center" vertical="center"/>
    </xf>
    <xf numFmtId="0" fontId="19" fillId="0" borderId="0" xfId="30" applyFont="1" applyFill="1" applyBorder="1" applyAlignment="1">
      <alignment horizontal="center" vertical="center"/>
    </xf>
    <xf numFmtId="0" fontId="19" fillId="0" borderId="0" xfId="0" applyFont="1" applyFill="1"/>
    <xf numFmtId="0" fontId="19" fillId="0" borderId="40" xfId="30" applyFont="1" applyFill="1" applyBorder="1" applyAlignment="1">
      <alignment horizontal="center" vertical="center" wrapText="1"/>
    </xf>
    <xf numFmtId="0" fontId="19" fillId="0" borderId="1" xfId="30" applyFont="1" applyFill="1" applyBorder="1" applyAlignment="1">
      <alignment horizontal="center" vertical="center" wrapText="1"/>
    </xf>
    <xf numFmtId="0" fontId="19" fillId="0" borderId="1" xfId="30" applyFont="1" applyFill="1" applyBorder="1" applyAlignment="1">
      <alignment horizontal="center" vertical="center"/>
    </xf>
    <xf numFmtId="0" fontId="62" fillId="0" borderId="2" xfId="30" applyFont="1" applyFill="1" applyBorder="1" applyAlignment="1">
      <alignment horizontal="center" vertical="center" wrapText="1"/>
    </xf>
    <xf numFmtId="0" fontId="19" fillId="15" borderId="2" xfId="30" applyFont="1" applyFill="1" applyBorder="1" applyAlignment="1">
      <alignment horizontal="center" vertical="center" wrapText="1"/>
    </xf>
    <xf numFmtId="1" fontId="19" fillId="15" borderId="2" xfId="30" applyNumberFormat="1" applyFont="1" applyFill="1" applyBorder="1" applyAlignment="1">
      <alignment horizontal="center" vertical="center" wrapText="1"/>
    </xf>
    <xf numFmtId="173" fontId="19" fillId="15" borderId="2" xfId="30" applyNumberFormat="1" applyFont="1" applyFill="1" applyBorder="1" applyAlignment="1" applyProtection="1">
      <alignment horizontal="center" vertical="center" wrapText="1"/>
      <protection locked="0"/>
    </xf>
    <xf numFmtId="16" fontId="19" fillId="15" borderId="2" xfId="30" applyNumberFormat="1" applyFont="1" applyFill="1" applyBorder="1" applyAlignment="1">
      <alignment horizontal="center" vertical="center"/>
    </xf>
    <xf numFmtId="4" fontId="19" fillId="15" borderId="2" xfId="30" applyNumberFormat="1" applyFont="1" applyFill="1" applyBorder="1" applyAlignment="1">
      <alignment horizontal="center" vertical="center"/>
    </xf>
    <xf numFmtId="0" fontId="19" fillId="15" borderId="2" xfId="30" applyFont="1" applyFill="1" applyBorder="1" applyAlignment="1">
      <alignment horizontal="center" vertical="center"/>
    </xf>
    <xf numFmtId="3" fontId="19" fillId="15" borderId="2" xfId="30" applyNumberFormat="1" applyFont="1" applyFill="1" applyBorder="1" applyAlignment="1">
      <alignment horizontal="center" vertical="center"/>
    </xf>
    <xf numFmtId="172" fontId="19" fillId="15" borderId="2" xfId="30" applyNumberFormat="1" applyFont="1" applyFill="1" applyBorder="1" applyAlignment="1">
      <alignment horizontal="center" vertical="center"/>
    </xf>
    <xf numFmtId="16" fontId="19" fillId="0" borderId="6" xfId="30" applyNumberFormat="1" applyFont="1" applyFill="1" applyBorder="1" applyAlignment="1">
      <alignment horizontal="center" vertical="center"/>
    </xf>
    <xf numFmtId="0" fontId="0" fillId="0" borderId="2" xfId="0" applyBorder="1" applyAlignment="1">
      <alignment horizontal="center"/>
    </xf>
    <xf numFmtId="0" fontId="7" fillId="13" borderId="2" xfId="0" applyFont="1" applyFill="1" applyBorder="1" applyAlignment="1">
      <alignment horizontal="center"/>
    </xf>
    <xf numFmtId="0" fontId="1" fillId="0" borderId="2" xfId="0" applyFont="1" applyFill="1" applyBorder="1" applyAlignment="1" applyProtection="1">
      <alignment horizontal="center" vertical="center" wrapText="1"/>
      <protection locked="0"/>
    </xf>
    <xf numFmtId="16" fontId="7" fillId="13" borderId="2" xfId="0" applyNumberFormat="1" applyFont="1" applyFill="1" applyBorder="1" applyAlignment="1">
      <alignment horizontal="center"/>
    </xf>
    <xf numFmtId="0" fontId="19" fillId="0" borderId="2" xfId="30" applyFont="1" applyFill="1" applyBorder="1" applyAlignment="1">
      <alignment horizontal="center" vertical="center" wrapText="1"/>
    </xf>
    <xf numFmtId="0" fontId="19" fillId="0" borderId="2" xfId="30" applyFont="1" applyFill="1" applyBorder="1" applyAlignment="1">
      <alignment horizontal="center" vertical="center" wrapText="1"/>
    </xf>
    <xf numFmtId="0" fontId="19" fillId="0" borderId="2" xfId="30" applyFont="1" applyFill="1" applyBorder="1" applyAlignment="1">
      <alignment horizontal="center" vertical="center" wrapText="1"/>
    </xf>
    <xf numFmtId="0" fontId="19" fillId="0" borderId="2" xfId="30" applyFont="1" applyFill="1" applyBorder="1" applyAlignment="1">
      <alignment horizontal="center" vertical="center" wrapText="1"/>
    </xf>
    <xf numFmtId="0" fontId="19" fillId="0" borderId="1" xfId="30" applyFont="1" applyFill="1" applyBorder="1" applyAlignment="1">
      <alignment horizontal="center" vertical="center" wrapText="1"/>
    </xf>
    <xf numFmtId="0" fontId="19" fillId="0" borderId="2" xfId="30" applyFont="1" applyFill="1" applyBorder="1" applyAlignment="1">
      <alignment horizontal="center" vertical="center" wrapText="1"/>
    </xf>
    <xf numFmtId="0" fontId="19" fillId="0" borderId="2" xfId="30" applyFont="1" applyFill="1" applyBorder="1" applyAlignment="1">
      <alignment horizontal="center" vertical="center" wrapText="1"/>
    </xf>
    <xf numFmtId="0" fontId="19" fillId="0" borderId="40" xfId="30" applyFont="1" applyFill="1" applyBorder="1" applyAlignment="1">
      <alignment horizontal="center" vertical="center" wrapText="1"/>
    </xf>
    <xf numFmtId="0" fontId="19" fillId="0" borderId="2" xfId="30" applyFont="1" applyFill="1" applyBorder="1" applyAlignment="1">
      <alignment horizontal="center" vertical="center" wrapText="1"/>
    </xf>
    <xf numFmtId="4" fontId="19" fillId="0" borderId="2" xfId="0" applyNumberFormat="1" applyFont="1" applyBorder="1" applyAlignment="1">
      <alignment horizontal="center" vertical="center"/>
    </xf>
    <xf numFmtId="0" fontId="19" fillId="0" borderId="0" xfId="0" applyFont="1" applyAlignment="1">
      <alignment horizontal="center" vertical="center"/>
    </xf>
    <xf numFmtId="0" fontId="19" fillId="0" borderId="2" xfId="30" applyFont="1" applyFill="1" applyBorder="1" applyAlignment="1" applyProtection="1">
      <alignment horizontal="left" vertical="center" wrapText="1"/>
      <protection locked="0"/>
    </xf>
    <xf numFmtId="16" fontId="19" fillId="15" borderId="2" xfId="30" quotePrefix="1" applyNumberFormat="1" applyFont="1" applyFill="1" applyBorder="1" applyAlignment="1">
      <alignment horizontal="center" vertical="center"/>
    </xf>
    <xf numFmtId="0" fontId="63" fillId="12" borderId="2" xfId="0" applyFont="1" applyFill="1" applyBorder="1" applyAlignment="1">
      <alignment horizontal="center" vertical="center" wrapText="1"/>
    </xf>
    <xf numFmtId="175" fontId="2" fillId="15" borderId="2" xfId="0" applyNumberFormat="1" applyFont="1" applyFill="1" applyBorder="1" applyAlignment="1" applyProtection="1">
      <alignment horizontal="center" vertical="center" wrapText="1"/>
      <protection locked="0"/>
    </xf>
    <xf numFmtId="175" fontId="2" fillId="15" borderId="2" xfId="0" applyNumberFormat="1" applyFont="1" applyFill="1" applyBorder="1" applyAlignment="1" applyProtection="1">
      <alignment horizontal="center" vertical="center" wrapText="1"/>
    </xf>
    <xf numFmtId="182" fontId="2" fillId="15" borderId="2" xfId="0" applyNumberFormat="1" applyFont="1" applyFill="1" applyBorder="1" applyAlignment="1" applyProtection="1">
      <alignment horizontal="center" vertical="center" wrapText="1"/>
      <protection locked="0"/>
    </xf>
    <xf numFmtId="183" fontId="2" fillId="15" borderId="2" xfId="0" applyNumberFormat="1" applyFont="1" applyFill="1" applyBorder="1" applyAlignment="1" applyProtection="1">
      <alignment horizontal="center" vertical="center" wrapText="1"/>
      <protection locked="0"/>
    </xf>
    <xf numFmtId="14" fontId="2" fillId="15" borderId="2" xfId="0" applyNumberFormat="1" applyFont="1" applyFill="1" applyBorder="1" applyAlignment="1" applyProtection="1">
      <alignment horizontal="center" vertical="center" wrapText="1"/>
      <protection locked="0"/>
    </xf>
    <xf numFmtId="0" fontId="64" fillId="13" borderId="2" xfId="0" applyFont="1" applyFill="1" applyBorder="1" applyAlignment="1">
      <alignment horizontal="center" vertical="center"/>
    </xf>
    <xf numFmtId="0" fontId="65" fillId="13" borderId="2" xfId="0" applyFont="1" applyFill="1" applyBorder="1" applyAlignment="1" applyProtection="1">
      <alignment horizontal="center" vertical="center"/>
      <protection locked="0"/>
    </xf>
    <xf numFmtId="0" fontId="65" fillId="13" borderId="2" xfId="0" applyFont="1" applyFill="1" applyBorder="1" applyAlignment="1" applyProtection="1">
      <alignment horizontal="center" vertical="center" wrapText="1"/>
      <protection locked="0"/>
    </xf>
    <xf numFmtId="0" fontId="65" fillId="12" borderId="2" xfId="0" applyFont="1" applyFill="1" applyBorder="1" applyAlignment="1">
      <alignment horizontal="center" vertical="center" wrapText="1"/>
    </xf>
    <xf numFmtId="0" fontId="65" fillId="12" borderId="2" xfId="28" applyFont="1" applyFill="1" applyBorder="1" applyAlignment="1" applyProtection="1">
      <alignment horizontal="center" vertical="center" wrapText="1"/>
      <protection locked="0"/>
    </xf>
    <xf numFmtId="4" fontId="64" fillId="13" borderId="2" xfId="0" applyNumberFormat="1" applyFont="1" applyFill="1" applyBorder="1" applyAlignment="1">
      <alignment horizontal="center" vertical="center"/>
    </xf>
    <xf numFmtId="177" fontId="64" fillId="13" borderId="2" xfId="0" applyNumberFormat="1" applyFont="1" applyFill="1" applyBorder="1" applyAlignment="1">
      <alignment horizontal="center" vertical="center"/>
    </xf>
    <xf numFmtId="0" fontId="65" fillId="13" borderId="2" xfId="28" applyFont="1" applyFill="1" applyBorder="1" applyAlignment="1" applyProtection="1">
      <alignment horizontal="center" vertical="center" wrapText="1"/>
      <protection locked="0"/>
    </xf>
    <xf numFmtId="4" fontId="64" fillId="11" borderId="2"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66" fillId="0" borderId="2" xfId="30" applyFont="1" applyFill="1" applyBorder="1" applyAlignment="1">
      <alignment horizontal="center" vertical="center" wrapText="1"/>
    </xf>
    <xf numFmtId="0" fontId="65" fillId="0" borderId="2" xfId="30" applyFont="1" applyFill="1" applyBorder="1" applyAlignment="1">
      <alignment horizontal="center" vertical="center" wrapText="1"/>
    </xf>
    <xf numFmtId="0" fontId="2" fillId="0" borderId="2" xfId="30" applyFont="1" applyFill="1" applyBorder="1" applyAlignment="1">
      <alignment horizontal="center" vertical="center" wrapText="1"/>
    </xf>
    <xf numFmtId="0" fontId="2" fillId="0" borderId="2" xfId="30" applyFont="1" applyBorder="1" applyAlignment="1">
      <alignment horizontal="center" vertical="center" wrapText="1"/>
    </xf>
    <xf numFmtId="1" fontId="2" fillId="0" borderId="2" xfId="30" applyNumberFormat="1" applyFont="1" applyFill="1" applyBorder="1" applyAlignment="1">
      <alignment horizontal="center" vertical="center" wrapText="1"/>
    </xf>
    <xf numFmtId="173" fontId="2" fillId="0" borderId="2" xfId="30" applyNumberFormat="1" applyFont="1" applyFill="1" applyBorder="1" applyAlignment="1" applyProtection="1">
      <alignment horizontal="center" vertical="center" wrapText="1"/>
      <protection locked="0"/>
    </xf>
    <xf numFmtId="4" fontId="2" fillId="0" borderId="2" xfId="30" applyNumberFormat="1" applyFont="1" applyFill="1" applyBorder="1" applyAlignment="1">
      <alignment horizontal="center" vertical="center" wrapText="1"/>
    </xf>
    <xf numFmtId="0" fontId="2" fillId="0" borderId="2" xfId="0" applyFont="1" applyFill="1" applyBorder="1" applyAlignment="1" applyProtection="1">
      <alignment horizontal="center" vertical="center" wrapText="1"/>
      <protection locked="0"/>
    </xf>
    <xf numFmtId="171" fontId="2" fillId="0" borderId="2" xfId="0" applyNumberFormat="1" applyFont="1" applyFill="1" applyBorder="1" applyAlignment="1" applyProtection="1">
      <alignment horizontal="center" vertical="center" wrapText="1"/>
      <protection locked="0"/>
    </xf>
    <xf numFmtId="0" fontId="2" fillId="0" borderId="2" xfId="30" applyFont="1" applyFill="1" applyBorder="1" applyAlignment="1">
      <alignment horizontal="center" vertical="center"/>
    </xf>
    <xf numFmtId="0" fontId="2" fillId="0" borderId="0" xfId="30" applyFont="1" applyBorder="1" applyAlignment="1">
      <alignment horizontal="center" vertical="center"/>
    </xf>
    <xf numFmtId="0" fontId="2" fillId="0" borderId="0" xfId="0" applyFont="1"/>
    <xf numFmtId="0" fontId="2" fillId="0" borderId="2" xfId="30" applyFont="1" applyFill="1" applyBorder="1" applyAlignment="1" applyProtection="1">
      <alignment horizontal="left" vertical="top" wrapText="1"/>
      <protection locked="0"/>
    </xf>
    <xf numFmtId="0" fontId="2" fillId="0" borderId="40" xfId="30" applyFont="1" applyFill="1" applyBorder="1" applyAlignment="1">
      <alignment horizontal="center" vertical="center"/>
    </xf>
    <xf numFmtId="0" fontId="65" fillId="0" borderId="0" xfId="0" applyFont="1" applyBorder="1" applyAlignment="1">
      <alignment horizontal="center" vertical="center"/>
    </xf>
    <xf numFmtId="4"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2" fillId="0" borderId="0" xfId="0" applyNumberFormat="1" applyFont="1" applyBorder="1" applyAlignment="1">
      <alignment horizontal="center" vertical="center"/>
    </xf>
    <xf numFmtId="169" fontId="2" fillId="0" borderId="0" xfId="0" applyNumberFormat="1" applyFont="1" applyBorder="1" applyAlignment="1">
      <alignment horizontal="center" vertical="center"/>
    </xf>
    <xf numFmtId="169" fontId="2" fillId="0" borderId="0" xfId="0" applyNumberFormat="1" applyFont="1" applyFill="1" applyBorder="1" applyAlignment="1">
      <alignment horizontal="center" vertical="center"/>
    </xf>
    <xf numFmtId="0" fontId="2" fillId="0" borderId="0" xfId="0" applyFont="1" applyFill="1" applyBorder="1" applyAlignment="1">
      <alignment horizontal="left" vertical="center"/>
    </xf>
    <xf numFmtId="177" fontId="2" fillId="0" borderId="0" xfId="0" applyNumberFormat="1" applyFont="1" applyBorder="1" applyAlignment="1">
      <alignment horizontal="center" vertical="center"/>
    </xf>
    <xf numFmtId="0" fontId="2" fillId="0" borderId="0" xfId="0" applyFont="1" applyFill="1" applyBorder="1" applyAlignment="1">
      <alignment horizontal="center" vertical="center"/>
    </xf>
    <xf numFmtId="0" fontId="2" fillId="0" borderId="40" xfId="30" applyFont="1" applyFill="1" applyBorder="1" applyAlignment="1">
      <alignment horizontal="center" vertical="center" wrapText="1"/>
    </xf>
    <xf numFmtId="16" fontId="2" fillId="0" borderId="2" xfId="30" applyNumberFormat="1" applyFont="1" applyFill="1" applyBorder="1" applyAlignment="1">
      <alignment horizontal="center" vertical="center"/>
    </xf>
    <xf numFmtId="0" fontId="65" fillId="0" borderId="0" xfId="10" applyFont="1" applyAlignment="1">
      <alignment horizontal="center" vertical="center"/>
    </xf>
    <xf numFmtId="0" fontId="2" fillId="0" borderId="0" xfId="10" applyFont="1" applyAlignment="1">
      <alignment horizontal="center" vertical="center"/>
    </xf>
    <xf numFmtId="169" fontId="2" fillId="0" borderId="0" xfId="10" applyNumberFormat="1" applyFont="1" applyAlignment="1">
      <alignment horizontal="center" vertical="center"/>
    </xf>
    <xf numFmtId="0" fontId="2" fillId="0" borderId="0" xfId="10" applyNumberFormat="1" applyFont="1" applyAlignment="1">
      <alignment horizontal="center" vertical="center"/>
    </xf>
    <xf numFmtId="4" fontId="2" fillId="0" borderId="0" xfId="10" applyNumberFormat="1" applyFont="1" applyAlignment="1">
      <alignment horizontal="center" vertical="center"/>
    </xf>
    <xf numFmtId="0" fontId="2" fillId="0" borderId="0" xfId="10" applyFont="1" applyBorder="1" applyAlignment="1">
      <alignment vertical="center"/>
    </xf>
    <xf numFmtId="3" fontId="2" fillId="0" borderId="0" xfId="10" applyNumberFormat="1" applyFont="1" applyAlignment="1">
      <alignment horizontal="center" vertical="center"/>
    </xf>
    <xf numFmtId="0" fontId="2" fillId="0" borderId="0" xfId="10" applyFont="1" applyFill="1" applyAlignment="1">
      <alignment horizontal="center" vertical="center"/>
    </xf>
    <xf numFmtId="0" fontId="65" fillId="0" borderId="0" xfId="0" applyFont="1" applyFill="1" applyBorder="1" applyAlignment="1">
      <alignment horizontal="center" vertical="center" wrapText="1"/>
    </xf>
    <xf numFmtId="0" fontId="64" fillId="12" borderId="2" xfId="0" applyFont="1" applyFill="1" applyBorder="1" applyAlignment="1">
      <alignment horizontal="center" vertical="center"/>
    </xf>
    <xf numFmtId="0" fontId="65" fillId="12" borderId="2" xfId="0" applyFont="1" applyFill="1" applyBorder="1" applyAlignment="1" applyProtection="1">
      <alignment horizontal="center" vertical="center"/>
      <protection locked="0"/>
    </xf>
    <xf numFmtId="0" fontId="65" fillId="12" borderId="2" xfId="0" applyFont="1" applyFill="1" applyBorder="1" applyAlignment="1" applyProtection="1">
      <alignment horizontal="center" vertical="center" wrapText="1"/>
      <protection locked="0"/>
    </xf>
    <xf numFmtId="4" fontId="64" fillId="12" borderId="2" xfId="0" applyNumberFormat="1" applyFont="1" applyFill="1" applyBorder="1" applyAlignment="1">
      <alignment horizontal="center" vertical="center"/>
    </xf>
    <xf numFmtId="177" fontId="64" fillId="12" borderId="2" xfId="0" applyNumberFormat="1" applyFont="1" applyFill="1" applyBorder="1" applyAlignment="1">
      <alignment horizontal="center" vertical="center"/>
    </xf>
    <xf numFmtId="4" fontId="64" fillId="12" borderId="2" xfId="0" applyNumberFormat="1" applyFont="1" applyFill="1" applyBorder="1" applyAlignment="1">
      <alignment horizontal="center" vertical="center" wrapText="1"/>
    </xf>
    <xf numFmtId="49" fontId="65" fillId="0" borderId="2" xfId="0" applyNumberFormat="1" applyFont="1" applyFill="1" applyBorder="1" applyAlignment="1">
      <alignment horizontal="center" vertical="center" wrapText="1"/>
    </xf>
    <xf numFmtId="0" fontId="55" fillId="0" borderId="0" xfId="0" applyFont="1"/>
    <xf numFmtId="14" fontId="51" fillId="0" borderId="2" xfId="0" applyNumberFormat="1" applyFont="1" applyFill="1" applyBorder="1" applyAlignment="1">
      <alignment horizontal="center" vertical="center"/>
    </xf>
    <xf numFmtId="0" fontId="55" fillId="0" borderId="2" xfId="0" applyFont="1" applyBorder="1" applyAlignment="1">
      <alignment horizontal="center"/>
    </xf>
    <xf numFmtId="0" fontId="2" fillId="0" borderId="1" xfId="30" applyFont="1" applyFill="1" applyBorder="1" applyAlignment="1">
      <alignment horizontal="center" vertical="center"/>
    </xf>
    <xf numFmtId="0" fontId="2" fillId="0" borderId="40" xfId="30" applyFont="1" applyFill="1" applyBorder="1" applyAlignment="1">
      <alignment horizontal="center" vertical="center"/>
    </xf>
    <xf numFmtId="0" fontId="2" fillId="0" borderId="1" xfId="30" applyFont="1" applyFill="1" applyBorder="1" applyAlignment="1">
      <alignment horizontal="center" vertical="center" wrapText="1"/>
    </xf>
    <xf numFmtId="0" fontId="2" fillId="0" borderId="40" xfId="30" applyFont="1" applyFill="1" applyBorder="1" applyAlignment="1">
      <alignment horizontal="center" vertical="center" wrapText="1"/>
    </xf>
    <xf numFmtId="0" fontId="19" fillId="0" borderId="1" xfId="30" applyFont="1" applyFill="1" applyBorder="1" applyAlignment="1">
      <alignment horizontal="center" vertical="center"/>
    </xf>
    <xf numFmtId="0" fontId="19" fillId="0" borderId="40" xfId="30" applyFont="1" applyFill="1" applyBorder="1" applyAlignment="1">
      <alignment horizontal="center" vertical="center"/>
    </xf>
    <xf numFmtId="0" fontId="0" fillId="0" borderId="40" xfId="0" applyBorder="1"/>
    <xf numFmtId="0" fontId="19" fillId="0" borderId="1" xfId="30" applyFont="1" applyFill="1" applyBorder="1" applyAlignment="1">
      <alignment horizontal="center" vertical="center" wrapText="1"/>
    </xf>
    <xf numFmtId="0" fontId="19" fillId="0" borderId="40" xfId="30" applyFont="1" applyFill="1" applyBorder="1" applyAlignment="1">
      <alignment horizontal="center" vertical="center" wrapText="1"/>
    </xf>
    <xf numFmtId="0" fontId="19" fillId="15" borderId="1" xfId="30" applyFont="1" applyFill="1" applyBorder="1" applyAlignment="1">
      <alignment horizontal="center" vertical="center"/>
    </xf>
    <xf numFmtId="0" fontId="19" fillId="15" borderId="40" xfId="30" applyFont="1" applyFill="1" applyBorder="1" applyAlignment="1">
      <alignment horizontal="center" vertical="center"/>
    </xf>
    <xf numFmtId="0" fontId="19" fillId="0" borderId="26" xfId="30" applyFont="1" applyFill="1" applyBorder="1" applyAlignment="1">
      <alignment horizontal="center" vertical="center" wrapText="1"/>
    </xf>
    <xf numFmtId="0" fontId="19" fillId="0" borderId="41" xfId="30" applyFont="1" applyFill="1" applyBorder="1" applyAlignment="1">
      <alignment horizontal="center" vertical="center" wrapText="1"/>
    </xf>
    <xf numFmtId="0" fontId="59" fillId="0" borderId="30" xfId="21" applyFont="1" applyBorder="1" applyAlignment="1">
      <alignment horizontal="center"/>
    </xf>
    <xf numFmtId="0" fontId="59" fillId="0" borderId="11" xfId="21" applyFont="1" applyBorder="1" applyAlignment="1">
      <alignment horizontal="center"/>
    </xf>
    <xf numFmtId="0" fontId="59" fillId="0" borderId="31" xfId="21" applyFont="1" applyBorder="1" applyAlignment="1">
      <alignment horizontal="center"/>
    </xf>
    <xf numFmtId="0" fontId="59" fillId="0" borderId="32" xfId="21" applyFont="1" applyBorder="1" applyAlignment="1">
      <alignment horizontal="center"/>
    </xf>
    <xf numFmtId="0" fontId="59" fillId="0" borderId="9" xfId="21" applyFont="1" applyBorder="1" applyAlignment="1">
      <alignment horizontal="center"/>
    </xf>
    <xf numFmtId="0" fontId="59" fillId="0" borderId="33" xfId="21" applyFont="1" applyBorder="1" applyAlignment="1">
      <alignment horizontal="center"/>
    </xf>
    <xf numFmtId="0" fontId="44" fillId="0" borderId="0" xfId="21" applyFont="1" applyAlignment="1">
      <alignment horizontal="center"/>
    </xf>
    <xf numFmtId="176" fontId="45" fillId="0" borderId="9" xfId="21" applyNumberFormat="1" applyFont="1" applyBorder="1" applyAlignment="1">
      <alignment horizontal="center"/>
    </xf>
    <xf numFmtId="0" fontId="45" fillId="0" borderId="30" xfId="21" applyFont="1" applyBorder="1" applyAlignment="1">
      <alignment horizontal="left" vertical="top" wrapText="1"/>
    </xf>
    <xf numFmtId="0" fontId="45" fillId="0" borderId="11" xfId="21" applyFont="1" applyBorder="1" applyAlignment="1">
      <alignment horizontal="left" vertical="top" wrapText="1"/>
    </xf>
    <xf numFmtId="0" fontId="45" fillId="0" borderId="31" xfId="21" applyFont="1" applyBorder="1" applyAlignment="1">
      <alignment horizontal="left" vertical="top" wrapText="1"/>
    </xf>
    <xf numFmtId="0" fontId="45" fillId="0" borderId="35" xfId="21" applyFont="1" applyBorder="1" applyAlignment="1">
      <alignment horizontal="left" vertical="top" wrapText="1"/>
    </xf>
    <xf numFmtId="0" fontId="45" fillId="0" borderId="0" xfId="21" applyFont="1" applyBorder="1" applyAlignment="1">
      <alignment horizontal="left" vertical="top" wrapText="1"/>
    </xf>
    <xf numFmtId="0" fontId="45" fillId="0" borderId="36" xfId="21" applyFont="1" applyBorder="1" applyAlignment="1">
      <alignment horizontal="left" vertical="top" wrapText="1"/>
    </xf>
    <xf numFmtId="0" fontId="45" fillId="0" borderId="32" xfId="21" applyFont="1" applyBorder="1" applyAlignment="1">
      <alignment horizontal="left" vertical="top" wrapText="1"/>
    </xf>
    <xf numFmtId="0" fontId="45" fillId="0" borderId="9" xfId="21" applyFont="1" applyBorder="1" applyAlignment="1">
      <alignment horizontal="left" vertical="top" wrapText="1"/>
    </xf>
    <xf numFmtId="0" fontId="45" fillId="0" borderId="33" xfId="21" applyFont="1" applyBorder="1" applyAlignment="1">
      <alignment horizontal="left" vertical="top" wrapText="1"/>
    </xf>
    <xf numFmtId="0" fontId="47" fillId="0" borderId="9" xfId="21" applyFont="1" applyBorder="1" applyAlignment="1">
      <alignment horizontal="left"/>
    </xf>
    <xf numFmtId="0" fontId="44" fillId="0" borderId="8" xfId="21" applyFont="1" applyBorder="1" applyAlignment="1">
      <alignment horizontal="left" wrapText="1"/>
    </xf>
    <xf numFmtId="0" fontId="44" fillId="0" borderId="8" xfId="21" applyFont="1" applyBorder="1" applyAlignment="1">
      <alignment horizontal="left"/>
    </xf>
    <xf numFmtId="0" fontId="49" fillId="0" borderId="0" xfId="21" applyFont="1" applyAlignment="1">
      <alignment horizontal="center" vertical="center"/>
    </xf>
    <xf numFmtId="0" fontId="50" fillId="11" borderId="0" xfId="21" applyFont="1" applyFill="1" applyAlignment="1">
      <alignment horizontal="center"/>
    </xf>
    <xf numFmtId="0" fontId="45" fillId="0" borderId="10" xfId="21" applyFont="1" applyFill="1" applyBorder="1" applyAlignment="1">
      <alignment horizontal="left" vertical="center"/>
    </xf>
    <xf numFmtId="1" fontId="60" fillId="0" borderId="12" xfId="21" applyNumberFormat="1" applyFont="1" applyBorder="1" applyAlignment="1">
      <alignment horizontal="center" vertical="center" wrapText="1"/>
    </xf>
    <xf numFmtId="0" fontId="60" fillId="0" borderId="12" xfId="21" applyFont="1" applyBorder="1" applyAlignment="1">
      <alignment horizontal="center" vertical="center" wrapText="1"/>
    </xf>
    <xf numFmtId="0" fontId="50" fillId="0" borderId="12" xfId="21" applyFont="1" applyBorder="1" applyAlignment="1">
      <alignment horizontal="left" vertical="center" wrapText="1"/>
    </xf>
    <xf numFmtId="1" fontId="45" fillId="0" borderId="9" xfId="21" applyNumberFormat="1" applyFont="1" applyBorder="1" applyAlignment="1">
      <alignment horizontal="left" vertical="center" wrapText="1"/>
    </xf>
    <xf numFmtId="179" fontId="45" fillId="0" borderId="9" xfId="31" applyNumberFormat="1" applyFont="1" applyBorder="1" applyAlignment="1">
      <alignment horizontal="center" vertical="center" wrapText="1"/>
    </xf>
    <xf numFmtId="0" fontId="45" fillId="0" borderId="0" xfId="21" applyFont="1" applyAlignment="1">
      <alignment horizontal="center"/>
    </xf>
    <xf numFmtId="0" fontId="46" fillId="0" borderId="0" xfId="21" applyFont="1" applyBorder="1" applyAlignment="1">
      <alignment horizontal="center" vertical="center"/>
    </xf>
    <xf numFmtId="0" fontId="50" fillId="17" borderId="0" xfId="21" applyFont="1" applyFill="1" applyBorder="1" applyAlignment="1">
      <alignment horizontal="left" vertical="center" wrapText="1"/>
    </xf>
    <xf numFmtId="0" fontId="50" fillId="17" borderId="0" xfId="21" applyFont="1" applyFill="1" applyBorder="1" applyAlignment="1">
      <alignment horizontal="left" vertical="center"/>
    </xf>
    <xf numFmtId="0" fontId="50" fillId="17" borderId="9" xfId="21" applyFont="1" applyFill="1" applyBorder="1" applyAlignment="1">
      <alignment horizontal="left" vertical="center"/>
    </xf>
    <xf numFmtId="0" fontId="60" fillId="16" borderId="37" xfId="21" applyFont="1" applyFill="1" applyBorder="1" applyAlignment="1">
      <alignment horizontal="center" vertical="center" textRotation="90"/>
    </xf>
    <xf numFmtId="0" fontId="60" fillId="16" borderId="38" xfId="21" applyFont="1" applyFill="1" applyBorder="1" applyAlignment="1">
      <alignment horizontal="center" vertical="center" textRotation="90"/>
    </xf>
    <xf numFmtId="0" fontId="60" fillId="16" borderId="39" xfId="21" applyFont="1" applyFill="1" applyBorder="1" applyAlignment="1">
      <alignment horizontal="center" vertical="center" textRotation="90"/>
    </xf>
    <xf numFmtId="0" fontId="27" fillId="0" borderId="0" xfId="21" applyFont="1" applyBorder="1" applyAlignment="1">
      <alignment horizontal="center" vertical="center"/>
    </xf>
    <xf numFmtId="14" fontId="26" fillId="11" borderId="0" xfId="21" applyNumberFormat="1" applyFont="1" applyFill="1" applyBorder="1" applyAlignment="1">
      <alignment horizontal="center"/>
    </xf>
    <xf numFmtId="0" fontId="28" fillId="0" borderId="0" xfId="21" applyFont="1" applyAlignment="1">
      <alignment horizontal="center" wrapText="1"/>
    </xf>
    <xf numFmtId="0" fontId="29" fillId="0" borderId="9" xfId="21" applyFont="1" applyBorder="1" applyAlignment="1">
      <alignment horizontal="center" vertical="top" wrapText="1"/>
    </xf>
    <xf numFmtId="0" fontId="29" fillId="0" borderId="9" xfId="21" applyFont="1" applyBorder="1" applyAlignment="1">
      <alignment horizontal="center" vertical="top"/>
    </xf>
    <xf numFmtId="0" fontId="29" fillId="16" borderId="4" xfId="21" applyFont="1" applyFill="1" applyBorder="1" applyAlignment="1">
      <alignment horizontal="center"/>
    </xf>
    <xf numFmtId="0" fontId="29" fillId="16" borderId="12" xfId="21" applyFont="1" applyFill="1" applyBorder="1" applyAlignment="1">
      <alignment horizontal="center"/>
    </xf>
    <xf numFmtId="0" fontId="29" fillId="16" borderId="34" xfId="21" applyFont="1" applyFill="1" applyBorder="1" applyAlignment="1">
      <alignment horizontal="center"/>
    </xf>
    <xf numFmtId="0" fontId="7" fillId="0" borderId="1" xfId="0" applyFont="1" applyBorder="1" applyAlignment="1">
      <alignment horizontal="left" vertical="center"/>
    </xf>
    <xf numFmtId="0" fontId="7" fillId="0" borderId="23" xfId="0" applyFont="1" applyBorder="1" applyAlignment="1">
      <alignment horizontal="left" vertical="center"/>
    </xf>
    <xf numFmtId="0" fontId="7" fillId="0" borderId="40" xfId="0" applyFont="1" applyBorder="1" applyAlignment="1">
      <alignment horizontal="left" vertical="center"/>
    </xf>
    <xf numFmtId="186" fontId="51" fillId="0" borderId="2" xfId="0" applyNumberFormat="1" applyFont="1" applyFill="1" applyBorder="1" applyAlignment="1">
      <alignment horizontal="center" vertical="center"/>
    </xf>
  </cellXfs>
  <cellStyles count="33">
    <cellStyle name="0,0_x000d__x000a_NA_x000d__x000a_" xfId="1"/>
    <cellStyle name="Comma 2" xfId="2"/>
    <cellStyle name="Currency" xfId="3" builtinId="4"/>
    <cellStyle name="Currency 2" xfId="4"/>
    <cellStyle name="Estilo 1" xfId="5"/>
    <cellStyle name="Excel Built-in Normal 1" xfId="6"/>
    <cellStyle name="Excel Built-in Normal 4" xfId="7"/>
    <cellStyle name="Hyperlink" xfId="8" builtinId="8"/>
    <cellStyle name="Normal" xfId="0" builtinId="0"/>
    <cellStyle name="Normal 2" xfId="9"/>
    <cellStyle name="Normal 2 2" xfId="10"/>
    <cellStyle name="Normal 2 2 2" xfId="11"/>
    <cellStyle name="Normal 2 3" xfId="12"/>
    <cellStyle name="Normal 2 3 2" xfId="13"/>
    <cellStyle name="Normal 2 4" xfId="14"/>
    <cellStyle name="Normal 2 4 2" xfId="15"/>
    <cellStyle name="Normal 2 5" xfId="16"/>
    <cellStyle name="Normal 2 5 2" xfId="17"/>
    <cellStyle name="Normal 2 6" xfId="18"/>
    <cellStyle name="Normal 2 6 2" xfId="19"/>
    <cellStyle name="Normal 2 7" xfId="20"/>
    <cellStyle name="Normal 3" xfId="21"/>
    <cellStyle name="Normal 3 2" xfId="22"/>
    <cellStyle name="Normal 3 2 2" xfId="23"/>
    <cellStyle name="Normal 3 3" xfId="24"/>
    <cellStyle name="Normal 3 3 2" xfId="25"/>
    <cellStyle name="Normal 3 4" xfId="26"/>
    <cellStyle name="Normal 4" xfId="27"/>
    <cellStyle name="Normal 5" xfId="28"/>
    <cellStyle name="Normal 6" xfId="29"/>
    <cellStyle name="Normal 7" xfId="30"/>
    <cellStyle name="Percent" xfId="31" builtinId="5"/>
    <cellStyle name="一般_8000bom" xfId="32"/>
  </cellStyles>
  <dxfs count="38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0"/>
        </patternFill>
      </fill>
    </dxf>
    <dxf>
      <fill>
        <patternFill>
          <bgColor rgb="FFFFFF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ndense val="0"/>
        <extend val="0"/>
        <color rgb="FF006100"/>
      </font>
      <fill>
        <patternFill>
          <bgColor rgb="FFC6EF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auto="1"/>
      </font>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9</xdr:row>
      <xdr:rowOff>66675</xdr:rowOff>
    </xdr:from>
    <xdr:to>
      <xdr:col>4</xdr:col>
      <xdr:colOff>476250</xdr:colOff>
      <xdr:row>34</xdr:row>
      <xdr:rowOff>76200</xdr:rowOff>
    </xdr:to>
    <xdr:pic>
      <xdr:nvPicPr>
        <xdr:cNvPr id="3624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200025" y="2019300"/>
          <a:ext cx="7096125" cy="4057650"/>
        </a:xfrm>
        <a:prstGeom prst="rect">
          <a:avLst/>
        </a:prstGeom>
        <a:noFill/>
        <a:ln w="9525">
          <a:noFill/>
          <a:miter lim="800000"/>
          <a:headEnd/>
          <a:tailEnd/>
        </a:ln>
      </xdr:spPr>
    </xdr:pic>
    <xdr:clientData/>
  </xdr:twoCellAnchor>
  <xdr:twoCellAnchor editAs="oneCell">
    <xdr:from>
      <xdr:col>0</xdr:col>
      <xdr:colOff>133350</xdr:colOff>
      <xdr:row>36</xdr:row>
      <xdr:rowOff>57150</xdr:rowOff>
    </xdr:from>
    <xdr:to>
      <xdr:col>3</xdr:col>
      <xdr:colOff>190500</xdr:colOff>
      <xdr:row>64</xdr:row>
      <xdr:rowOff>85725</xdr:rowOff>
    </xdr:to>
    <xdr:pic>
      <xdr:nvPicPr>
        <xdr:cNvPr id="36249"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133350" y="6381750"/>
          <a:ext cx="5086350" cy="4562475"/>
        </a:xfrm>
        <a:prstGeom prst="rect">
          <a:avLst/>
        </a:prstGeom>
        <a:noFill/>
        <a:ln w="9525">
          <a:noFill/>
          <a:miter lim="800000"/>
          <a:headEnd/>
          <a:tailEnd/>
        </a:ln>
      </xdr:spPr>
    </xdr:pic>
    <xdr:clientData/>
  </xdr:twoCellAnchor>
  <xdr:twoCellAnchor editAs="oneCell">
    <xdr:from>
      <xdr:col>3</xdr:col>
      <xdr:colOff>1057275</xdr:colOff>
      <xdr:row>36</xdr:row>
      <xdr:rowOff>66675</xdr:rowOff>
    </xdr:from>
    <xdr:to>
      <xdr:col>9</xdr:col>
      <xdr:colOff>459105</xdr:colOff>
      <xdr:row>65</xdr:row>
      <xdr:rowOff>19050</xdr:rowOff>
    </xdr:to>
    <xdr:pic>
      <xdr:nvPicPr>
        <xdr:cNvPr id="36250"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6086475" y="6391275"/>
          <a:ext cx="5591175" cy="46482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BR/Logistics/PAGAMENTOS/Custos/PLANILHAS%20DE%20PAGAMENTO/Planilha%20PAGAMENTO%20Huawei-Metso-Microsof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ise"/>
    </sheetNames>
    <sheetDataSet>
      <sheetData sheetId="0">
        <row r="1">
          <cell r="A1" t="str">
            <v>Ref.</v>
          </cell>
          <cell r="B1" t="str">
            <v>HAWB / BL</v>
          </cell>
          <cell r="C1" t="str">
            <v>Broker</v>
          </cell>
          <cell r="D1" t="str">
            <v>AG</v>
          </cell>
          <cell r="E1" t="str">
            <v>Carrier</v>
          </cell>
          <cell r="F1" t="str">
            <v>ETA 
Foxconn</v>
          </cell>
          <cell r="G1" t="str">
            <v>Sistema</v>
          </cell>
          <cell r="H1" t="str">
            <v>Prazo Máximo</v>
          </cell>
          <cell r="I1" t="str">
            <v xml:space="preserve"> 
DES
Despachante
</v>
          </cell>
          <cell r="J1" t="str">
            <v xml:space="preserve">
DNC Armazenagem
</v>
          </cell>
          <cell r="K1" t="str">
            <v>DNC
Frete nacional
FUTURE</v>
          </cell>
          <cell r="L1" t="str">
            <v>Lançamento</v>
          </cell>
        </row>
        <row r="2">
          <cell r="A2" t="str">
            <v>AHW-40164I19</v>
          </cell>
          <cell r="B2">
            <v>77996180</v>
          </cell>
          <cell r="C2" t="str">
            <v>Brasiliense</v>
          </cell>
          <cell r="D2" t="str">
            <v>CEVA</v>
          </cell>
          <cell r="E2" t="str">
            <v>Rodoimport</v>
          </cell>
          <cell r="F2">
            <v>43479</v>
          </cell>
          <cell r="G2">
            <v>43487</v>
          </cell>
          <cell r="H2">
            <v>43489</v>
          </cell>
          <cell r="I2" t="str">
            <v>23.01.2019</v>
          </cell>
          <cell r="J2" t="str">
            <v>23.01.2019</v>
          </cell>
          <cell r="K2" t="str">
            <v>-</v>
          </cell>
          <cell r="L2" t="str">
            <v>OK</v>
          </cell>
        </row>
        <row r="3">
          <cell r="A3" t="str">
            <v>AHW-40256I19</v>
          </cell>
          <cell r="B3">
            <v>78004078</v>
          </cell>
          <cell r="C3" t="str">
            <v>Brasiliense</v>
          </cell>
          <cell r="D3" t="str">
            <v>CEVA</v>
          </cell>
          <cell r="E3" t="str">
            <v>Rodoimport</v>
          </cell>
          <cell r="F3">
            <v>43483</v>
          </cell>
          <cell r="G3">
            <v>43491</v>
          </cell>
          <cell r="H3">
            <v>43493</v>
          </cell>
          <cell r="I3" t="str">
            <v>06.02.2019</v>
          </cell>
          <cell r="J3" t="str">
            <v>06.02.2019</v>
          </cell>
          <cell r="K3" t="str">
            <v>-</v>
          </cell>
          <cell r="L3" t="str">
            <v>OK</v>
          </cell>
        </row>
        <row r="4">
          <cell r="A4" t="str">
            <v>AHW-40257I19</v>
          </cell>
          <cell r="B4">
            <v>77997977</v>
          </cell>
          <cell r="C4" t="str">
            <v>Brasiliense</v>
          </cell>
          <cell r="D4" t="str">
            <v>CEVA</v>
          </cell>
          <cell r="E4" t="str">
            <v>Rodoimport</v>
          </cell>
          <cell r="F4">
            <v>43483</v>
          </cell>
          <cell r="G4">
            <v>43491</v>
          </cell>
          <cell r="H4">
            <v>43493</v>
          </cell>
          <cell r="I4" t="str">
            <v>06.02.2019</v>
          </cell>
          <cell r="J4" t="str">
            <v>06.02.2019</v>
          </cell>
          <cell r="K4" t="str">
            <v>-</v>
          </cell>
          <cell r="L4" t="str">
            <v>OK</v>
          </cell>
        </row>
        <row r="5">
          <cell r="A5" t="str">
            <v>AHW-40258I19</v>
          </cell>
          <cell r="B5">
            <v>78004068</v>
          </cell>
          <cell r="C5" t="str">
            <v>Brasiliense</v>
          </cell>
          <cell r="D5" t="str">
            <v>CEVA</v>
          </cell>
          <cell r="E5" t="str">
            <v>Rodoimport</v>
          </cell>
          <cell r="F5">
            <v>43483</v>
          </cell>
          <cell r="G5">
            <v>43491</v>
          </cell>
          <cell r="H5">
            <v>43493</v>
          </cell>
          <cell r="I5" t="str">
            <v>06.02.2019</v>
          </cell>
          <cell r="J5" t="str">
            <v>06.02.2019</v>
          </cell>
          <cell r="K5" t="str">
            <v>-</v>
          </cell>
          <cell r="L5" t="str">
            <v>OK</v>
          </cell>
        </row>
        <row r="6">
          <cell r="A6" t="str">
            <v>AHW-40854I19</v>
          </cell>
          <cell r="B6">
            <v>78007943</v>
          </cell>
          <cell r="C6" t="str">
            <v>Brasiliense</v>
          </cell>
          <cell r="D6" t="str">
            <v>CEVA</v>
          </cell>
          <cell r="E6" t="str">
            <v>Rodoimport</v>
          </cell>
          <cell r="F6">
            <v>43487</v>
          </cell>
          <cell r="G6">
            <v>43495</v>
          </cell>
          <cell r="H6">
            <v>43497</v>
          </cell>
          <cell r="I6" t="str">
            <v>08.03.2019</v>
          </cell>
          <cell r="J6" t="str">
            <v>07.03.2019</v>
          </cell>
          <cell r="K6" t="str">
            <v>-</v>
          </cell>
          <cell r="L6" t="str">
            <v>OK</v>
          </cell>
        </row>
        <row r="7">
          <cell r="A7" t="str">
            <v>AHW-40855I19</v>
          </cell>
          <cell r="B7">
            <v>78007944</v>
          </cell>
          <cell r="C7" t="str">
            <v>Brasiliense</v>
          </cell>
          <cell r="D7" t="str">
            <v>CEVA</v>
          </cell>
          <cell r="E7" t="str">
            <v>Rodoimport</v>
          </cell>
          <cell r="F7">
            <v>43487</v>
          </cell>
          <cell r="G7">
            <v>43495</v>
          </cell>
          <cell r="H7">
            <v>43497</v>
          </cell>
          <cell r="I7" t="str">
            <v>08.03.2019</v>
          </cell>
          <cell r="J7" t="str">
            <v>07.03.2019</v>
          </cell>
          <cell r="K7" t="str">
            <v>-</v>
          </cell>
          <cell r="L7" t="str">
            <v>OK</v>
          </cell>
        </row>
        <row r="8">
          <cell r="A8" t="str">
            <v>AHW-40856I19</v>
          </cell>
          <cell r="B8">
            <v>78007945</v>
          </cell>
          <cell r="C8" t="str">
            <v>Brasiliense</v>
          </cell>
          <cell r="D8" t="str">
            <v>CEVA</v>
          </cell>
          <cell r="E8" t="str">
            <v>Rodoimport</v>
          </cell>
          <cell r="F8">
            <v>43487</v>
          </cell>
          <cell r="G8">
            <v>43495</v>
          </cell>
          <cell r="H8">
            <v>43497</v>
          </cell>
          <cell r="I8" t="str">
            <v>08.03.2019</v>
          </cell>
          <cell r="J8" t="str">
            <v>07.03.2019</v>
          </cell>
          <cell r="K8" t="str">
            <v>-</v>
          </cell>
          <cell r="L8" t="str">
            <v>OK</v>
          </cell>
        </row>
        <row r="9">
          <cell r="A9" t="str">
            <v>AHW-40354I19</v>
          </cell>
          <cell r="B9">
            <v>78004265</v>
          </cell>
          <cell r="C9" t="str">
            <v>Brasiliense</v>
          </cell>
          <cell r="D9" t="str">
            <v>CEVA</v>
          </cell>
          <cell r="E9" t="str">
            <v>Rodoimport</v>
          </cell>
          <cell r="F9">
            <v>43490</v>
          </cell>
          <cell r="G9">
            <v>43498</v>
          </cell>
          <cell r="H9">
            <v>43500</v>
          </cell>
          <cell r="I9" t="str">
            <v>06.02.2019</v>
          </cell>
          <cell r="J9" t="str">
            <v>06.02.2019</v>
          </cell>
          <cell r="K9" t="str">
            <v>-</v>
          </cell>
          <cell r="L9" t="str">
            <v>OK</v>
          </cell>
        </row>
        <row r="10">
          <cell r="A10" t="str">
            <v>AHW-40396I19</v>
          </cell>
          <cell r="B10">
            <v>78004267</v>
          </cell>
          <cell r="C10" t="str">
            <v>Brasiliense</v>
          </cell>
          <cell r="D10" t="str">
            <v>CEVA</v>
          </cell>
          <cell r="E10" t="str">
            <v>Rodoimport</v>
          </cell>
          <cell r="F10">
            <v>43490</v>
          </cell>
          <cell r="G10">
            <v>43498</v>
          </cell>
          <cell r="H10">
            <v>43500</v>
          </cell>
          <cell r="I10" t="str">
            <v>06.02.2019</v>
          </cell>
          <cell r="J10" t="str">
            <v>06.02.2019</v>
          </cell>
          <cell r="K10" t="str">
            <v>-</v>
          </cell>
          <cell r="L10" t="str">
            <v>OK</v>
          </cell>
        </row>
        <row r="11">
          <cell r="A11" t="str">
            <v>AHW-40442I19</v>
          </cell>
          <cell r="B11">
            <v>78004365</v>
          </cell>
          <cell r="C11" t="str">
            <v>Brasiliense</v>
          </cell>
          <cell r="D11" t="str">
            <v>CEVA</v>
          </cell>
          <cell r="E11" t="str">
            <v>Rodoimport</v>
          </cell>
          <cell r="F11">
            <v>43495</v>
          </cell>
          <cell r="G11">
            <v>43503</v>
          </cell>
          <cell r="H11">
            <v>43505</v>
          </cell>
          <cell r="I11" t="str">
            <v>06.02.2019</v>
          </cell>
          <cell r="J11" t="str">
            <v>06.02.2019</v>
          </cell>
          <cell r="K11" t="str">
            <v>-</v>
          </cell>
          <cell r="L11" t="str">
            <v>OK</v>
          </cell>
        </row>
        <row r="12">
          <cell r="A12" t="str">
            <v>AHW-40443i19</v>
          </cell>
          <cell r="B12">
            <v>78004363</v>
          </cell>
          <cell r="C12" t="str">
            <v>Brasiliense</v>
          </cell>
          <cell r="D12" t="str">
            <v>CEVA</v>
          </cell>
          <cell r="E12" t="str">
            <v>Rodoimport</v>
          </cell>
          <cell r="F12">
            <v>43495</v>
          </cell>
          <cell r="G12">
            <v>43503</v>
          </cell>
          <cell r="H12">
            <v>43505</v>
          </cell>
          <cell r="I12" t="str">
            <v>06.02.2019</v>
          </cell>
          <cell r="J12" t="str">
            <v>06.02.2019</v>
          </cell>
          <cell r="K12" t="str">
            <v>-</v>
          </cell>
          <cell r="L12" t="str">
            <v>OK</v>
          </cell>
        </row>
        <row r="13">
          <cell r="A13" t="str">
            <v>AHW-40353I19</v>
          </cell>
          <cell r="B13">
            <v>78004266</v>
          </cell>
          <cell r="C13" t="str">
            <v>Brasiliense</v>
          </cell>
          <cell r="D13" t="str">
            <v>CEVA</v>
          </cell>
          <cell r="E13" t="str">
            <v>Rodoimport</v>
          </cell>
          <cell r="F13">
            <v>43496</v>
          </cell>
          <cell r="G13">
            <v>43504</v>
          </cell>
          <cell r="H13">
            <v>43506</v>
          </cell>
          <cell r="I13" t="str">
            <v>08.02.2019</v>
          </cell>
          <cell r="J13" t="str">
            <v>06.02.2019</v>
          </cell>
          <cell r="K13" t="str">
            <v>-</v>
          </cell>
          <cell r="L13" t="str">
            <v>OK</v>
          </cell>
        </row>
        <row r="14">
          <cell r="A14" t="str">
            <v>AHW-40397I19</v>
          </cell>
          <cell r="B14">
            <v>78004268</v>
          </cell>
          <cell r="C14" t="str">
            <v>Brasiliense</v>
          </cell>
          <cell r="D14" t="str">
            <v>CEVA</v>
          </cell>
          <cell r="E14" t="str">
            <v>Rodoimport</v>
          </cell>
          <cell r="F14">
            <v>43496</v>
          </cell>
          <cell r="G14">
            <v>43504</v>
          </cell>
          <cell r="H14">
            <v>43506</v>
          </cell>
          <cell r="I14" t="str">
            <v>08.02.2019</v>
          </cell>
          <cell r="J14" t="str">
            <v>06.02.2019</v>
          </cell>
          <cell r="K14" t="str">
            <v>-</v>
          </cell>
          <cell r="L14" t="str">
            <v>OK</v>
          </cell>
        </row>
        <row r="15">
          <cell r="A15" t="str">
            <v>AHW-40399I19</v>
          </cell>
          <cell r="B15">
            <v>78004269</v>
          </cell>
          <cell r="C15" t="str">
            <v>Brasiliense</v>
          </cell>
          <cell r="D15" t="str">
            <v>CEVA</v>
          </cell>
          <cell r="E15" t="str">
            <v>Rodoimport</v>
          </cell>
          <cell r="F15">
            <v>43496</v>
          </cell>
          <cell r="G15">
            <v>43504</v>
          </cell>
          <cell r="H15">
            <v>43506</v>
          </cell>
          <cell r="I15" t="str">
            <v>08.02.2019</v>
          </cell>
          <cell r="J15" t="str">
            <v>06.02.2019</v>
          </cell>
          <cell r="K15" t="str">
            <v>-</v>
          </cell>
          <cell r="L15" t="str">
            <v>OK</v>
          </cell>
        </row>
        <row r="16">
          <cell r="A16" t="str">
            <v>AHW-40447I19</v>
          </cell>
          <cell r="B16">
            <v>78004425</v>
          </cell>
          <cell r="C16" t="str">
            <v>Brasiliense</v>
          </cell>
          <cell r="D16" t="str">
            <v>CEVA</v>
          </cell>
          <cell r="E16" t="str">
            <v>Rodoimport</v>
          </cell>
          <cell r="F16">
            <v>43496</v>
          </cell>
          <cell r="G16">
            <v>43504</v>
          </cell>
          <cell r="H16">
            <v>43506</v>
          </cell>
          <cell r="I16" t="str">
            <v>08.02.2019</v>
          </cell>
          <cell r="J16" t="str">
            <v>06.02.2019</v>
          </cell>
          <cell r="K16" t="str">
            <v>-</v>
          </cell>
          <cell r="L16" t="str">
            <v>OK</v>
          </cell>
        </row>
        <row r="17">
          <cell r="A17" t="str">
            <v>AHW-40448I19</v>
          </cell>
          <cell r="B17">
            <v>78006033</v>
          </cell>
          <cell r="C17" t="str">
            <v>Brasiliense</v>
          </cell>
          <cell r="D17" t="str">
            <v>CEVA</v>
          </cell>
          <cell r="E17" t="str">
            <v>Rodoimport</v>
          </cell>
          <cell r="F17">
            <v>43496</v>
          </cell>
          <cell r="G17">
            <v>43504</v>
          </cell>
          <cell r="H17">
            <v>43506</v>
          </cell>
          <cell r="I17" t="str">
            <v>08.02.2019</v>
          </cell>
          <cell r="J17" t="str">
            <v>06.02.2019</v>
          </cell>
          <cell r="K17" t="str">
            <v>-</v>
          </cell>
          <cell r="L17" t="str">
            <v>OK</v>
          </cell>
        </row>
        <row r="18">
          <cell r="A18" t="str">
            <v>AHW-40531I19</v>
          </cell>
          <cell r="B18">
            <v>78006152</v>
          </cell>
          <cell r="C18" t="str">
            <v>Brasiliense</v>
          </cell>
          <cell r="D18" t="str">
            <v>CEVA</v>
          </cell>
          <cell r="E18" t="str">
            <v>Rodoimport</v>
          </cell>
          <cell r="F18">
            <v>43502</v>
          </cell>
          <cell r="G18">
            <v>43510</v>
          </cell>
          <cell r="H18">
            <v>43512</v>
          </cell>
          <cell r="I18" t="str">
            <v>12.02.2019</v>
          </cell>
          <cell r="J18" t="str">
            <v>21.02.2019</v>
          </cell>
          <cell r="K18" t="str">
            <v>-</v>
          </cell>
          <cell r="L18" t="str">
            <v>OK</v>
          </cell>
        </row>
        <row r="19">
          <cell r="A19" t="str">
            <v>AHW-40546I19</v>
          </cell>
          <cell r="B19">
            <v>78006205</v>
          </cell>
          <cell r="C19" t="str">
            <v>Brasiliense</v>
          </cell>
          <cell r="D19" t="str">
            <v>CEVA</v>
          </cell>
          <cell r="E19" t="str">
            <v>Rodoimport</v>
          </cell>
          <cell r="F19">
            <v>43502</v>
          </cell>
          <cell r="G19">
            <v>43510</v>
          </cell>
          <cell r="H19">
            <v>43512</v>
          </cell>
          <cell r="I19" t="str">
            <v>12.02.2019</v>
          </cell>
          <cell r="J19" t="str">
            <v>21.02.2019</v>
          </cell>
          <cell r="K19" t="str">
            <v>-</v>
          </cell>
          <cell r="L19" t="str">
            <v>OK</v>
          </cell>
        </row>
        <row r="20">
          <cell r="A20" t="str">
            <v>AHW-40640I19</v>
          </cell>
          <cell r="B20">
            <v>78006281</v>
          </cell>
          <cell r="C20" t="str">
            <v>Brasiliense</v>
          </cell>
          <cell r="D20" t="str">
            <v>CEVA</v>
          </cell>
          <cell r="E20" t="str">
            <v>Rodoimport</v>
          </cell>
          <cell r="F20">
            <v>43503</v>
          </cell>
          <cell r="G20">
            <v>43511</v>
          </cell>
          <cell r="H20">
            <v>43513</v>
          </cell>
          <cell r="I20" t="str">
            <v>12.02.2019</v>
          </cell>
          <cell r="J20" t="str">
            <v>21.02.2019</v>
          </cell>
          <cell r="K20" t="str">
            <v>-</v>
          </cell>
          <cell r="L20" t="str">
            <v>OK</v>
          </cell>
        </row>
        <row r="21">
          <cell r="A21" t="str">
            <v>SHW-40255I19</v>
          </cell>
          <cell r="B21">
            <v>149805986749</v>
          </cell>
          <cell r="C21" t="str">
            <v>Original</v>
          </cell>
          <cell r="D21" t="str">
            <v>CEVA</v>
          </cell>
          <cell r="E21" t="str">
            <v>TKT</v>
          </cell>
          <cell r="F21">
            <v>43511</v>
          </cell>
          <cell r="G21">
            <v>43519</v>
          </cell>
          <cell r="H21">
            <v>43521</v>
          </cell>
          <cell r="I21" t="str">
            <v>17.05.2019</v>
          </cell>
          <cell r="J21" t="str">
            <v>21.03.2019</v>
          </cell>
          <cell r="K21" t="str">
            <v>-</v>
          </cell>
          <cell r="L21" t="str">
            <v>OK</v>
          </cell>
        </row>
        <row r="22">
          <cell r="A22" t="str">
            <v>AHW-40699I19</v>
          </cell>
          <cell r="B22">
            <v>78006328</v>
          </cell>
          <cell r="C22" t="str">
            <v>Brasiliense</v>
          </cell>
          <cell r="D22" t="str">
            <v>CEVA</v>
          </cell>
          <cell r="E22" t="str">
            <v>Rodoimport</v>
          </cell>
          <cell r="F22">
            <v>43514</v>
          </cell>
          <cell r="G22">
            <v>43522</v>
          </cell>
          <cell r="H22">
            <v>43524</v>
          </cell>
          <cell r="I22" t="str">
            <v>08.03.2019</v>
          </cell>
          <cell r="J22" t="str">
            <v>07.03.2019</v>
          </cell>
          <cell r="K22" t="str">
            <v>-</v>
          </cell>
          <cell r="L22" t="str">
            <v>OK</v>
          </cell>
        </row>
        <row r="23">
          <cell r="A23" t="str">
            <v>AHW-40710I19</v>
          </cell>
          <cell r="B23">
            <v>78006339</v>
          </cell>
          <cell r="C23" t="str">
            <v>Brasiliense</v>
          </cell>
          <cell r="D23" t="str">
            <v>CEVA</v>
          </cell>
          <cell r="E23" t="str">
            <v>Rodoimport</v>
          </cell>
          <cell r="F23">
            <v>43514</v>
          </cell>
          <cell r="G23">
            <v>43522</v>
          </cell>
          <cell r="H23">
            <v>43524</v>
          </cell>
          <cell r="I23" t="str">
            <v>08.03.2019</v>
          </cell>
          <cell r="J23" t="str">
            <v>07.03.2019</v>
          </cell>
          <cell r="K23" t="str">
            <v>-</v>
          </cell>
          <cell r="L23" t="str">
            <v>OK</v>
          </cell>
        </row>
        <row r="24">
          <cell r="A24" t="str">
            <v>AHW-40749I19</v>
          </cell>
          <cell r="B24">
            <v>78006405</v>
          </cell>
          <cell r="C24" t="str">
            <v>Brasiliense</v>
          </cell>
          <cell r="D24" t="str">
            <v>CEVA</v>
          </cell>
          <cell r="E24" t="str">
            <v>Rodoimport</v>
          </cell>
          <cell r="F24">
            <v>43515</v>
          </cell>
          <cell r="G24">
            <v>43523</v>
          </cell>
          <cell r="H24">
            <v>43525</v>
          </cell>
          <cell r="I24" t="str">
            <v>08.03.2019</v>
          </cell>
          <cell r="J24" t="str">
            <v>07.03.2019</v>
          </cell>
          <cell r="K24" t="str">
            <v>-</v>
          </cell>
          <cell r="L24" t="str">
            <v>OK</v>
          </cell>
        </row>
        <row r="25">
          <cell r="A25" t="str">
            <v>AHW-40878I19</v>
          </cell>
          <cell r="B25">
            <v>78011108</v>
          </cell>
          <cell r="C25" t="str">
            <v>Brasiliense</v>
          </cell>
          <cell r="D25" t="str">
            <v>CEVA</v>
          </cell>
          <cell r="E25" t="str">
            <v>Rodoimport</v>
          </cell>
          <cell r="F25">
            <v>43523</v>
          </cell>
          <cell r="G25">
            <v>43531</v>
          </cell>
          <cell r="H25">
            <v>43533</v>
          </cell>
          <cell r="I25" t="str">
            <v>13.03.2019</v>
          </cell>
          <cell r="J25" t="str">
            <v>07.03.2019</v>
          </cell>
          <cell r="K25" t="str">
            <v>-</v>
          </cell>
          <cell r="L25" t="str">
            <v>OK</v>
          </cell>
        </row>
        <row r="26">
          <cell r="A26" t="str">
            <v>AHW-40902I19</v>
          </cell>
          <cell r="B26">
            <v>78011137</v>
          </cell>
          <cell r="C26" t="str">
            <v>Brasiliense</v>
          </cell>
          <cell r="D26" t="str">
            <v>CEVA</v>
          </cell>
          <cell r="E26" t="str">
            <v>Rodoimport</v>
          </cell>
          <cell r="F26">
            <v>43523</v>
          </cell>
          <cell r="G26">
            <v>43531</v>
          </cell>
          <cell r="H26">
            <v>43533</v>
          </cell>
          <cell r="I26" t="str">
            <v>13.03.2019</v>
          </cell>
          <cell r="J26" t="str">
            <v>07.03.2019</v>
          </cell>
          <cell r="K26" t="str">
            <v>-</v>
          </cell>
          <cell r="L26" t="str">
            <v>OK</v>
          </cell>
        </row>
        <row r="27">
          <cell r="A27" t="str">
            <v>AHW-41281I19</v>
          </cell>
          <cell r="B27">
            <v>78013150</v>
          </cell>
          <cell r="C27" t="str">
            <v>Brasiliense</v>
          </cell>
          <cell r="D27" t="str">
            <v>CEVA</v>
          </cell>
          <cell r="E27" t="str">
            <v>Rodoimport</v>
          </cell>
          <cell r="F27">
            <v>43539</v>
          </cell>
          <cell r="G27">
            <v>43547</v>
          </cell>
          <cell r="H27">
            <v>43549</v>
          </cell>
          <cell r="I27" t="str">
            <v>03.04.2019</v>
          </cell>
          <cell r="J27" t="str">
            <v>20.03.2019</v>
          </cell>
          <cell r="K27" t="str">
            <v>-</v>
          </cell>
          <cell r="L27" t="str">
            <v>OK</v>
          </cell>
        </row>
        <row r="28">
          <cell r="A28" t="str">
            <v>AHW-41282I19</v>
          </cell>
          <cell r="B28">
            <v>78013147</v>
          </cell>
          <cell r="C28" t="str">
            <v>Brasiliense</v>
          </cell>
          <cell r="D28" t="str">
            <v>CEVA</v>
          </cell>
          <cell r="E28" t="str">
            <v>Rodoimport</v>
          </cell>
          <cell r="F28">
            <v>43539</v>
          </cell>
          <cell r="G28">
            <v>43547</v>
          </cell>
          <cell r="H28">
            <v>43549</v>
          </cell>
          <cell r="I28" t="str">
            <v>03.04.2019</v>
          </cell>
          <cell r="J28" t="str">
            <v>20.03.2019</v>
          </cell>
          <cell r="K28" t="str">
            <v>-</v>
          </cell>
          <cell r="L28" t="str">
            <v>OK</v>
          </cell>
        </row>
        <row r="29">
          <cell r="A29" t="str">
            <v>AHW-41286I19</v>
          </cell>
          <cell r="B29">
            <v>78013149</v>
          </cell>
          <cell r="C29" t="str">
            <v>Brasiliense</v>
          </cell>
          <cell r="D29" t="str">
            <v>CEVA</v>
          </cell>
          <cell r="E29" t="str">
            <v>Rodoimport</v>
          </cell>
          <cell r="F29">
            <v>43539</v>
          </cell>
          <cell r="G29">
            <v>43547</v>
          </cell>
          <cell r="H29">
            <v>43549</v>
          </cell>
          <cell r="I29" t="str">
            <v>03.04.2019</v>
          </cell>
          <cell r="J29" t="str">
            <v>20.03.2019</v>
          </cell>
          <cell r="K29" t="str">
            <v>-</v>
          </cell>
          <cell r="L29" t="str">
            <v>OK</v>
          </cell>
        </row>
        <row r="30">
          <cell r="A30" t="str">
            <v>AHW-41279I19</v>
          </cell>
          <cell r="B30">
            <v>78013148</v>
          </cell>
          <cell r="C30" t="str">
            <v>Brasiliense</v>
          </cell>
          <cell r="D30" t="str">
            <v>CEVA</v>
          </cell>
          <cell r="E30" t="str">
            <v>Rodoimport</v>
          </cell>
          <cell r="F30">
            <v>43540</v>
          </cell>
          <cell r="G30">
            <v>43548</v>
          </cell>
          <cell r="H30">
            <v>43550</v>
          </cell>
          <cell r="I30" t="str">
            <v>03.04.2019</v>
          </cell>
          <cell r="J30" t="str">
            <v>05.04.2019</v>
          </cell>
          <cell r="K30" t="str">
            <v>-</v>
          </cell>
          <cell r="L30" t="str">
            <v>OK</v>
          </cell>
        </row>
        <row r="31">
          <cell r="A31" t="str">
            <v>AHW-41280I19</v>
          </cell>
          <cell r="B31">
            <v>78013145</v>
          </cell>
          <cell r="C31" t="str">
            <v>Brasiliense</v>
          </cell>
          <cell r="D31" t="str">
            <v>CEVA</v>
          </cell>
          <cell r="E31" t="str">
            <v>Rodoimport</v>
          </cell>
          <cell r="F31">
            <v>43540</v>
          </cell>
          <cell r="G31">
            <v>43548</v>
          </cell>
          <cell r="H31">
            <v>43550</v>
          </cell>
          <cell r="I31" t="str">
            <v>03.04.2019</v>
          </cell>
          <cell r="J31" t="str">
            <v>05.04.2019</v>
          </cell>
          <cell r="K31" t="str">
            <v>-</v>
          </cell>
          <cell r="L31" t="str">
            <v>OK</v>
          </cell>
        </row>
        <row r="32">
          <cell r="A32" t="str">
            <v>AHW-41285I19</v>
          </cell>
          <cell r="B32">
            <v>78013146</v>
          </cell>
          <cell r="C32" t="str">
            <v>Brasiliense</v>
          </cell>
          <cell r="D32" t="str">
            <v>CEVA</v>
          </cell>
          <cell r="E32" t="str">
            <v>Rodoimport</v>
          </cell>
          <cell r="F32">
            <v>43540</v>
          </cell>
          <cell r="G32">
            <v>43548</v>
          </cell>
          <cell r="H32">
            <v>43550</v>
          </cell>
          <cell r="I32" t="str">
            <v>03.04.2019</v>
          </cell>
          <cell r="J32" t="str">
            <v>05.04.2019</v>
          </cell>
          <cell r="K32" t="str">
            <v>-</v>
          </cell>
          <cell r="L32" t="str">
            <v>OK</v>
          </cell>
        </row>
        <row r="33">
          <cell r="A33" t="str">
            <v>AHW-41302I19</v>
          </cell>
          <cell r="B33" t="str">
            <v xml:space="preserve">80436206
</v>
          </cell>
          <cell r="C33" t="str">
            <v>Brasiliense</v>
          </cell>
          <cell r="D33" t="str">
            <v>CEVA</v>
          </cell>
          <cell r="E33" t="str">
            <v>Rodoimport</v>
          </cell>
          <cell r="F33">
            <v>43542</v>
          </cell>
          <cell r="G33">
            <v>43550</v>
          </cell>
          <cell r="H33">
            <v>43552</v>
          </cell>
          <cell r="I33" t="str">
            <v>03.04.2019</v>
          </cell>
          <cell r="J33" t="str">
            <v>05.04.2019</v>
          </cell>
          <cell r="K33" t="str">
            <v>-</v>
          </cell>
          <cell r="L33" t="str">
            <v>OK</v>
          </cell>
        </row>
        <row r="34">
          <cell r="A34" t="str">
            <v>AHW-41130I19</v>
          </cell>
          <cell r="B34">
            <v>190175</v>
          </cell>
          <cell r="C34" t="str">
            <v>Brasiliense</v>
          </cell>
          <cell r="D34" t="str">
            <v>ES</v>
          </cell>
          <cell r="E34" t="str">
            <v>Future</v>
          </cell>
          <cell r="F34">
            <v>43545</v>
          </cell>
          <cell r="G34">
            <v>43553</v>
          </cell>
          <cell r="H34">
            <v>43555</v>
          </cell>
          <cell r="I34" t="str">
            <v>03.04.2019</v>
          </cell>
          <cell r="J34" t="str">
            <v>21.03.2019</v>
          </cell>
          <cell r="K34" t="str">
            <v>-</v>
          </cell>
          <cell r="L34" t="str">
            <v>OK</v>
          </cell>
        </row>
        <row r="35">
          <cell r="A35" t="str">
            <v>AHW-41360I19</v>
          </cell>
          <cell r="B35">
            <v>80436359</v>
          </cell>
          <cell r="C35" t="str">
            <v>Brasiliense</v>
          </cell>
          <cell r="D35" t="str">
            <v>CEVA</v>
          </cell>
          <cell r="E35" t="str">
            <v>Rodoimport</v>
          </cell>
          <cell r="F35">
            <v>43549</v>
          </cell>
          <cell r="G35">
            <v>43557</v>
          </cell>
          <cell r="H35">
            <v>43559</v>
          </cell>
          <cell r="I35" t="str">
            <v>03.04.2019</v>
          </cell>
          <cell r="J35" t="str">
            <v>05.04.2019</v>
          </cell>
          <cell r="K35" t="str">
            <v>-</v>
          </cell>
          <cell r="L35" t="str">
            <v>OK</v>
          </cell>
        </row>
        <row r="36">
          <cell r="A36" t="str">
            <v>AHW-41422I19</v>
          </cell>
          <cell r="B36">
            <v>80436447</v>
          </cell>
          <cell r="C36" t="str">
            <v>Brasiliense</v>
          </cell>
          <cell r="D36" t="str">
            <v>CEVA</v>
          </cell>
          <cell r="E36" t="str">
            <v>Rodoimport</v>
          </cell>
          <cell r="F36">
            <v>43552</v>
          </cell>
          <cell r="G36">
            <v>43560</v>
          </cell>
          <cell r="H36">
            <v>43562</v>
          </cell>
          <cell r="I36" t="str">
            <v>08.04.2019</v>
          </cell>
          <cell r="J36" t="str">
            <v>05.04.2019</v>
          </cell>
          <cell r="K36" t="str">
            <v>-</v>
          </cell>
          <cell r="L36" t="str">
            <v>OK</v>
          </cell>
        </row>
        <row r="37">
          <cell r="A37" t="str">
            <v>AHW-41466I19</v>
          </cell>
          <cell r="B37">
            <v>80436489</v>
          </cell>
          <cell r="C37" t="str">
            <v>Brasiliense</v>
          </cell>
          <cell r="D37" t="str">
            <v>CEVA</v>
          </cell>
          <cell r="E37" t="str">
            <v>Rodoimport</v>
          </cell>
          <cell r="F37">
            <v>43552</v>
          </cell>
          <cell r="G37">
            <v>43560</v>
          </cell>
          <cell r="H37">
            <v>43562</v>
          </cell>
          <cell r="I37" t="str">
            <v>08.04.2019</v>
          </cell>
          <cell r="J37" t="str">
            <v>05.04.2019</v>
          </cell>
          <cell r="K37" t="str">
            <v>-</v>
          </cell>
          <cell r="L37" t="str">
            <v>OK</v>
          </cell>
        </row>
        <row r="38">
          <cell r="A38" t="str">
            <v>AHW-41543I19</v>
          </cell>
          <cell r="B38">
            <v>80442583</v>
          </cell>
          <cell r="C38" t="str">
            <v>Brasiliense</v>
          </cell>
          <cell r="D38" t="str">
            <v>CEVA</v>
          </cell>
          <cell r="E38" t="str">
            <v>Rodoimport</v>
          </cell>
          <cell r="F38">
            <v>43558</v>
          </cell>
          <cell r="G38">
            <v>43566</v>
          </cell>
          <cell r="H38">
            <v>43568</v>
          </cell>
          <cell r="I38" t="str">
            <v>11.04.2019</v>
          </cell>
          <cell r="J38" t="str">
            <v>23.04.2019</v>
          </cell>
          <cell r="K38" t="str">
            <v>-</v>
          </cell>
          <cell r="L38" t="str">
            <v>OK</v>
          </cell>
        </row>
        <row r="39">
          <cell r="A39" t="str">
            <v>AHW-41578I19</v>
          </cell>
          <cell r="B39">
            <v>80442612</v>
          </cell>
          <cell r="C39" t="str">
            <v>Brasiliense</v>
          </cell>
          <cell r="D39" t="str">
            <v>CEVA</v>
          </cell>
          <cell r="E39" t="str">
            <v>Rodoimport</v>
          </cell>
          <cell r="F39">
            <v>43558</v>
          </cell>
          <cell r="G39">
            <v>43566</v>
          </cell>
          <cell r="H39">
            <v>43568</v>
          </cell>
          <cell r="I39" t="str">
            <v>11.04.2019</v>
          </cell>
          <cell r="J39" t="str">
            <v>23.04.2019</v>
          </cell>
          <cell r="K39" t="str">
            <v>-</v>
          </cell>
          <cell r="L39" t="str">
            <v>OK</v>
          </cell>
        </row>
        <row r="40">
          <cell r="A40" t="str">
            <v>AHW-41580I19</v>
          </cell>
          <cell r="B40">
            <v>80442613</v>
          </cell>
          <cell r="C40" t="str">
            <v>Brasiliense</v>
          </cell>
          <cell r="D40" t="str">
            <v>CEVA</v>
          </cell>
          <cell r="E40" t="str">
            <v>Rodoimport</v>
          </cell>
          <cell r="F40">
            <v>43558</v>
          </cell>
          <cell r="G40">
            <v>43566</v>
          </cell>
          <cell r="H40">
            <v>43568</v>
          </cell>
          <cell r="I40" t="str">
            <v>11.04.2019</v>
          </cell>
          <cell r="J40" t="str">
            <v>23.04.2019</v>
          </cell>
          <cell r="K40" t="str">
            <v>-</v>
          </cell>
          <cell r="L40" t="str">
            <v>OK</v>
          </cell>
        </row>
        <row r="41">
          <cell r="A41" t="str">
            <v>AHW-41579I19</v>
          </cell>
          <cell r="B41">
            <v>80442625</v>
          </cell>
          <cell r="C41" t="str">
            <v>Brasiliense</v>
          </cell>
          <cell r="D41" t="str">
            <v>CEVA</v>
          </cell>
          <cell r="E41" t="str">
            <v>Rodoimport</v>
          </cell>
          <cell r="F41">
            <v>43559</v>
          </cell>
          <cell r="G41">
            <v>43567</v>
          </cell>
          <cell r="H41">
            <v>43569</v>
          </cell>
          <cell r="I41" t="str">
            <v>12.04.2019</v>
          </cell>
          <cell r="J41" t="str">
            <v>23.04.2019</v>
          </cell>
          <cell r="K41" t="str">
            <v>-</v>
          </cell>
          <cell r="L41" t="str">
            <v>OK</v>
          </cell>
        </row>
        <row r="42">
          <cell r="A42" t="str">
            <v>AHW-41585I19</v>
          </cell>
          <cell r="B42">
            <v>80442665</v>
          </cell>
          <cell r="C42" t="str">
            <v>Brasiliense</v>
          </cell>
          <cell r="D42" t="str">
            <v>CEVA</v>
          </cell>
          <cell r="E42" t="str">
            <v>Rodoimport</v>
          </cell>
          <cell r="F42">
            <v>43559</v>
          </cell>
          <cell r="G42">
            <v>43567</v>
          </cell>
          <cell r="H42">
            <v>43569</v>
          </cell>
          <cell r="I42" t="str">
            <v>12.04.2019</v>
          </cell>
          <cell r="J42" t="str">
            <v>23.04.2019</v>
          </cell>
          <cell r="K42" t="str">
            <v>-</v>
          </cell>
          <cell r="L42" t="str">
            <v>OK</v>
          </cell>
        </row>
        <row r="43">
          <cell r="A43" t="str">
            <v>AHW-41612I19</v>
          </cell>
          <cell r="B43">
            <v>80442708</v>
          </cell>
          <cell r="C43" t="str">
            <v>Brasiliense</v>
          </cell>
          <cell r="D43" t="str">
            <v>CEVA</v>
          </cell>
          <cell r="E43" t="str">
            <v>Rodoimport</v>
          </cell>
          <cell r="F43">
            <v>43560</v>
          </cell>
          <cell r="G43">
            <v>43568</v>
          </cell>
          <cell r="H43">
            <v>43570</v>
          </cell>
          <cell r="I43" t="str">
            <v>12.04.2019</v>
          </cell>
          <cell r="J43" t="str">
            <v>23.04.2019</v>
          </cell>
          <cell r="K43" t="str">
            <v>-</v>
          </cell>
          <cell r="L43" t="str">
            <v>OK</v>
          </cell>
        </row>
        <row r="44">
          <cell r="A44" t="str">
            <v>AHW-41615I19</v>
          </cell>
          <cell r="B44">
            <v>80442706</v>
          </cell>
          <cell r="C44" t="str">
            <v>Brasiliense</v>
          </cell>
          <cell r="D44" t="str">
            <v>CEVA</v>
          </cell>
          <cell r="E44" t="str">
            <v>Rodoimport</v>
          </cell>
          <cell r="F44">
            <v>43560</v>
          </cell>
          <cell r="G44">
            <v>43568</v>
          </cell>
          <cell r="H44">
            <v>43570</v>
          </cell>
          <cell r="I44" t="str">
            <v>12.04.2019</v>
          </cell>
          <cell r="J44" t="str">
            <v>23.04.2019</v>
          </cell>
          <cell r="K44" t="str">
            <v>-</v>
          </cell>
          <cell r="L44" t="str">
            <v>OK</v>
          </cell>
        </row>
        <row r="45">
          <cell r="A45" t="str">
            <v>AHW-41619I19</v>
          </cell>
          <cell r="B45">
            <v>80442707</v>
          </cell>
          <cell r="C45" t="str">
            <v>Brasiliense</v>
          </cell>
          <cell r="D45" t="str">
            <v>CEVA</v>
          </cell>
          <cell r="E45" t="str">
            <v>Rodoimport</v>
          </cell>
          <cell r="F45">
            <v>43560</v>
          </cell>
          <cell r="G45">
            <v>43568</v>
          </cell>
          <cell r="H45">
            <v>43570</v>
          </cell>
          <cell r="I45" t="str">
            <v>12.04.2019</v>
          </cell>
          <cell r="J45" t="str">
            <v>23.04.2019</v>
          </cell>
          <cell r="K45" t="str">
            <v>-</v>
          </cell>
          <cell r="L45" t="str">
            <v>OK</v>
          </cell>
        </row>
        <row r="46">
          <cell r="A46" t="str">
            <v>AHW-41638I19</v>
          </cell>
          <cell r="B46">
            <v>80442735</v>
          </cell>
          <cell r="C46" t="str">
            <v>Brasiliense</v>
          </cell>
          <cell r="D46" t="str">
            <v>CEVA</v>
          </cell>
          <cell r="E46" t="str">
            <v>Rodoimport</v>
          </cell>
          <cell r="F46">
            <v>43560</v>
          </cell>
          <cell r="G46">
            <v>43568</v>
          </cell>
          <cell r="H46">
            <v>43570</v>
          </cell>
          <cell r="I46" t="str">
            <v>12.04.2019</v>
          </cell>
          <cell r="J46" t="str">
            <v>23.04.2019</v>
          </cell>
          <cell r="K46" t="str">
            <v>-</v>
          </cell>
          <cell r="L46" t="str">
            <v>OK</v>
          </cell>
        </row>
        <row r="47">
          <cell r="A47" t="str">
            <v>AHW-41628I19</v>
          </cell>
          <cell r="B47">
            <v>80442736</v>
          </cell>
          <cell r="C47" t="str">
            <v>Brasiliense</v>
          </cell>
          <cell r="D47" t="str">
            <v>CEVA</v>
          </cell>
          <cell r="E47" t="str">
            <v>Rodoimport</v>
          </cell>
          <cell r="F47">
            <v>43564</v>
          </cell>
          <cell r="G47">
            <v>43572</v>
          </cell>
          <cell r="H47">
            <v>43574</v>
          </cell>
          <cell r="I47" t="str">
            <v>18.04.2019</v>
          </cell>
          <cell r="J47" t="str">
            <v>23.04.2019</v>
          </cell>
          <cell r="K47" t="str">
            <v>-</v>
          </cell>
          <cell r="L47" t="str">
            <v>OK</v>
          </cell>
        </row>
        <row r="48">
          <cell r="A48" t="str">
            <v>AHW-41634I19</v>
          </cell>
          <cell r="B48">
            <v>80442737</v>
          </cell>
          <cell r="C48" t="str">
            <v>Brasiliense</v>
          </cell>
          <cell r="D48" t="str">
            <v>CEVA</v>
          </cell>
          <cell r="E48" t="str">
            <v>Rodoimport</v>
          </cell>
          <cell r="F48">
            <v>43564</v>
          </cell>
          <cell r="G48">
            <v>43572</v>
          </cell>
          <cell r="H48">
            <v>43574</v>
          </cell>
          <cell r="I48" t="str">
            <v>18.04.2019</v>
          </cell>
          <cell r="J48" t="str">
            <v>23.04.2019</v>
          </cell>
          <cell r="K48" t="str">
            <v>-</v>
          </cell>
          <cell r="L48" t="str">
            <v>OK</v>
          </cell>
        </row>
        <row r="49">
          <cell r="A49" t="str">
            <v>AHW-41061I19</v>
          </cell>
          <cell r="B49">
            <v>581001745</v>
          </cell>
          <cell r="C49" t="str">
            <v>Original</v>
          </cell>
          <cell r="D49" t="str">
            <v>CEVA</v>
          </cell>
          <cell r="E49" t="str">
            <v>TKT</v>
          </cell>
          <cell r="F49">
            <v>43565</v>
          </cell>
          <cell r="G49">
            <v>43573</v>
          </cell>
          <cell r="H49">
            <v>43575</v>
          </cell>
          <cell r="I49" t="str">
            <v>16.04.2019</v>
          </cell>
          <cell r="J49" t="str">
            <v>12.04.2019</v>
          </cell>
          <cell r="K49" t="str">
            <v>-</v>
          </cell>
          <cell r="L49" t="str">
            <v>OK</v>
          </cell>
        </row>
        <row r="50">
          <cell r="A50" t="str">
            <v>AHW-41623I19</v>
          </cell>
          <cell r="B50">
            <v>80442664</v>
          </cell>
          <cell r="C50" t="str">
            <v>Brasiliense</v>
          </cell>
          <cell r="D50" t="str">
            <v>CEVA</v>
          </cell>
          <cell r="E50" t="str">
            <v>Rodoimport</v>
          </cell>
          <cell r="F50">
            <v>43565</v>
          </cell>
          <cell r="G50">
            <v>43573</v>
          </cell>
          <cell r="H50">
            <v>43575</v>
          </cell>
          <cell r="I50" t="str">
            <v>18.04.2019</v>
          </cell>
          <cell r="J50" t="str">
            <v>23.04.2019</v>
          </cell>
          <cell r="K50" t="str">
            <v>-</v>
          </cell>
          <cell r="L50" t="str">
            <v>OK</v>
          </cell>
        </row>
        <row r="51">
          <cell r="A51" t="str">
            <v>AHW-41730I19</v>
          </cell>
          <cell r="B51">
            <v>80442861</v>
          </cell>
          <cell r="C51" t="str">
            <v>Brasiliense</v>
          </cell>
          <cell r="D51" t="str">
            <v>CEVA</v>
          </cell>
          <cell r="E51" t="str">
            <v>Rodoimport</v>
          </cell>
          <cell r="F51">
            <v>43567</v>
          </cell>
          <cell r="G51">
            <v>43575</v>
          </cell>
          <cell r="H51">
            <v>43577</v>
          </cell>
          <cell r="I51" t="str">
            <v>18.04.2019</v>
          </cell>
          <cell r="J51" t="str">
            <v>23.04.2019</v>
          </cell>
          <cell r="K51" t="str">
            <v>-</v>
          </cell>
          <cell r="L51" t="str">
            <v>OK</v>
          </cell>
        </row>
        <row r="52">
          <cell r="A52" t="str">
            <v>SHW-41062I19</v>
          </cell>
          <cell r="B52">
            <v>149900640901</v>
          </cell>
          <cell r="C52" t="str">
            <v>Original</v>
          </cell>
          <cell r="D52" t="str">
            <v>CEVA</v>
          </cell>
          <cell r="E52" t="str">
            <v>TKT</v>
          </cell>
          <cell r="F52">
            <v>43572</v>
          </cell>
          <cell r="G52">
            <v>43580</v>
          </cell>
          <cell r="H52">
            <v>43582</v>
          </cell>
          <cell r="I52" t="str">
            <v>02.05.2019</v>
          </cell>
          <cell r="J52" t="str">
            <v>22.04.2019</v>
          </cell>
          <cell r="K52" t="str">
            <v>-</v>
          </cell>
          <cell r="L52" t="str">
            <v>OK</v>
          </cell>
        </row>
        <row r="53">
          <cell r="A53" t="str">
            <v>SHW-41303I19</v>
          </cell>
          <cell r="B53">
            <v>581127530</v>
          </cell>
          <cell r="C53" t="str">
            <v>Original</v>
          </cell>
          <cell r="D53" t="str">
            <v>CEVA</v>
          </cell>
          <cell r="E53" t="str">
            <v>TKT</v>
          </cell>
          <cell r="F53">
            <v>43572</v>
          </cell>
          <cell r="G53">
            <v>43580</v>
          </cell>
          <cell r="H53">
            <v>43582</v>
          </cell>
          <cell r="I53" t="str">
            <v>02.05.2019</v>
          </cell>
          <cell r="J53" t="str">
            <v>22.04.2019</v>
          </cell>
          <cell r="K53" t="str">
            <v>-</v>
          </cell>
          <cell r="L53" t="str">
            <v>OK</v>
          </cell>
        </row>
        <row r="54">
          <cell r="A54" t="str">
            <v>AHW-41752I19</v>
          </cell>
          <cell r="B54">
            <v>80442955</v>
          </cell>
          <cell r="C54" t="str">
            <v>Brasiliense</v>
          </cell>
          <cell r="D54" t="str">
            <v>CEVA</v>
          </cell>
          <cell r="E54" t="str">
            <v>Rodoimport</v>
          </cell>
          <cell r="F54">
            <v>43572</v>
          </cell>
          <cell r="G54">
            <v>43580</v>
          </cell>
          <cell r="H54">
            <v>43582</v>
          </cell>
          <cell r="I54" t="str">
            <v>08.05.2019</v>
          </cell>
          <cell r="J54" t="str">
            <v>06.05.2019</v>
          </cell>
          <cell r="K54" t="str">
            <v>-</v>
          </cell>
          <cell r="L54" t="str">
            <v>OK</v>
          </cell>
        </row>
        <row r="55">
          <cell r="A55" t="str">
            <v>AHW-41783I19</v>
          </cell>
          <cell r="B55">
            <v>80442963</v>
          </cell>
          <cell r="C55" t="str">
            <v>Brasiliense</v>
          </cell>
          <cell r="D55" t="str">
            <v>CEVA</v>
          </cell>
          <cell r="E55" t="str">
            <v>Rodoimport</v>
          </cell>
          <cell r="F55">
            <v>43572</v>
          </cell>
          <cell r="G55">
            <v>43580</v>
          </cell>
          <cell r="H55">
            <v>43582</v>
          </cell>
          <cell r="I55" t="str">
            <v>08.05.2019</v>
          </cell>
          <cell r="J55" t="str">
            <v>06.05.2019</v>
          </cell>
          <cell r="K55" t="str">
            <v>-</v>
          </cell>
          <cell r="L55" t="str">
            <v>OK</v>
          </cell>
        </row>
        <row r="56">
          <cell r="A56" t="str">
            <v>AHW-41824I19</v>
          </cell>
          <cell r="B56">
            <v>80443051</v>
          </cell>
          <cell r="C56" t="str">
            <v>Brasiliense</v>
          </cell>
          <cell r="D56" t="str">
            <v>CEVA</v>
          </cell>
          <cell r="E56" t="str">
            <v>Rodoimport</v>
          </cell>
          <cell r="F56">
            <v>43572</v>
          </cell>
          <cell r="G56">
            <v>43580</v>
          </cell>
          <cell r="H56">
            <v>43582</v>
          </cell>
          <cell r="I56" t="str">
            <v>08.05.2019</v>
          </cell>
          <cell r="J56" t="str">
            <v>06.05.2019</v>
          </cell>
          <cell r="K56" t="str">
            <v>-</v>
          </cell>
          <cell r="L56" t="str">
            <v>OK</v>
          </cell>
        </row>
        <row r="57">
          <cell r="A57" t="str">
            <v>AHW-41820I19</v>
          </cell>
          <cell r="B57">
            <v>80443061</v>
          </cell>
          <cell r="C57" t="str">
            <v>Brasiliense</v>
          </cell>
          <cell r="D57" t="str">
            <v>CEVA</v>
          </cell>
          <cell r="E57" t="str">
            <v>Rodoimport</v>
          </cell>
          <cell r="F57">
            <v>43574</v>
          </cell>
          <cell r="G57">
            <v>43582</v>
          </cell>
          <cell r="H57">
            <v>43584</v>
          </cell>
          <cell r="I57" t="str">
            <v>08.05.2019</v>
          </cell>
          <cell r="J57" t="str">
            <v>06.05.2019</v>
          </cell>
          <cell r="K57" t="str">
            <v>-</v>
          </cell>
          <cell r="L57" t="str">
            <v>OK</v>
          </cell>
        </row>
        <row r="58">
          <cell r="A58" t="str">
            <v>AHW-41821I19</v>
          </cell>
          <cell r="B58">
            <v>80443062</v>
          </cell>
          <cell r="C58" t="str">
            <v>Brasiliense</v>
          </cell>
          <cell r="D58" t="str">
            <v>CEVA</v>
          </cell>
          <cell r="E58" t="str">
            <v>Rodoimport</v>
          </cell>
          <cell r="F58">
            <v>43574</v>
          </cell>
          <cell r="G58">
            <v>43582</v>
          </cell>
          <cell r="H58">
            <v>43584</v>
          </cell>
          <cell r="I58" t="str">
            <v>08.05.2019</v>
          </cell>
          <cell r="J58" t="str">
            <v>06.05.2019</v>
          </cell>
          <cell r="K58" t="str">
            <v>-</v>
          </cell>
          <cell r="L58" t="str">
            <v>OK</v>
          </cell>
        </row>
        <row r="59">
          <cell r="A59" t="str">
            <v>AHW-41909I19</v>
          </cell>
          <cell r="B59">
            <v>80444849</v>
          </cell>
          <cell r="C59" t="str">
            <v>Brasiliense</v>
          </cell>
          <cell r="D59" t="str">
            <v>CEVA</v>
          </cell>
          <cell r="E59" t="str">
            <v>Rodoimport</v>
          </cell>
          <cell r="F59">
            <v>43574</v>
          </cell>
          <cell r="G59">
            <v>43582</v>
          </cell>
          <cell r="H59">
            <v>43584</v>
          </cell>
          <cell r="I59" t="str">
            <v>08.05.2019</v>
          </cell>
          <cell r="J59" t="str">
            <v>06.05.2019</v>
          </cell>
          <cell r="K59" t="str">
            <v>-</v>
          </cell>
          <cell r="L59" t="str">
            <v>OK</v>
          </cell>
        </row>
        <row r="60">
          <cell r="A60" t="str">
            <v>AHW-41910I19</v>
          </cell>
          <cell r="B60">
            <v>80444873</v>
          </cell>
          <cell r="C60" t="str">
            <v>Brasiliense</v>
          </cell>
          <cell r="D60" t="str">
            <v>CEVA</v>
          </cell>
          <cell r="E60" t="str">
            <v>Rodoimport</v>
          </cell>
          <cell r="F60">
            <v>43578</v>
          </cell>
          <cell r="G60">
            <v>43586</v>
          </cell>
          <cell r="H60">
            <v>43588</v>
          </cell>
          <cell r="I60" t="str">
            <v>08.05.2019</v>
          </cell>
          <cell r="J60" t="str">
            <v>06.05.2019</v>
          </cell>
          <cell r="K60" t="str">
            <v>-</v>
          </cell>
          <cell r="L60" t="str">
            <v>OK</v>
          </cell>
        </row>
        <row r="61">
          <cell r="A61" t="str">
            <v>AHW-41963I19</v>
          </cell>
          <cell r="B61">
            <v>80444935</v>
          </cell>
          <cell r="C61" t="str">
            <v>Brasiliense</v>
          </cell>
          <cell r="D61" t="str">
            <v>CEVA</v>
          </cell>
          <cell r="E61" t="str">
            <v>Rodoimport</v>
          </cell>
          <cell r="F61">
            <v>43578</v>
          </cell>
          <cell r="G61">
            <v>43586</v>
          </cell>
          <cell r="H61">
            <v>43588</v>
          </cell>
          <cell r="I61" t="str">
            <v>08.05.2019</v>
          </cell>
          <cell r="J61" t="str">
            <v>06.05.2019</v>
          </cell>
          <cell r="K61" t="str">
            <v>-</v>
          </cell>
          <cell r="L61" t="str">
            <v>OK</v>
          </cell>
        </row>
        <row r="62">
          <cell r="A62" t="str">
            <v>AHW-41964I19</v>
          </cell>
          <cell r="B62">
            <v>80444936</v>
          </cell>
          <cell r="C62" t="str">
            <v>Brasiliense</v>
          </cell>
          <cell r="D62" t="str">
            <v>CEVA</v>
          </cell>
          <cell r="E62" t="str">
            <v>Rodoimport</v>
          </cell>
          <cell r="F62">
            <v>43578</v>
          </cell>
          <cell r="G62">
            <v>43586</v>
          </cell>
          <cell r="H62">
            <v>43588</v>
          </cell>
          <cell r="I62" t="str">
            <v>08.05.2019</v>
          </cell>
          <cell r="J62" t="str">
            <v>06.05.2019</v>
          </cell>
          <cell r="K62" t="str">
            <v>-</v>
          </cell>
          <cell r="L62" t="str">
            <v>OK</v>
          </cell>
        </row>
        <row r="63">
          <cell r="A63" t="str">
            <v>AHW-41912I19</v>
          </cell>
          <cell r="B63">
            <v>80444872</v>
          </cell>
          <cell r="C63" t="str">
            <v>Brasiliense</v>
          </cell>
          <cell r="D63" t="str">
            <v>CEVA</v>
          </cell>
          <cell r="E63" t="str">
            <v>Rodoimport</v>
          </cell>
          <cell r="F63">
            <v>43579</v>
          </cell>
          <cell r="G63">
            <v>43587</v>
          </cell>
          <cell r="H63">
            <v>43589</v>
          </cell>
          <cell r="I63" t="str">
            <v>08.05.2019</v>
          </cell>
          <cell r="J63" t="str">
            <v>06.05.2019</v>
          </cell>
          <cell r="K63" t="str">
            <v>-</v>
          </cell>
          <cell r="L63" t="str">
            <v>OK</v>
          </cell>
        </row>
        <row r="64">
          <cell r="A64" t="str">
            <v>AHW-41973I19</v>
          </cell>
          <cell r="B64">
            <v>80444974</v>
          </cell>
          <cell r="C64" t="str">
            <v>Brasiliense</v>
          </cell>
          <cell r="D64" t="str">
            <v>CEVA</v>
          </cell>
          <cell r="E64" t="str">
            <v>Rodoimport</v>
          </cell>
          <cell r="F64">
            <v>43579</v>
          </cell>
          <cell r="G64">
            <v>43587</v>
          </cell>
          <cell r="H64">
            <v>43589</v>
          </cell>
          <cell r="I64" t="str">
            <v>08.05.2019</v>
          </cell>
          <cell r="J64" t="str">
            <v>06.05.2019</v>
          </cell>
          <cell r="K64" t="str">
            <v>-</v>
          </cell>
          <cell r="L64" t="str">
            <v>OK</v>
          </cell>
        </row>
        <row r="65">
          <cell r="A65" t="str">
            <v>SHW-41304I19</v>
          </cell>
          <cell r="B65">
            <v>581184224</v>
          </cell>
          <cell r="C65" t="str">
            <v>Original</v>
          </cell>
          <cell r="D65" t="str">
            <v>CEVA</v>
          </cell>
          <cell r="E65" t="str">
            <v>TKT</v>
          </cell>
          <cell r="F65">
            <v>43579</v>
          </cell>
          <cell r="G65">
            <v>43587</v>
          </cell>
          <cell r="H65">
            <v>43589</v>
          </cell>
          <cell r="I65" t="str">
            <v>09.05.2019</v>
          </cell>
          <cell r="J65" t="str">
            <v>02.05.2019</v>
          </cell>
          <cell r="K65" t="str">
            <v>-</v>
          </cell>
          <cell r="L65" t="str">
            <v>OK</v>
          </cell>
        </row>
        <row r="66">
          <cell r="A66" t="str">
            <v>AHW-42026I19</v>
          </cell>
          <cell r="B66">
            <v>80444987</v>
          </cell>
          <cell r="C66" t="str">
            <v>Brasiliense</v>
          </cell>
          <cell r="D66" t="str">
            <v>CEVA</v>
          </cell>
          <cell r="E66" t="str">
            <v>Rodoimport</v>
          </cell>
          <cell r="F66">
            <v>43585</v>
          </cell>
          <cell r="G66">
            <v>43593</v>
          </cell>
          <cell r="H66">
            <v>43595</v>
          </cell>
          <cell r="I66" t="str">
            <v>08.05.2019</v>
          </cell>
          <cell r="J66" t="str">
            <v>20.05.2019</v>
          </cell>
          <cell r="K66" t="str">
            <v>-</v>
          </cell>
          <cell r="L66" t="str">
            <v>OK</v>
          </cell>
        </row>
        <row r="67">
          <cell r="A67" t="str">
            <v>AHW-42027I19</v>
          </cell>
          <cell r="B67">
            <v>80446071</v>
          </cell>
          <cell r="C67" t="str">
            <v>Brasiliense</v>
          </cell>
          <cell r="D67" t="str">
            <v>CEVA</v>
          </cell>
          <cell r="E67" t="str">
            <v>Rodoimport</v>
          </cell>
          <cell r="F67">
            <v>43585</v>
          </cell>
          <cell r="G67">
            <v>43593</v>
          </cell>
          <cell r="H67">
            <v>43595</v>
          </cell>
          <cell r="I67" t="str">
            <v>08.05.2019</v>
          </cell>
          <cell r="J67" t="str">
            <v>20.05.2019</v>
          </cell>
          <cell r="K67" t="str">
            <v>-</v>
          </cell>
          <cell r="L67" t="str">
            <v>OK</v>
          </cell>
        </row>
        <row r="68">
          <cell r="A68" t="str">
            <v>AHW-42083I19</v>
          </cell>
          <cell r="B68">
            <v>80446164</v>
          </cell>
          <cell r="C68" t="str">
            <v>Brasiliense</v>
          </cell>
          <cell r="D68" t="str">
            <v>CEVA</v>
          </cell>
          <cell r="E68" t="str">
            <v>Rodoimport</v>
          </cell>
          <cell r="F68">
            <v>43587</v>
          </cell>
          <cell r="G68">
            <v>43595</v>
          </cell>
          <cell r="H68">
            <v>43597</v>
          </cell>
          <cell r="I68" t="str">
            <v>10.05.2019</v>
          </cell>
          <cell r="J68" t="str">
            <v>20.05.2019</v>
          </cell>
          <cell r="K68" t="str">
            <v>-</v>
          </cell>
          <cell r="L68" t="str">
            <v>OK</v>
          </cell>
        </row>
        <row r="69">
          <cell r="A69" t="str">
            <v>AHW-42130I19</v>
          </cell>
          <cell r="B69">
            <v>80446188</v>
          </cell>
          <cell r="C69" t="str">
            <v>Brasiliense</v>
          </cell>
          <cell r="D69" t="str">
            <v>CEVA</v>
          </cell>
          <cell r="E69" t="str">
            <v>Rodoimport</v>
          </cell>
          <cell r="F69">
            <v>43591</v>
          </cell>
          <cell r="G69">
            <v>43599</v>
          </cell>
          <cell r="H69">
            <v>43601</v>
          </cell>
          <cell r="I69" t="str">
            <v>16.05.2019</v>
          </cell>
          <cell r="J69" t="str">
            <v>20.05.2019</v>
          </cell>
          <cell r="K69" t="str">
            <v>-</v>
          </cell>
          <cell r="L69" t="str">
            <v>OK</v>
          </cell>
        </row>
        <row r="70">
          <cell r="A70" t="str">
            <v>AHW-42137I19</v>
          </cell>
          <cell r="B70">
            <v>80446187</v>
          </cell>
          <cell r="C70" t="str">
            <v>Brasiliense</v>
          </cell>
          <cell r="D70" t="str">
            <v>CEVA</v>
          </cell>
          <cell r="E70" t="str">
            <v>Rodoimport</v>
          </cell>
          <cell r="F70">
            <v>43591</v>
          </cell>
          <cell r="G70">
            <v>43599</v>
          </cell>
          <cell r="H70">
            <v>43601</v>
          </cell>
          <cell r="I70" t="str">
            <v>16.05.2019</v>
          </cell>
          <cell r="J70" t="str">
            <v>20.05.2019</v>
          </cell>
          <cell r="K70" t="str">
            <v>-</v>
          </cell>
          <cell r="L70" t="str">
            <v>OK</v>
          </cell>
        </row>
        <row r="71">
          <cell r="A71" t="str">
            <v>AHW-42166I19</v>
          </cell>
          <cell r="B71">
            <v>80447788</v>
          </cell>
          <cell r="C71" t="str">
            <v>Brasiliense</v>
          </cell>
          <cell r="D71" t="str">
            <v>CEVA</v>
          </cell>
          <cell r="E71" t="str">
            <v>Rodoimport</v>
          </cell>
          <cell r="F71">
            <v>43591</v>
          </cell>
          <cell r="G71">
            <v>43599</v>
          </cell>
          <cell r="H71">
            <v>43601</v>
          </cell>
          <cell r="I71" t="str">
            <v>16.05.2019</v>
          </cell>
          <cell r="J71" t="str">
            <v>20.05.2019</v>
          </cell>
          <cell r="K71" t="str">
            <v>-</v>
          </cell>
          <cell r="L71" t="str">
            <v>OK</v>
          </cell>
        </row>
        <row r="72">
          <cell r="A72" t="str">
            <v>AHW-42192I19</v>
          </cell>
          <cell r="B72">
            <v>80447820</v>
          </cell>
          <cell r="C72" t="str">
            <v>Brasiliense</v>
          </cell>
          <cell r="D72" t="str">
            <v>CEVA</v>
          </cell>
          <cell r="E72" t="str">
            <v>Rodoimport</v>
          </cell>
          <cell r="F72">
            <v>43594</v>
          </cell>
          <cell r="G72">
            <v>43602</v>
          </cell>
          <cell r="H72">
            <v>43604</v>
          </cell>
          <cell r="I72" t="str">
            <v>20.05.2019</v>
          </cell>
          <cell r="J72" t="str">
            <v>20.05.2019</v>
          </cell>
          <cell r="K72" t="str">
            <v>-</v>
          </cell>
          <cell r="L72" t="str">
            <v>OK</v>
          </cell>
        </row>
        <row r="73">
          <cell r="A73" t="str">
            <v>AHW-42199I19</v>
          </cell>
          <cell r="B73">
            <v>80447819</v>
          </cell>
          <cell r="C73" t="str">
            <v>Brasiliense</v>
          </cell>
          <cell r="D73" t="str">
            <v>CEVA</v>
          </cell>
          <cell r="E73" t="str">
            <v>Rodoimport</v>
          </cell>
          <cell r="F73">
            <v>43594</v>
          </cell>
          <cell r="G73">
            <v>43602</v>
          </cell>
          <cell r="H73">
            <v>43604</v>
          </cell>
          <cell r="I73" t="str">
            <v>20.05.2019</v>
          </cell>
          <cell r="J73" t="str">
            <v>20.05.2019</v>
          </cell>
          <cell r="K73" t="str">
            <v>-</v>
          </cell>
          <cell r="L73" t="str">
            <v>OK</v>
          </cell>
        </row>
        <row r="74">
          <cell r="A74" t="str">
            <v>AHW-42200I19</v>
          </cell>
          <cell r="B74">
            <v>80447834</v>
          </cell>
          <cell r="C74" t="str">
            <v>Brasiliense</v>
          </cell>
          <cell r="D74" t="str">
            <v>CEVA</v>
          </cell>
          <cell r="E74" t="str">
            <v>Rodoimport</v>
          </cell>
          <cell r="F74">
            <v>43594</v>
          </cell>
          <cell r="G74">
            <v>43602</v>
          </cell>
          <cell r="H74">
            <v>43604</v>
          </cell>
          <cell r="I74" t="str">
            <v>20.05.2019</v>
          </cell>
          <cell r="J74" t="str">
            <v>20.05.2019</v>
          </cell>
          <cell r="K74" t="str">
            <v>-</v>
          </cell>
          <cell r="L74" t="str">
            <v>OK</v>
          </cell>
        </row>
        <row r="75">
          <cell r="A75" t="str">
            <v>AHW-42207I19</v>
          </cell>
          <cell r="B75">
            <v>80447857</v>
          </cell>
          <cell r="C75" t="str">
            <v>Brasiliense</v>
          </cell>
          <cell r="D75" t="str">
            <v>CEVA</v>
          </cell>
          <cell r="E75" t="str">
            <v>Rodoimport</v>
          </cell>
          <cell r="F75">
            <v>43594</v>
          </cell>
          <cell r="G75">
            <v>43602</v>
          </cell>
          <cell r="H75">
            <v>43604</v>
          </cell>
          <cell r="I75" t="str">
            <v>20.05.2019</v>
          </cell>
          <cell r="J75" t="str">
            <v>20.05.2019</v>
          </cell>
          <cell r="K75" t="str">
            <v>-</v>
          </cell>
          <cell r="L75" t="str">
            <v>OK</v>
          </cell>
        </row>
        <row r="76">
          <cell r="A76" t="str">
            <v>SHW-41639I19</v>
          </cell>
          <cell r="B76">
            <v>149901116121</v>
          </cell>
          <cell r="C76" t="str">
            <v>Original</v>
          </cell>
          <cell r="D76" t="str">
            <v>CEVA</v>
          </cell>
          <cell r="E76" t="str">
            <v>TKT</v>
          </cell>
          <cell r="F76">
            <v>43594</v>
          </cell>
          <cell r="G76">
            <v>43602</v>
          </cell>
          <cell r="H76">
            <v>43604</v>
          </cell>
          <cell r="I76" t="str">
            <v>20.05.2019</v>
          </cell>
          <cell r="J76" t="str">
            <v>17.05.2019</v>
          </cell>
          <cell r="K76" t="str">
            <v>-</v>
          </cell>
          <cell r="L76" t="str">
            <v>OK</v>
          </cell>
        </row>
        <row r="77">
          <cell r="A77" t="str">
            <v>AHW-42258I19</v>
          </cell>
          <cell r="B77">
            <v>17607270104</v>
          </cell>
          <cell r="C77" t="str">
            <v>Original</v>
          </cell>
          <cell r="D77" t="str">
            <v>CEVA</v>
          </cell>
          <cell r="E77" t="str">
            <v>Rodoimport</v>
          </cell>
          <cell r="F77">
            <v>43600</v>
          </cell>
          <cell r="G77">
            <v>43608</v>
          </cell>
          <cell r="H77">
            <v>43610</v>
          </cell>
          <cell r="I77" t="str">
            <v>23.05.2019</v>
          </cell>
          <cell r="J77" t="str">
            <v>07.06.2019</v>
          </cell>
          <cell r="K77" t="str">
            <v>-</v>
          </cell>
          <cell r="L77" t="str">
            <v>OK</v>
          </cell>
        </row>
        <row r="78">
          <cell r="A78" t="str">
            <v>SHW-41637I19</v>
          </cell>
          <cell r="B78">
            <v>581474051</v>
          </cell>
          <cell r="C78" t="str">
            <v>Original</v>
          </cell>
          <cell r="D78" t="str">
            <v>CEVA</v>
          </cell>
          <cell r="E78" t="str">
            <v>TKT</v>
          </cell>
          <cell r="F78">
            <v>43600</v>
          </cell>
          <cell r="G78">
            <v>43608</v>
          </cell>
          <cell r="H78">
            <v>43610</v>
          </cell>
          <cell r="I78" t="str">
            <v>23.05.2019</v>
          </cell>
          <cell r="J78" t="str">
            <v>21.05.2019</v>
          </cell>
          <cell r="K78" t="str">
            <v>-</v>
          </cell>
          <cell r="L78" t="str">
            <v>OK</v>
          </cell>
        </row>
        <row r="79">
          <cell r="A79" t="str">
            <v>SHW-41660I19</v>
          </cell>
          <cell r="B79">
            <v>581474110</v>
          </cell>
          <cell r="C79" t="str">
            <v>Original</v>
          </cell>
          <cell r="D79" t="str">
            <v>CEVA</v>
          </cell>
          <cell r="E79" t="str">
            <v>TKT</v>
          </cell>
          <cell r="F79">
            <v>43600</v>
          </cell>
          <cell r="G79">
            <v>43608</v>
          </cell>
          <cell r="H79">
            <v>43610</v>
          </cell>
          <cell r="I79" t="str">
            <v>23.05.2019</v>
          </cell>
          <cell r="J79" t="str">
            <v>21.05.2019</v>
          </cell>
          <cell r="K79" t="str">
            <v>-</v>
          </cell>
          <cell r="L79" t="str">
            <v>OK</v>
          </cell>
        </row>
        <row r="80">
          <cell r="A80" t="str">
            <v>SHW-41666I19</v>
          </cell>
          <cell r="B80">
            <v>606421161</v>
          </cell>
          <cell r="C80" t="str">
            <v>Original</v>
          </cell>
          <cell r="D80" t="str">
            <v>CEVA</v>
          </cell>
          <cell r="E80" t="str">
            <v>TKT</v>
          </cell>
          <cell r="F80">
            <v>43600</v>
          </cell>
          <cell r="G80">
            <v>43608</v>
          </cell>
          <cell r="H80">
            <v>43610</v>
          </cell>
          <cell r="I80" t="str">
            <v>23.05.2019</v>
          </cell>
          <cell r="J80" t="str">
            <v>21.05.2019</v>
          </cell>
          <cell r="K80" t="str">
            <v>-</v>
          </cell>
          <cell r="L80" t="str">
            <v>OK</v>
          </cell>
        </row>
        <row r="81">
          <cell r="A81" t="str">
            <v>SHW-41775I19</v>
          </cell>
          <cell r="B81">
            <v>581529737</v>
          </cell>
          <cell r="C81" t="str">
            <v>Original</v>
          </cell>
          <cell r="D81" t="str">
            <v>CEVA</v>
          </cell>
          <cell r="E81" t="str">
            <v>TKT</v>
          </cell>
          <cell r="F81">
            <v>43600</v>
          </cell>
          <cell r="G81">
            <v>43608</v>
          </cell>
          <cell r="H81">
            <v>43610</v>
          </cell>
          <cell r="I81" t="str">
            <v>23.05.2019</v>
          </cell>
          <cell r="J81" t="str">
            <v>21.05.2019</v>
          </cell>
          <cell r="K81" t="str">
            <v>-</v>
          </cell>
          <cell r="L81" t="str">
            <v>OK</v>
          </cell>
        </row>
        <row r="82">
          <cell r="A82" t="str">
            <v>AHW-42264I19</v>
          </cell>
          <cell r="B82">
            <v>80452041</v>
          </cell>
          <cell r="C82" t="str">
            <v>Brasiliense</v>
          </cell>
          <cell r="D82" t="str">
            <v>CEVA</v>
          </cell>
          <cell r="E82" t="str">
            <v>Rodoimport</v>
          </cell>
          <cell r="F82">
            <v>43602</v>
          </cell>
          <cell r="G82">
            <v>43610</v>
          </cell>
          <cell r="H82">
            <v>43612</v>
          </cell>
          <cell r="I82" t="str">
            <v>06.06.2019</v>
          </cell>
          <cell r="J82" t="str">
            <v>07.06.2019</v>
          </cell>
          <cell r="K82" t="str">
            <v>-</v>
          </cell>
          <cell r="L82" t="str">
            <v>OK</v>
          </cell>
        </row>
        <row r="83">
          <cell r="A83" t="str">
            <v>AHW-42307I19</v>
          </cell>
          <cell r="B83">
            <v>80452125</v>
          </cell>
          <cell r="C83" t="str">
            <v>Original</v>
          </cell>
          <cell r="D83" t="str">
            <v>CEVA</v>
          </cell>
          <cell r="E83" t="str">
            <v>Rodoimport</v>
          </cell>
          <cell r="F83">
            <v>43605</v>
          </cell>
          <cell r="G83">
            <v>43613</v>
          </cell>
          <cell r="H83">
            <v>43615</v>
          </cell>
          <cell r="I83" t="str">
            <v>11.06.2019</v>
          </cell>
          <cell r="J83" t="str">
            <v>07.06.2019</v>
          </cell>
          <cell r="K83" t="str">
            <v>-</v>
          </cell>
          <cell r="L83" t="str">
            <v>OK</v>
          </cell>
        </row>
        <row r="84">
          <cell r="A84" t="str">
            <v>AHW-42341I19</v>
          </cell>
          <cell r="B84">
            <v>80452099</v>
          </cell>
          <cell r="C84" t="str">
            <v>Original</v>
          </cell>
          <cell r="D84" t="str">
            <v>CEVA</v>
          </cell>
          <cell r="E84" t="str">
            <v>Rodoimport</v>
          </cell>
          <cell r="F84">
            <v>43605</v>
          </cell>
          <cell r="G84">
            <v>43613</v>
          </cell>
          <cell r="H84">
            <v>43615</v>
          </cell>
          <cell r="I84" t="str">
            <v>11.06.2019</v>
          </cell>
          <cell r="J84" t="str">
            <v>07.06.2019</v>
          </cell>
          <cell r="K84" t="str">
            <v>-</v>
          </cell>
          <cell r="L84" t="str">
            <v>OK</v>
          </cell>
        </row>
        <row r="85">
          <cell r="A85" t="str">
            <v>AHW-42342I19</v>
          </cell>
          <cell r="B85">
            <v>80452123</v>
          </cell>
          <cell r="C85" t="str">
            <v>Original</v>
          </cell>
          <cell r="D85" t="str">
            <v>CEVA</v>
          </cell>
          <cell r="E85" t="str">
            <v>Rodoimport</v>
          </cell>
          <cell r="F85">
            <v>43605</v>
          </cell>
          <cell r="G85">
            <v>43613</v>
          </cell>
          <cell r="H85">
            <v>43615</v>
          </cell>
          <cell r="I85" t="str">
            <v>11.06.2019</v>
          </cell>
          <cell r="J85" t="str">
            <v>07.06.2019</v>
          </cell>
          <cell r="K85" t="str">
            <v>-</v>
          </cell>
          <cell r="L85" t="str">
            <v>OK</v>
          </cell>
        </row>
        <row r="86">
          <cell r="A86" t="str">
            <v>AHW-42344I19</v>
          </cell>
          <cell r="B86">
            <v>80452126</v>
          </cell>
          <cell r="C86" t="str">
            <v>Original</v>
          </cell>
          <cell r="D86" t="str">
            <v>CEVA</v>
          </cell>
          <cell r="E86" t="str">
            <v>Rodoimport</v>
          </cell>
          <cell r="F86">
            <v>43605</v>
          </cell>
          <cell r="G86">
            <v>43613</v>
          </cell>
          <cell r="H86">
            <v>43615</v>
          </cell>
          <cell r="I86" t="str">
            <v>11.06.2019</v>
          </cell>
          <cell r="J86" t="str">
            <v>07.06.2019</v>
          </cell>
          <cell r="K86" t="str">
            <v>-</v>
          </cell>
          <cell r="L86" t="str">
            <v>OK</v>
          </cell>
        </row>
        <row r="87">
          <cell r="A87" t="str">
            <v>AHW-42348I19</v>
          </cell>
          <cell r="B87" t="str">
            <v xml:space="preserve">80452124
</v>
          </cell>
          <cell r="C87" t="str">
            <v>Original</v>
          </cell>
          <cell r="D87" t="str">
            <v>CEVA</v>
          </cell>
          <cell r="E87" t="str">
            <v>Rodoimport</v>
          </cell>
          <cell r="F87">
            <v>43605</v>
          </cell>
          <cell r="G87">
            <v>43613</v>
          </cell>
          <cell r="H87">
            <v>43615</v>
          </cell>
          <cell r="I87" t="str">
            <v>11.06.2019</v>
          </cell>
          <cell r="J87" t="str">
            <v>07.06.2019</v>
          </cell>
          <cell r="K87" t="str">
            <v>-</v>
          </cell>
          <cell r="L87" t="str">
            <v>OK</v>
          </cell>
        </row>
        <row r="88">
          <cell r="A88" t="str">
            <v>AHW-42354I19</v>
          </cell>
          <cell r="B88">
            <v>80452161</v>
          </cell>
          <cell r="C88" t="str">
            <v>Original</v>
          </cell>
          <cell r="D88" t="str">
            <v>CEVA</v>
          </cell>
          <cell r="E88" t="str">
            <v>Rodoimport</v>
          </cell>
          <cell r="F88">
            <v>43612</v>
          </cell>
          <cell r="G88">
            <v>43620</v>
          </cell>
          <cell r="H88">
            <v>43622</v>
          </cell>
          <cell r="I88" t="str">
            <v>11.06.2019</v>
          </cell>
          <cell r="J88" t="str">
            <v>07.06.2019</v>
          </cell>
          <cell r="K88" t="str">
            <v>-</v>
          </cell>
          <cell r="L88" t="str">
            <v>OK</v>
          </cell>
        </row>
        <row r="89">
          <cell r="A89" t="str">
            <v>AHW-42392I19</v>
          </cell>
          <cell r="B89">
            <v>80452189</v>
          </cell>
          <cell r="C89" t="str">
            <v>Original</v>
          </cell>
          <cell r="D89" t="str">
            <v>CEVA</v>
          </cell>
          <cell r="E89" t="str">
            <v>Rodoimport</v>
          </cell>
          <cell r="F89">
            <v>43612</v>
          </cell>
          <cell r="G89">
            <v>43620</v>
          </cell>
          <cell r="H89">
            <v>43622</v>
          </cell>
          <cell r="I89" t="str">
            <v>11.06.2019</v>
          </cell>
          <cell r="J89" t="str">
            <v>07.06.2019</v>
          </cell>
          <cell r="K89" t="str">
            <v>-</v>
          </cell>
          <cell r="L89" t="str">
            <v>OK</v>
          </cell>
        </row>
        <row r="90">
          <cell r="A90" t="str">
            <v>SHW-41927I19</v>
          </cell>
          <cell r="B90">
            <v>581696404</v>
          </cell>
          <cell r="C90" t="str">
            <v>Original</v>
          </cell>
          <cell r="D90" t="str">
            <v>CEVA</v>
          </cell>
          <cell r="E90" t="str">
            <v>TKT</v>
          </cell>
          <cell r="F90">
            <v>43612</v>
          </cell>
          <cell r="G90">
            <v>43620</v>
          </cell>
          <cell r="H90">
            <v>43622</v>
          </cell>
          <cell r="I90" t="str">
            <v>11.06.2019</v>
          </cell>
          <cell r="J90" t="str">
            <v>06.06.2019</v>
          </cell>
          <cell r="K90" t="str">
            <v>-</v>
          </cell>
          <cell r="L90" t="str">
            <v>OK</v>
          </cell>
        </row>
        <row r="91">
          <cell r="A91" t="str">
            <v>SHW-41959I19</v>
          </cell>
          <cell r="B91">
            <v>581696456</v>
          </cell>
          <cell r="C91" t="str">
            <v>Original</v>
          </cell>
          <cell r="D91" t="str">
            <v>CEVA</v>
          </cell>
          <cell r="E91" t="str">
            <v>TKT</v>
          </cell>
          <cell r="F91">
            <v>43613</v>
          </cell>
          <cell r="G91">
            <v>43621</v>
          </cell>
          <cell r="H91">
            <v>43623</v>
          </cell>
          <cell r="I91" t="str">
            <v>11.06.2019</v>
          </cell>
          <cell r="J91" t="str">
            <v>03.06.2019</v>
          </cell>
          <cell r="K91" t="str">
            <v>-</v>
          </cell>
          <cell r="L91" t="str">
            <v>OK</v>
          </cell>
        </row>
        <row r="92">
          <cell r="A92" t="str">
            <v>AHW-42437I19</v>
          </cell>
          <cell r="B92">
            <v>50133282</v>
          </cell>
          <cell r="C92" t="str">
            <v>Original</v>
          </cell>
          <cell r="D92" t="str">
            <v>LINK</v>
          </cell>
          <cell r="E92" t="str">
            <v>Rodoimport</v>
          </cell>
          <cell r="F92">
            <v>43616</v>
          </cell>
          <cell r="G92">
            <v>43624</v>
          </cell>
          <cell r="H92">
            <v>43626</v>
          </cell>
          <cell r="I92" t="str">
            <v>12.06.2019</v>
          </cell>
          <cell r="J92" t="str">
            <v>07.06.2019</v>
          </cell>
          <cell r="K92" t="str">
            <v>-</v>
          </cell>
          <cell r="L92" t="str">
            <v>OK</v>
          </cell>
        </row>
        <row r="93">
          <cell r="A93" t="str">
            <v>AHW-42437I19</v>
          </cell>
          <cell r="B93">
            <v>50133282</v>
          </cell>
          <cell r="C93" t="str">
            <v>Original</v>
          </cell>
          <cell r="D93" t="str">
            <v>LINK</v>
          </cell>
          <cell r="E93" t="str">
            <v>Rodoimport</v>
          </cell>
          <cell r="F93">
            <v>43616</v>
          </cell>
          <cell r="G93">
            <v>43624</v>
          </cell>
          <cell r="H93">
            <v>43626</v>
          </cell>
          <cell r="I93" t="str">
            <v>12.06.2019</v>
          </cell>
          <cell r="J93" t="str">
            <v>07.06.2019</v>
          </cell>
          <cell r="K93" t="str">
            <v>-</v>
          </cell>
          <cell r="L93" t="str">
            <v>OK</v>
          </cell>
        </row>
        <row r="94">
          <cell r="A94" t="str">
            <v>AHW-42486I19</v>
          </cell>
          <cell r="B94" t="str">
            <v>SZX223238</v>
          </cell>
          <cell r="C94" t="str">
            <v>Original</v>
          </cell>
          <cell r="D94" t="str">
            <v>PANALPINA</v>
          </cell>
          <cell r="E94" t="str">
            <v>TSA</v>
          </cell>
          <cell r="F94">
            <v>43621</v>
          </cell>
          <cell r="G94">
            <v>43629</v>
          </cell>
          <cell r="H94">
            <v>43631</v>
          </cell>
          <cell r="I94" t="str">
            <v>12.06.2019</v>
          </cell>
          <cell r="J94" t="str">
            <v>24.06.2019</v>
          </cell>
          <cell r="K94" t="str">
            <v>-</v>
          </cell>
          <cell r="L94" t="str">
            <v>OK</v>
          </cell>
        </row>
        <row r="95">
          <cell r="A95" t="str">
            <v>SHW-42185I19</v>
          </cell>
          <cell r="B95">
            <v>606450469</v>
          </cell>
          <cell r="C95" t="str">
            <v>Original</v>
          </cell>
          <cell r="D95" t="str">
            <v>CEVA</v>
          </cell>
          <cell r="E95" t="str">
            <v>TKT</v>
          </cell>
          <cell r="F95">
            <v>43622</v>
          </cell>
          <cell r="G95">
            <v>43630</v>
          </cell>
          <cell r="H95">
            <v>43632</v>
          </cell>
          <cell r="I95" t="str">
            <v>17.06.2019</v>
          </cell>
          <cell r="J95" t="str">
            <v>10.06.2019</v>
          </cell>
          <cell r="K95" t="str">
            <v>-</v>
          </cell>
          <cell r="L95" t="str">
            <v>OK</v>
          </cell>
        </row>
        <row r="96">
          <cell r="A96" t="str">
            <v>SHW-42186I19</v>
          </cell>
          <cell r="B96">
            <v>581993350</v>
          </cell>
          <cell r="C96" t="str">
            <v>Original</v>
          </cell>
          <cell r="D96" t="str">
            <v>CEVA</v>
          </cell>
          <cell r="E96" t="str">
            <v>TKT</v>
          </cell>
          <cell r="F96">
            <v>43622</v>
          </cell>
          <cell r="G96">
            <v>43630</v>
          </cell>
          <cell r="H96">
            <v>43632</v>
          </cell>
          <cell r="I96" t="str">
            <v>12.06.2019</v>
          </cell>
          <cell r="J96" t="str">
            <v>10.06.2019</v>
          </cell>
          <cell r="K96" t="str">
            <v>-</v>
          </cell>
          <cell r="L96" t="str">
            <v>OK</v>
          </cell>
        </row>
        <row r="97">
          <cell r="A97" t="str">
            <v>AHW-42618I19</v>
          </cell>
          <cell r="B97" t="str">
            <v>SZX223329</v>
          </cell>
          <cell r="C97" t="str">
            <v>Original</v>
          </cell>
          <cell r="D97" t="str">
            <v>PANALPINA</v>
          </cell>
          <cell r="E97" t="str">
            <v>TSA</v>
          </cell>
          <cell r="F97">
            <v>43626</v>
          </cell>
          <cell r="G97">
            <v>43634</v>
          </cell>
          <cell r="H97">
            <v>43636</v>
          </cell>
          <cell r="I97" t="str">
            <v>19.06.2019</v>
          </cell>
          <cell r="J97" t="str">
            <v>24.06.2019</v>
          </cell>
          <cell r="K97" t="str">
            <v>-</v>
          </cell>
          <cell r="L97" t="str">
            <v>OK</v>
          </cell>
        </row>
        <row r="98">
          <cell r="A98" t="str">
            <v>AHW-42607I19</v>
          </cell>
          <cell r="B98">
            <v>115376</v>
          </cell>
          <cell r="C98" t="str">
            <v>Original</v>
          </cell>
          <cell r="D98" t="str">
            <v>CTS</v>
          </cell>
          <cell r="E98" t="str">
            <v>Rodoimport</v>
          </cell>
          <cell r="F98">
            <v>43626</v>
          </cell>
          <cell r="G98">
            <v>43634</v>
          </cell>
          <cell r="H98">
            <v>43636</v>
          </cell>
          <cell r="I98" t="str">
            <v>17.06.2019</v>
          </cell>
          <cell r="J98" t="str">
            <v>24.06.2019</v>
          </cell>
          <cell r="K98" t="str">
            <v>-</v>
          </cell>
          <cell r="L98" t="str">
            <v>OK</v>
          </cell>
        </row>
        <row r="99">
          <cell r="A99" t="str">
            <v>AHW-42608I19</v>
          </cell>
          <cell r="B99">
            <v>115372</v>
          </cell>
          <cell r="C99" t="str">
            <v>Original</v>
          </cell>
          <cell r="D99" t="str">
            <v>CTS</v>
          </cell>
          <cell r="E99" t="str">
            <v>Rodoimport</v>
          </cell>
          <cell r="F99">
            <v>43626</v>
          </cell>
          <cell r="G99">
            <v>43634</v>
          </cell>
          <cell r="H99">
            <v>43636</v>
          </cell>
          <cell r="I99" t="str">
            <v>17.06.2019</v>
          </cell>
          <cell r="J99" t="str">
            <v>24.06.2019</v>
          </cell>
          <cell r="K99" t="str">
            <v>-</v>
          </cell>
          <cell r="L99" t="str">
            <v>OK</v>
          </cell>
        </row>
        <row r="100">
          <cell r="A100" t="str">
            <v>AHW-42610I19</v>
          </cell>
          <cell r="B100">
            <v>115371</v>
          </cell>
          <cell r="C100" t="str">
            <v>Original</v>
          </cell>
          <cell r="D100" t="str">
            <v>CTS</v>
          </cell>
          <cell r="E100" t="str">
            <v>Rodoimport</v>
          </cell>
          <cell r="F100">
            <v>43626</v>
          </cell>
          <cell r="G100">
            <v>43634</v>
          </cell>
          <cell r="H100">
            <v>43636</v>
          </cell>
          <cell r="I100" t="str">
            <v>17.06.2019</v>
          </cell>
          <cell r="J100" t="str">
            <v>24.06.2019</v>
          </cell>
          <cell r="K100" t="str">
            <v>-</v>
          </cell>
          <cell r="L100" t="str">
            <v>OK</v>
          </cell>
        </row>
        <row r="101">
          <cell r="A101" t="str">
            <v>AHW-42611I19</v>
          </cell>
          <cell r="B101">
            <v>115373</v>
          </cell>
          <cell r="C101" t="str">
            <v>Original</v>
          </cell>
          <cell r="D101" t="str">
            <v>CTS</v>
          </cell>
          <cell r="E101" t="str">
            <v>Rodoimport</v>
          </cell>
          <cell r="F101">
            <v>43626</v>
          </cell>
          <cell r="G101">
            <v>43634</v>
          </cell>
          <cell r="H101">
            <v>43636</v>
          </cell>
          <cell r="I101" t="str">
            <v>17.06.2019</v>
          </cell>
          <cell r="J101" t="str">
            <v>24.06.2019</v>
          </cell>
          <cell r="K101" t="str">
            <v>-</v>
          </cell>
          <cell r="L101" t="str">
            <v>OK</v>
          </cell>
        </row>
        <row r="102">
          <cell r="A102" t="str">
            <v>AHW-42612I19</v>
          </cell>
          <cell r="B102">
            <v>115375</v>
          </cell>
          <cell r="C102" t="str">
            <v>Original</v>
          </cell>
          <cell r="D102" t="str">
            <v>CTS</v>
          </cell>
          <cell r="E102" t="str">
            <v>Rodoimport</v>
          </cell>
          <cell r="F102">
            <v>43626</v>
          </cell>
          <cell r="G102">
            <v>43634</v>
          </cell>
          <cell r="H102">
            <v>43636</v>
          </cell>
          <cell r="I102" t="str">
            <v>17.06.2019</v>
          </cell>
          <cell r="J102" t="str">
            <v>24.06.2019</v>
          </cell>
          <cell r="K102" t="str">
            <v>-</v>
          </cell>
          <cell r="L102" t="str">
            <v>OK</v>
          </cell>
        </row>
        <row r="103">
          <cell r="A103" t="str">
            <v>AHW-42560I19</v>
          </cell>
          <cell r="B103">
            <v>115374</v>
          </cell>
          <cell r="C103" t="str">
            <v>Original</v>
          </cell>
          <cell r="D103" t="str">
            <v>CTS</v>
          </cell>
          <cell r="E103" t="str">
            <v>Rodoimport</v>
          </cell>
          <cell r="F103">
            <v>43626</v>
          </cell>
          <cell r="G103">
            <v>43634</v>
          </cell>
          <cell r="H103">
            <v>43636</v>
          </cell>
          <cell r="I103" t="str">
            <v>19.06.2019</v>
          </cell>
          <cell r="J103" t="str">
            <v>24.06.2019</v>
          </cell>
          <cell r="K103" t="str">
            <v>-</v>
          </cell>
          <cell r="L103" t="str">
            <v>OK</v>
          </cell>
        </row>
        <row r="104">
          <cell r="A104" t="str">
            <v>AHW-42624I19</v>
          </cell>
          <cell r="B104" t="str">
            <v>CTS115390</v>
          </cell>
          <cell r="C104" t="str">
            <v>Original</v>
          </cell>
          <cell r="D104" t="str">
            <v>CTS</v>
          </cell>
          <cell r="E104" t="str">
            <v>Rodoimport</v>
          </cell>
          <cell r="F104">
            <v>43626</v>
          </cell>
          <cell r="G104">
            <v>43634</v>
          </cell>
          <cell r="H104">
            <v>43636</v>
          </cell>
          <cell r="I104" t="str">
            <v>17.06.2019</v>
          </cell>
          <cell r="J104" t="str">
            <v>24.06.2019</v>
          </cell>
          <cell r="K104" t="str">
            <v>-</v>
          </cell>
          <cell r="L104" t="str">
            <v>OK</v>
          </cell>
        </row>
        <row r="105">
          <cell r="A105" t="str">
            <v>AHW-42625I19</v>
          </cell>
          <cell r="B105" t="str">
            <v>CTS115385</v>
          </cell>
          <cell r="C105" t="str">
            <v>Original</v>
          </cell>
          <cell r="D105" t="str">
            <v>CTS</v>
          </cell>
          <cell r="E105" t="str">
            <v>Rodoimport</v>
          </cell>
          <cell r="F105">
            <v>43626</v>
          </cell>
          <cell r="G105">
            <v>43634</v>
          </cell>
          <cell r="H105">
            <v>43636</v>
          </cell>
          <cell r="I105" t="str">
            <v>19.06.2019</v>
          </cell>
          <cell r="J105" t="str">
            <v>24.06.2019</v>
          </cell>
          <cell r="K105" t="str">
            <v>-</v>
          </cell>
          <cell r="L105" t="str">
            <v>OK</v>
          </cell>
        </row>
        <row r="106">
          <cell r="A106" t="str">
            <v>AHW-42626I19</v>
          </cell>
          <cell r="B106" t="str">
            <v>CTS115389</v>
          </cell>
          <cell r="C106" t="str">
            <v>Original</v>
          </cell>
          <cell r="D106" t="str">
            <v>CTS</v>
          </cell>
          <cell r="E106" t="str">
            <v>Rodoimport</v>
          </cell>
          <cell r="F106">
            <v>43626</v>
          </cell>
          <cell r="G106">
            <v>43634</v>
          </cell>
          <cell r="H106">
            <v>43636</v>
          </cell>
          <cell r="I106" t="str">
            <v>19.06.2019</v>
          </cell>
          <cell r="J106" t="str">
            <v>24.06.2019</v>
          </cell>
          <cell r="K106" t="str">
            <v>-</v>
          </cell>
          <cell r="L106" t="str">
            <v>OK</v>
          </cell>
        </row>
        <row r="107">
          <cell r="A107" t="str">
            <v>AHW-42627I19</v>
          </cell>
          <cell r="B107" t="str">
            <v>CTS115386</v>
          </cell>
          <cell r="C107" t="str">
            <v>Original</v>
          </cell>
          <cell r="D107" t="str">
            <v>CTS</v>
          </cell>
          <cell r="E107" t="str">
            <v>Rodoimport</v>
          </cell>
          <cell r="F107">
            <v>43626</v>
          </cell>
          <cell r="G107">
            <v>43634</v>
          </cell>
          <cell r="H107">
            <v>43636</v>
          </cell>
          <cell r="I107" t="str">
            <v>17.06.2019</v>
          </cell>
          <cell r="J107" t="str">
            <v>24.06.2019</v>
          </cell>
          <cell r="K107" t="str">
            <v>-</v>
          </cell>
          <cell r="L107" t="str">
            <v>OK</v>
          </cell>
        </row>
        <row r="108">
          <cell r="A108" t="str">
            <v>AHW-42628I19</v>
          </cell>
          <cell r="B108" t="str">
            <v>CTS115387</v>
          </cell>
          <cell r="C108" t="str">
            <v>Original</v>
          </cell>
          <cell r="D108" t="str">
            <v>CTS</v>
          </cell>
          <cell r="E108" t="str">
            <v>Rodoimport</v>
          </cell>
          <cell r="F108">
            <v>43626</v>
          </cell>
          <cell r="G108">
            <v>43634</v>
          </cell>
          <cell r="H108">
            <v>43636</v>
          </cell>
          <cell r="I108" t="str">
            <v>17.06.2019</v>
          </cell>
          <cell r="J108" t="str">
            <v>24.06.2019</v>
          </cell>
          <cell r="K108" t="str">
            <v>-</v>
          </cell>
          <cell r="L108" t="str">
            <v>OK</v>
          </cell>
        </row>
        <row r="109">
          <cell r="A109" t="str">
            <v>AHW-42584I19</v>
          </cell>
          <cell r="B109" t="str">
            <v>CTS115388</v>
          </cell>
          <cell r="C109" t="str">
            <v>Original</v>
          </cell>
          <cell r="D109" t="str">
            <v>CTS</v>
          </cell>
          <cell r="E109" t="str">
            <v>Rodoimport</v>
          </cell>
          <cell r="F109">
            <v>43626</v>
          </cell>
          <cell r="G109">
            <v>43634</v>
          </cell>
          <cell r="H109">
            <v>43636</v>
          </cell>
          <cell r="I109" t="str">
            <v>17.06.2019</v>
          </cell>
          <cell r="J109" t="str">
            <v>24.06.2019</v>
          </cell>
          <cell r="K109" t="str">
            <v>-</v>
          </cell>
          <cell r="L109" t="str">
            <v>OK</v>
          </cell>
        </row>
        <row r="110">
          <cell r="A110" t="str">
            <v>AHW-42680I19</v>
          </cell>
          <cell r="B110">
            <v>115398</v>
          </cell>
          <cell r="C110" t="str">
            <v>Original</v>
          </cell>
          <cell r="D110" t="str">
            <v>CTS</v>
          </cell>
          <cell r="E110" t="str">
            <v>Rodoimport</v>
          </cell>
          <cell r="F110">
            <v>43627</v>
          </cell>
          <cell r="G110">
            <v>43635</v>
          </cell>
          <cell r="H110">
            <v>43637</v>
          </cell>
          <cell r="I110" t="str">
            <v>25.06.2019</v>
          </cell>
          <cell r="J110" t="str">
            <v>24.06.2019</v>
          </cell>
          <cell r="K110" t="str">
            <v>-</v>
          </cell>
          <cell r="L110" t="str">
            <v>OK</v>
          </cell>
        </row>
        <row r="111">
          <cell r="A111" t="str">
            <v>AHW-42681I19</v>
          </cell>
          <cell r="B111">
            <v>115400</v>
          </cell>
          <cell r="C111" t="str">
            <v>Original</v>
          </cell>
          <cell r="D111" t="str">
            <v>CTS</v>
          </cell>
          <cell r="E111" t="str">
            <v>Rodoimport</v>
          </cell>
          <cell r="F111">
            <v>43627</v>
          </cell>
          <cell r="G111">
            <v>43635</v>
          </cell>
          <cell r="H111">
            <v>43637</v>
          </cell>
          <cell r="I111" t="str">
            <v>19.06.2019</v>
          </cell>
          <cell r="J111" t="str">
            <v>24.06.2019</v>
          </cell>
          <cell r="K111" t="str">
            <v>-</v>
          </cell>
          <cell r="L111" t="str">
            <v>OK</v>
          </cell>
        </row>
        <row r="112">
          <cell r="A112" t="str">
            <v>AHW-42682I19</v>
          </cell>
          <cell r="B112">
            <v>115402</v>
          </cell>
          <cell r="C112" t="str">
            <v>Original</v>
          </cell>
          <cell r="D112" t="str">
            <v>CTS</v>
          </cell>
          <cell r="E112" t="str">
            <v>Rodoimport</v>
          </cell>
          <cell r="F112">
            <v>43627</v>
          </cell>
          <cell r="G112">
            <v>43635</v>
          </cell>
          <cell r="H112">
            <v>43637</v>
          </cell>
          <cell r="I112" t="str">
            <v>25.06.2019</v>
          </cell>
          <cell r="J112" t="str">
            <v>24.06.2019</v>
          </cell>
          <cell r="K112" t="str">
            <v>-</v>
          </cell>
          <cell r="L112" t="str">
            <v>OK</v>
          </cell>
        </row>
        <row r="113">
          <cell r="A113" t="str">
            <v>AHW-42683I19</v>
          </cell>
          <cell r="B113">
            <v>115401</v>
          </cell>
          <cell r="C113" t="str">
            <v>Original</v>
          </cell>
          <cell r="D113" t="str">
            <v>CTS</v>
          </cell>
          <cell r="E113" t="str">
            <v>Rodoimport</v>
          </cell>
          <cell r="F113">
            <v>43627</v>
          </cell>
          <cell r="G113">
            <v>43635</v>
          </cell>
          <cell r="H113">
            <v>43637</v>
          </cell>
          <cell r="I113" t="str">
            <v>25.06.2019</v>
          </cell>
          <cell r="J113" t="str">
            <v>24.06.2019</v>
          </cell>
          <cell r="K113" t="str">
            <v>-</v>
          </cell>
          <cell r="L113" t="str">
            <v>OK</v>
          </cell>
        </row>
        <row r="114">
          <cell r="A114" t="str">
            <v>AHW-42660I19</v>
          </cell>
          <cell r="B114">
            <v>115399</v>
          </cell>
          <cell r="C114" t="str">
            <v>Original</v>
          </cell>
          <cell r="D114" t="str">
            <v>CTS</v>
          </cell>
          <cell r="E114" t="str">
            <v>Rodoimport</v>
          </cell>
          <cell r="F114">
            <v>43627</v>
          </cell>
          <cell r="G114">
            <v>43635</v>
          </cell>
          <cell r="H114">
            <v>43637</v>
          </cell>
          <cell r="I114" t="str">
            <v>19.06.2019</v>
          </cell>
          <cell r="J114" t="str">
            <v>24.06.2019</v>
          </cell>
          <cell r="K114" t="str">
            <v>-</v>
          </cell>
          <cell r="L114" t="str">
            <v>OK</v>
          </cell>
        </row>
        <row r="115">
          <cell r="A115" t="str">
            <v>SHW-42211I19</v>
          </cell>
          <cell r="B115">
            <v>582177320</v>
          </cell>
          <cell r="C115" t="str">
            <v>Original</v>
          </cell>
          <cell r="D115" t="str">
            <v>CEVA</v>
          </cell>
          <cell r="E115" t="str">
            <v>TKT</v>
          </cell>
          <cell r="F115">
            <v>43630</v>
          </cell>
          <cell r="G115">
            <v>43638</v>
          </cell>
          <cell r="H115">
            <v>43640</v>
          </cell>
          <cell r="I115" t="str">
            <v>19.06.2019</v>
          </cell>
          <cell r="J115" t="str">
            <v>18.06.2019</v>
          </cell>
          <cell r="K115" t="str">
            <v>-</v>
          </cell>
          <cell r="L115" t="str">
            <v>OK</v>
          </cell>
        </row>
        <row r="116">
          <cell r="A116" t="str">
            <v>SHW-42254I19</v>
          </cell>
          <cell r="B116">
            <v>606469631</v>
          </cell>
          <cell r="C116" t="str">
            <v>Original</v>
          </cell>
          <cell r="D116" t="str">
            <v>CEVA</v>
          </cell>
          <cell r="E116" t="str">
            <v>TKT</v>
          </cell>
          <cell r="F116">
            <v>43630</v>
          </cell>
          <cell r="G116">
            <v>43638</v>
          </cell>
          <cell r="H116">
            <v>43640</v>
          </cell>
          <cell r="I116" t="str">
            <v>19.06.2019</v>
          </cell>
          <cell r="J116" t="str">
            <v>18.06.2019</v>
          </cell>
          <cell r="K116" t="str">
            <v>-</v>
          </cell>
          <cell r="L116" t="str">
            <v>OK</v>
          </cell>
        </row>
        <row r="117">
          <cell r="A117" t="str">
            <v>VMI-42771i19</v>
          </cell>
          <cell r="B117">
            <v>80436248</v>
          </cell>
          <cell r="C117" t="str">
            <v>Original</v>
          </cell>
          <cell r="D117" t="str">
            <v>-</v>
          </cell>
          <cell r="E117" t="str">
            <v>Pacer</v>
          </cell>
          <cell r="F117">
            <v>43635</v>
          </cell>
          <cell r="G117">
            <v>43643</v>
          </cell>
          <cell r="H117">
            <v>43645</v>
          </cell>
          <cell r="I117" t="str">
            <v>25.07.2019</v>
          </cell>
          <cell r="J117" t="str">
            <v>-</v>
          </cell>
          <cell r="K117" t="str">
            <v>-</v>
          </cell>
          <cell r="L117" t="str">
            <v>OK</v>
          </cell>
        </row>
        <row r="118">
          <cell r="A118" t="str">
            <v>VMI-42774i19</v>
          </cell>
          <cell r="B118" t="str">
            <v>-</v>
          </cell>
          <cell r="C118" t="str">
            <v>Original</v>
          </cell>
          <cell r="D118" t="str">
            <v>-</v>
          </cell>
          <cell r="E118" t="str">
            <v>Pacer</v>
          </cell>
          <cell r="F118">
            <v>43635</v>
          </cell>
          <cell r="G118">
            <v>43643</v>
          </cell>
          <cell r="H118">
            <v>43645</v>
          </cell>
          <cell r="I118" t="str">
            <v>25.07.2019</v>
          </cell>
          <cell r="J118" t="str">
            <v>-</v>
          </cell>
          <cell r="K118" t="str">
            <v>-</v>
          </cell>
          <cell r="L118" t="str">
            <v>OK</v>
          </cell>
        </row>
        <row r="119">
          <cell r="A119" t="str">
            <v>VMI-42775i19</v>
          </cell>
          <cell r="B119">
            <v>80437971</v>
          </cell>
          <cell r="C119" t="str">
            <v>Original</v>
          </cell>
          <cell r="D119" t="str">
            <v>-</v>
          </cell>
          <cell r="E119" t="str">
            <v>Pacer</v>
          </cell>
          <cell r="F119">
            <v>43635</v>
          </cell>
          <cell r="G119">
            <v>43643</v>
          </cell>
          <cell r="H119">
            <v>43645</v>
          </cell>
          <cell r="I119" t="str">
            <v>25.07.2019</v>
          </cell>
          <cell r="J119" t="str">
            <v>-</v>
          </cell>
          <cell r="K119" t="str">
            <v>-</v>
          </cell>
          <cell r="L119" t="str">
            <v>OK</v>
          </cell>
        </row>
        <row r="120">
          <cell r="A120" t="str">
            <v>AHW-42778I19</v>
          </cell>
          <cell r="B120" t="str">
            <v>CTS115449</v>
          </cell>
          <cell r="C120" t="str">
            <v>Original</v>
          </cell>
          <cell r="D120" t="str">
            <v>CTS</v>
          </cell>
          <cell r="E120" t="str">
            <v>Rodoimport</v>
          </cell>
          <cell r="F120">
            <v>43640</v>
          </cell>
          <cell r="G120">
            <v>43648</v>
          </cell>
          <cell r="H120">
            <v>43650</v>
          </cell>
          <cell r="I120" t="str">
            <v>04.07.2019</v>
          </cell>
          <cell r="J120" t="str">
            <v>04.07.2019</v>
          </cell>
          <cell r="K120" t="str">
            <v>-</v>
          </cell>
          <cell r="L120" t="str">
            <v>OK</v>
          </cell>
        </row>
        <row r="121">
          <cell r="A121" t="str">
            <v>AHW-42779I19</v>
          </cell>
          <cell r="B121" t="str">
            <v>CTS115451</v>
          </cell>
          <cell r="C121" t="str">
            <v>Original</v>
          </cell>
          <cell r="D121" t="str">
            <v>CTS</v>
          </cell>
          <cell r="E121" t="str">
            <v>Rodoimport</v>
          </cell>
          <cell r="F121">
            <v>43640</v>
          </cell>
          <cell r="G121">
            <v>43648</v>
          </cell>
          <cell r="H121">
            <v>43650</v>
          </cell>
          <cell r="I121" t="str">
            <v>04.07.2019</v>
          </cell>
          <cell r="J121" t="str">
            <v>04.07.2019</v>
          </cell>
          <cell r="K121" t="str">
            <v>-</v>
          </cell>
          <cell r="L121" t="str">
            <v>OK</v>
          </cell>
        </row>
        <row r="122">
          <cell r="A122" t="str">
            <v>AHW-42822I19</v>
          </cell>
          <cell r="B122" t="str">
            <v>CTS115460</v>
          </cell>
          <cell r="C122" t="str">
            <v>Original</v>
          </cell>
          <cell r="D122" t="str">
            <v>CTS</v>
          </cell>
          <cell r="E122" t="str">
            <v>Rodoimport</v>
          </cell>
          <cell r="F122">
            <v>43640</v>
          </cell>
          <cell r="G122">
            <v>43648</v>
          </cell>
          <cell r="H122">
            <v>43650</v>
          </cell>
          <cell r="I122" t="str">
            <v>04.07.2019</v>
          </cell>
          <cell r="J122" t="str">
            <v>04.07.2019</v>
          </cell>
          <cell r="K122" t="str">
            <v>-</v>
          </cell>
          <cell r="L122" t="str">
            <v>OK</v>
          </cell>
        </row>
        <row r="123">
          <cell r="A123" t="str">
            <v>AHW-42823I19</v>
          </cell>
          <cell r="B123" t="str">
            <v>CTS115461</v>
          </cell>
          <cell r="C123" t="str">
            <v>Original</v>
          </cell>
          <cell r="D123" t="str">
            <v>CTS</v>
          </cell>
          <cell r="E123" t="str">
            <v>Rodoimport</v>
          </cell>
          <cell r="F123">
            <v>43640</v>
          </cell>
          <cell r="G123">
            <v>43648</v>
          </cell>
          <cell r="H123">
            <v>43650</v>
          </cell>
          <cell r="I123" t="str">
            <v>04.07.2019</v>
          </cell>
          <cell r="J123" t="str">
            <v>04.07.2019</v>
          </cell>
          <cell r="K123" t="str">
            <v>-</v>
          </cell>
          <cell r="L123" t="str">
            <v>OK</v>
          </cell>
        </row>
        <row r="124">
          <cell r="A124" t="str">
            <v>AHW-42780I19</v>
          </cell>
          <cell r="B124" t="str">
            <v>CTS115450</v>
          </cell>
          <cell r="C124" t="str">
            <v>Original</v>
          </cell>
          <cell r="D124" t="str">
            <v>CTS</v>
          </cell>
          <cell r="E124" t="str">
            <v>Rodoimport</v>
          </cell>
          <cell r="F124">
            <v>43641</v>
          </cell>
          <cell r="G124">
            <v>43649</v>
          </cell>
          <cell r="H124">
            <v>43651</v>
          </cell>
          <cell r="I124" t="str">
            <v>04.07.2019</v>
          </cell>
          <cell r="J124" t="str">
            <v>04.07.2019</v>
          </cell>
          <cell r="K124" t="str">
            <v>-</v>
          </cell>
          <cell r="L124" t="str">
            <v>OK</v>
          </cell>
        </row>
        <row r="125">
          <cell r="A125" t="str">
            <v>SHW-42389I19</v>
          </cell>
          <cell r="B125">
            <v>606502522</v>
          </cell>
          <cell r="C125" t="str">
            <v>Original</v>
          </cell>
          <cell r="D125" t="str">
            <v>CEVA</v>
          </cell>
          <cell r="E125" t="str">
            <v>TKT</v>
          </cell>
          <cell r="F125">
            <v>43641</v>
          </cell>
          <cell r="G125">
            <v>43649</v>
          </cell>
          <cell r="H125">
            <v>43651</v>
          </cell>
          <cell r="I125" t="str">
            <v>04.07.2019</v>
          </cell>
          <cell r="J125" t="str">
            <v>05.07.2019</v>
          </cell>
          <cell r="K125" t="str">
            <v>-</v>
          </cell>
          <cell r="L125" t="str">
            <v>OK</v>
          </cell>
        </row>
        <row r="126">
          <cell r="A126" t="str">
            <v>AHW-42939I19</v>
          </cell>
          <cell r="B126" t="str">
            <v>CTS115481</v>
          </cell>
          <cell r="C126" t="str">
            <v>Original</v>
          </cell>
          <cell r="D126" t="str">
            <v>CTS</v>
          </cell>
          <cell r="E126" t="str">
            <v>Rodoimport</v>
          </cell>
          <cell r="F126">
            <v>43647</v>
          </cell>
          <cell r="G126">
            <v>43655</v>
          </cell>
          <cell r="H126">
            <v>43657</v>
          </cell>
          <cell r="I126" t="str">
            <v>16.07.2019</v>
          </cell>
          <cell r="J126" t="str">
            <v>19.07.2019</v>
          </cell>
          <cell r="K126" t="str">
            <v>-</v>
          </cell>
          <cell r="L126" t="str">
            <v>OK</v>
          </cell>
        </row>
        <row r="127">
          <cell r="A127" t="str">
            <v>AHW-42947I19</v>
          </cell>
          <cell r="B127" t="str">
            <v>CTS115473</v>
          </cell>
          <cell r="C127" t="str">
            <v>Original</v>
          </cell>
          <cell r="D127" t="str">
            <v>CTS</v>
          </cell>
          <cell r="E127" t="str">
            <v>Rodoimport</v>
          </cell>
          <cell r="F127">
            <v>43647</v>
          </cell>
          <cell r="G127">
            <v>43655</v>
          </cell>
          <cell r="H127">
            <v>43657</v>
          </cell>
          <cell r="I127" t="str">
            <v>16.07.2019</v>
          </cell>
          <cell r="J127" t="str">
            <v>19.07.2019</v>
          </cell>
          <cell r="K127" t="str">
            <v>-</v>
          </cell>
          <cell r="L127" t="str">
            <v>OK</v>
          </cell>
        </row>
        <row r="128">
          <cell r="A128" t="str">
            <v>AHW-42955I19</v>
          </cell>
          <cell r="B128" t="str">
            <v>CTS115517</v>
          </cell>
          <cell r="C128" t="str">
            <v>Original</v>
          </cell>
          <cell r="D128" t="str">
            <v>CTS</v>
          </cell>
          <cell r="E128" t="str">
            <v>Rodoimport</v>
          </cell>
          <cell r="F128">
            <v>43648</v>
          </cell>
          <cell r="G128">
            <v>43656</v>
          </cell>
          <cell r="H128">
            <v>43658</v>
          </cell>
          <cell r="I128" t="str">
            <v>16.07.2019</v>
          </cell>
          <cell r="J128" t="str">
            <v>19.07.2019</v>
          </cell>
          <cell r="K128" t="str">
            <v>-</v>
          </cell>
          <cell r="L128" t="str">
            <v>OK</v>
          </cell>
        </row>
        <row r="129">
          <cell r="A129" t="str">
            <v>AHW-42956I19</v>
          </cell>
          <cell r="B129" t="str">
            <v>CTS115518</v>
          </cell>
          <cell r="C129" t="str">
            <v>Original</v>
          </cell>
          <cell r="D129" t="str">
            <v>CTS</v>
          </cell>
          <cell r="E129" t="str">
            <v>Rodoimport</v>
          </cell>
          <cell r="F129">
            <v>43648</v>
          </cell>
          <cell r="G129">
            <v>43656</v>
          </cell>
          <cell r="H129">
            <v>43658</v>
          </cell>
          <cell r="I129" t="str">
            <v>16.07.2019</v>
          </cell>
          <cell r="J129" t="str">
            <v>19.07.2019</v>
          </cell>
          <cell r="K129" t="str">
            <v>-</v>
          </cell>
          <cell r="L129" t="str">
            <v>OK</v>
          </cell>
        </row>
        <row r="130">
          <cell r="A130" t="str">
            <v>AHW-42957I19</v>
          </cell>
          <cell r="B130" t="str">
            <v>CTS115534</v>
          </cell>
          <cell r="C130" t="str">
            <v>Original</v>
          </cell>
          <cell r="D130" t="str">
            <v>CTS</v>
          </cell>
          <cell r="E130" t="str">
            <v>Rodoimport</v>
          </cell>
          <cell r="F130">
            <v>43648</v>
          </cell>
          <cell r="G130">
            <v>43656</v>
          </cell>
          <cell r="H130">
            <v>43658</v>
          </cell>
          <cell r="I130" t="str">
            <v>19.07.2019</v>
          </cell>
          <cell r="J130" t="str">
            <v>19.07.2019</v>
          </cell>
          <cell r="K130" t="str">
            <v>-</v>
          </cell>
          <cell r="L130" t="str">
            <v>OK</v>
          </cell>
        </row>
        <row r="131">
          <cell r="A131" t="str">
            <v>AHW-42949I19</v>
          </cell>
          <cell r="B131" t="str">
            <v>CTS115520</v>
          </cell>
          <cell r="C131" t="str">
            <v>Original</v>
          </cell>
          <cell r="D131" t="str">
            <v>CTS</v>
          </cell>
          <cell r="E131" t="str">
            <v>Rodoimport</v>
          </cell>
          <cell r="F131">
            <v>43648</v>
          </cell>
          <cell r="G131">
            <v>43656</v>
          </cell>
          <cell r="H131">
            <v>43658</v>
          </cell>
          <cell r="I131" t="str">
            <v>16.07.2019</v>
          </cell>
          <cell r="J131" t="str">
            <v>19.07.2019</v>
          </cell>
          <cell r="K131" t="str">
            <v>-</v>
          </cell>
          <cell r="L131" t="str">
            <v>OK</v>
          </cell>
        </row>
        <row r="132">
          <cell r="A132" t="str">
            <v>VMI-42784i19</v>
          </cell>
          <cell r="B132" t="str">
            <v>-</v>
          </cell>
          <cell r="C132" t="str">
            <v>Original</v>
          </cell>
          <cell r="D132" t="str">
            <v>-</v>
          </cell>
          <cell r="E132" t="str">
            <v>Pacer</v>
          </cell>
          <cell r="F132">
            <v>43648</v>
          </cell>
          <cell r="G132">
            <v>43656</v>
          </cell>
          <cell r="H132">
            <v>43658</v>
          </cell>
          <cell r="I132" t="str">
            <v>16.07.2019</v>
          </cell>
          <cell r="J132" t="str">
            <v>-</v>
          </cell>
          <cell r="K132" t="str">
            <v>-</v>
          </cell>
          <cell r="L132" t="str">
            <v>OK</v>
          </cell>
        </row>
        <row r="133">
          <cell r="A133" t="str">
            <v>VMI-42811i19</v>
          </cell>
          <cell r="B133" t="str">
            <v>-</v>
          </cell>
          <cell r="C133" t="str">
            <v>Original</v>
          </cell>
          <cell r="D133" t="str">
            <v>-</v>
          </cell>
          <cell r="E133" t="str">
            <v>Pacer</v>
          </cell>
          <cell r="F133">
            <v>43648</v>
          </cell>
          <cell r="G133">
            <v>43656</v>
          </cell>
          <cell r="H133">
            <v>43658</v>
          </cell>
          <cell r="I133" t="str">
            <v>16.07.2019</v>
          </cell>
          <cell r="J133" t="str">
            <v>-</v>
          </cell>
          <cell r="K133" t="str">
            <v>-</v>
          </cell>
          <cell r="L133" t="str">
            <v>OK</v>
          </cell>
        </row>
        <row r="134">
          <cell r="A134" t="str">
            <v>SHW-42576I19</v>
          </cell>
          <cell r="B134">
            <v>582594826</v>
          </cell>
          <cell r="C134" t="str">
            <v>Original</v>
          </cell>
          <cell r="D134" t="str">
            <v>PANALPINA</v>
          </cell>
          <cell r="E134" t="str">
            <v>TKT</v>
          </cell>
          <cell r="F134">
            <v>43649</v>
          </cell>
          <cell r="G134">
            <v>43657</v>
          </cell>
          <cell r="H134">
            <v>43659</v>
          </cell>
          <cell r="I134" t="str">
            <v>15.07.2019</v>
          </cell>
          <cell r="J134" t="str">
            <v>04.07.2019</v>
          </cell>
          <cell r="K134" t="str">
            <v>-</v>
          </cell>
          <cell r="L134" t="str">
            <v>OK</v>
          </cell>
        </row>
        <row r="135">
          <cell r="A135" t="str">
            <v>AHW-42946I19</v>
          </cell>
          <cell r="B135" t="str">
            <v>CTS115487</v>
          </cell>
          <cell r="C135" t="str">
            <v>Original</v>
          </cell>
          <cell r="D135" t="str">
            <v>CTS</v>
          </cell>
          <cell r="E135" t="str">
            <v>Rodoimport</v>
          </cell>
          <cell r="F135">
            <v>43650</v>
          </cell>
          <cell r="G135">
            <v>43658</v>
          </cell>
          <cell r="H135">
            <v>43660</v>
          </cell>
          <cell r="I135" t="str">
            <v>18.07.2019</v>
          </cell>
          <cell r="J135" t="str">
            <v>19.07.2019</v>
          </cell>
          <cell r="K135" t="str">
            <v>-</v>
          </cell>
          <cell r="L135" t="str">
            <v>OK</v>
          </cell>
        </row>
        <row r="136">
          <cell r="A136" t="str">
            <v>AHW-43000I19</v>
          </cell>
          <cell r="B136" t="str">
            <v>CTS115529</v>
          </cell>
          <cell r="C136" t="str">
            <v>Original</v>
          </cell>
          <cell r="D136" t="str">
            <v>CTS</v>
          </cell>
          <cell r="E136" t="str">
            <v>Rodoimport</v>
          </cell>
          <cell r="F136">
            <v>43651</v>
          </cell>
          <cell r="G136">
            <v>43659</v>
          </cell>
          <cell r="H136">
            <v>43661</v>
          </cell>
          <cell r="I136" t="str">
            <v>15.07.2019</v>
          </cell>
          <cell r="J136" t="str">
            <v>19.07.2019</v>
          </cell>
          <cell r="K136" t="str">
            <v>-</v>
          </cell>
          <cell r="L136" t="str">
            <v>OK</v>
          </cell>
        </row>
        <row r="137">
          <cell r="A137" t="str">
            <v>AHW-43001I19</v>
          </cell>
          <cell r="B137" t="str">
            <v>CTS115530</v>
          </cell>
          <cell r="C137" t="str">
            <v>Original</v>
          </cell>
          <cell r="D137" t="str">
            <v>CTS</v>
          </cell>
          <cell r="E137" t="str">
            <v>Rodoimport</v>
          </cell>
          <cell r="F137">
            <v>43651</v>
          </cell>
          <cell r="G137">
            <v>43659</v>
          </cell>
          <cell r="H137">
            <v>43661</v>
          </cell>
          <cell r="I137" t="str">
            <v>15.07.2019</v>
          </cell>
          <cell r="J137" t="str">
            <v>19.07.2019</v>
          </cell>
          <cell r="K137" t="str">
            <v>-</v>
          </cell>
          <cell r="L137" t="str">
            <v>OK</v>
          </cell>
        </row>
        <row r="138">
          <cell r="A138" t="str">
            <v>AHW-43014I19</v>
          </cell>
          <cell r="B138" t="str">
            <v>CTS115536</v>
          </cell>
          <cell r="C138" t="str">
            <v>Original</v>
          </cell>
          <cell r="D138" t="str">
            <v>CTS</v>
          </cell>
          <cell r="E138" t="str">
            <v>Rodoimport</v>
          </cell>
          <cell r="F138">
            <v>43651</v>
          </cell>
          <cell r="G138">
            <v>43659</v>
          </cell>
          <cell r="H138">
            <v>43661</v>
          </cell>
          <cell r="I138" t="str">
            <v>15.07.2019</v>
          </cell>
          <cell r="J138" t="str">
            <v>19.07.2019</v>
          </cell>
          <cell r="K138" t="str">
            <v>-</v>
          </cell>
          <cell r="L138" t="str">
            <v>OK</v>
          </cell>
        </row>
        <row r="139">
          <cell r="A139" t="str">
            <v>AHW-43015I19</v>
          </cell>
          <cell r="B139" t="str">
            <v>CTS115537</v>
          </cell>
          <cell r="C139" t="str">
            <v>Original</v>
          </cell>
          <cell r="D139" t="str">
            <v>CTS</v>
          </cell>
          <cell r="E139" t="str">
            <v>Rodoimport</v>
          </cell>
          <cell r="F139">
            <v>43651</v>
          </cell>
          <cell r="G139">
            <v>43659</v>
          </cell>
          <cell r="H139">
            <v>43661</v>
          </cell>
          <cell r="I139" t="str">
            <v>17.07.2019</v>
          </cell>
          <cell r="J139" t="str">
            <v>19.07.2019</v>
          </cell>
          <cell r="K139" t="str">
            <v>-</v>
          </cell>
          <cell r="L139" t="str">
            <v>OK</v>
          </cell>
        </row>
        <row r="140">
          <cell r="A140" t="str">
            <v>AHW-43016I19</v>
          </cell>
          <cell r="B140" t="str">
            <v>CTS115538</v>
          </cell>
          <cell r="C140" t="str">
            <v>Original</v>
          </cell>
          <cell r="D140" t="str">
            <v>CTS</v>
          </cell>
          <cell r="E140" t="str">
            <v>Rodoimport</v>
          </cell>
          <cell r="F140">
            <v>43651</v>
          </cell>
          <cell r="G140">
            <v>43659</v>
          </cell>
          <cell r="H140">
            <v>43661</v>
          </cell>
          <cell r="I140" t="str">
            <v>15.07.2019</v>
          </cell>
          <cell r="J140" t="str">
            <v>19.07.2019</v>
          </cell>
          <cell r="K140" t="str">
            <v>-</v>
          </cell>
          <cell r="L140" t="str">
            <v>OK</v>
          </cell>
        </row>
        <row r="141">
          <cell r="A141" t="str">
            <v>AHW-43013I19</v>
          </cell>
          <cell r="B141" t="str">
            <v>CTS115535</v>
          </cell>
          <cell r="C141" t="str">
            <v>Original</v>
          </cell>
          <cell r="D141" t="str">
            <v>CTS</v>
          </cell>
          <cell r="E141" t="str">
            <v>Rodoimport</v>
          </cell>
          <cell r="F141">
            <v>43654</v>
          </cell>
          <cell r="G141">
            <v>43662</v>
          </cell>
          <cell r="H141">
            <v>43664</v>
          </cell>
          <cell r="I141" t="str">
            <v>17.07.2019</v>
          </cell>
          <cell r="J141" t="str">
            <v>19.07.2019</v>
          </cell>
          <cell r="K141" t="str">
            <v>-</v>
          </cell>
          <cell r="L141" t="str">
            <v>OK</v>
          </cell>
        </row>
        <row r="142">
          <cell r="A142" t="str">
            <v>AHW-42952I19</v>
          </cell>
          <cell r="B142" t="str">
            <v>CTS115559</v>
          </cell>
          <cell r="C142" t="str">
            <v>Original</v>
          </cell>
          <cell r="D142" t="str">
            <v>CTS</v>
          </cell>
          <cell r="E142" t="str">
            <v>Rodoimport</v>
          </cell>
          <cell r="F142">
            <v>43655</v>
          </cell>
          <cell r="G142">
            <v>43663</v>
          </cell>
          <cell r="H142">
            <v>43665</v>
          </cell>
          <cell r="I142" t="str">
            <v>17.07.2019</v>
          </cell>
          <cell r="J142" t="str">
            <v>19.07.2019</v>
          </cell>
          <cell r="K142" t="str">
            <v>-</v>
          </cell>
          <cell r="L142" t="str">
            <v>OK</v>
          </cell>
        </row>
        <row r="143">
          <cell r="A143" t="str">
            <v>AHW-42953I19</v>
          </cell>
          <cell r="B143" t="str">
            <v>CTS115558</v>
          </cell>
          <cell r="C143" t="str">
            <v>Original</v>
          </cell>
          <cell r="D143" t="str">
            <v>CTS</v>
          </cell>
          <cell r="E143" t="str">
            <v>Rodoimport</v>
          </cell>
          <cell r="F143">
            <v>43655</v>
          </cell>
          <cell r="G143">
            <v>43663</v>
          </cell>
          <cell r="H143">
            <v>43665</v>
          </cell>
          <cell r="I143" t="str">
            <v>17.07.2019</v>
          </cell>
          <cell r="J143" t="str">
            <v>19.07.2019</v>
          </cell>
          <cell r="K143" t="str">
            <v>-</v>
          </cell>
          <cell r="L143" t="str">
            <v>OK</v>
          </cell>
        </row>
        <row r="144">
          <cell r="A144" t="str">
            <v>AHW-43005I19</v>
          </cell>
          <cell r="B144" t="str">
            <v>CTS115551</v>
          </cell>
          <cell r="C144" t="str">
            <v>Original</v>
          </cell>
          <cell r="D144" t="str">
            <v>CTS</v>
          </cell>
          <cell r="E144" t="str">
            <v>Rodoimport</v>
          </cell>
          <cell r="F144">
            <v>43655</v>
          </cell>
          <cell r="G144">
            <v>43663</v>
          </cell>
          <cell r="H144">
            <v>43665</v>
          </cell>
          <cell r="I144" t="str">
            <v>17.07.2019</v>
          </cell>
          <cell r="J144" t="str">
            <v>19.07.2019</v>
          </cell>
          <cell r="K144" t="str">
            <v>-</v>
          </cell>
          <cell r="L144" t="str">
            <v>OK</v>
          </cell>
        </row>
        <row r="145">
          <cell r="A145" t="str">
            <v>AHW-43009I19</v>
          </cell>
          <cell r="B145" t="str">
            <v>CTS115555</v>
          </cell>
          <cell r="C145" t="str">
            <v>Original</v>
          </cell>
          <cell r="D145" t="str">
            <v>CTS</v>
          </cell>
          <cell r="E145" t="str">
            <v>Rodoimport</v>
          </cell>
          <cell r="F145">
            <v>43656</v>
          </cell>
          <cell r="G145">
            <v>43664</v>
          </cell>
          <cell r="H145">
            <v>43666</v>
          </cell>
          <cell r="I145" t="str">
            <v>17.07.2019</v>
          </cell>
          <cell r="J145" t="str">
            <v>19.07.2019</v>
          </cell>
          <cell r="K145" t="str">
            <v>-</v>
          </cell>
          <cell r="L145" t="str">
            <v>OK</v>
          </cell>
        </row>
        <row r="146">
          <cell r="A146" t="str">
            <v>AHW-42993I19</v>
          </cell>
          <cell r="B146" t="str">
            <v>CTS115560</v>
          </cell>
          <cell r="C146" t="str">
            <v>Original</v>
          </cell>
          <cell r="D146" t="str">
            <v>CTS</v>
          </cell>
          <cell r="E146" t="str">
            <v>Rodoimport</v>
          </cell>
          <cell r="F146">
            <v>43656</v>
          </cell>
          <cell r="G146">
            <v>43664</v>
          </cell>
          <cell r="H146">
            <v>43666</v>
          </cell>
          <cell r="I146" t="str">
            <v>17.07.2019</v>
          </cell>
          <cell r="J146" t="str">
            <v>19.07.2019</v>
          </cell>
          <cell r="K146" t="str">
            <v>-</v>
          </cell>
          <cell r="L146" t="str">
            <v>OK</v>
          </cell>
        </row>
        <row r="147">
          <cell r="A147" t="str">
            <v>AHW-43007I19</v>
          </cell>
          <cell r="B147" t="str">
            <v>CTS115553</v>
          </cell>
          <cell r="C147" t="str">
            <v>Original</v>
          </cell>
          <cell r="D147" t="str">
            <v>CTS</v>
          </cell>
          <cell r="E147" t="str">
            <v>Rodoimport</v>
          </cell>
          <cell r="F147">
            <v>43656</v>
          </cell>
          <cell r="G147">
            <v>43664</v>
          </cell>
          <cell r="H147">
            <v>43666</v>
          </cell>
          <cell r="I147" t="str">
            <v>17.07.2019</v>
          </cell>
          <cell r="J147" t="str">
            <v>19.07.2019</v>
          </cell>
          <cell r="K147" t="str">
            <v>-</v>
          </cell>
          <cell r="L147" t="str">
            <v>OK</v>
          </cell>
        </row>
        <row r="148">
          <cell r="A148" t="str">
            <v>AHW-43008I19</v>
          </cell>
          <cell r="B148" t="str">
            <v>CTS115554</v>
          </cell>
          <cell r="C148" t="str">
            <v>Original</v>
          </cell>
          <cell r="D148" t="str">
            <v>CTS</v>
          </cell>
          <cell r="E148" t="str">
            <v>Rodoimport</v>
          </cell>
          <cell r="F148">
            <v>43656</v>
          </cell>
          <cell r="G148">
            <v>43664</v>
          </cell>
          <cell r="H148">
            <v>43666</v>
          </cell>
          <cell r="I148" t="str">
            <v>17.07.2019</v>
          </cell>
          <cell r="J148" t="str">
            <v>19.07.2019</v>
          </cell>
          <cell r="K148" t="str">
            <v>-</v>
          </cell>
          <cell r="L148" t="str">
            <v>OK</v>
          </cell>
        </row>
        <row r="149">
          <cell r="A149" t="str">
            <v>AHW-42996I19</v>
          </cell>
          <cell r="B149" t="str">
            <v>CTS115562</v>
          </cell>
          <cell r="C149" t="str">
            <v>Original</v>
          </cell>
          <cell r="D149" t="str">
            <v>CTS</v>
          </cell>
          <cell r="E149" t="str">
            <v>Rodoimport</v>
          </cell>
          <cell r="F149">
            <v>43656</v>
          </cell>
          <cell r="G149">
            <v>43664</v>
          </cell>
          <cell r="H149">
            <v>43666</v>
          </cell>
          <cell r="I149" t="str">
            <v>17.07.2019</v>
          </cell>
          <cell r="J149" t="str">
            <v>19.07.2019</v>
          </cell>
          <cell r="K149" t="str">
            <v>-</v>
          </cell>
          <cell r="L149" t="str">
            <v>OK</v>
          </cell>
        </row>
        <row r="150">
          <cell r="A150" t="str">
            <v>AHW-42995I19</v>
          </cell>
          <cell r="B150" t="str">
            <v>CTS115563</v>
          </cell>
          <cell r="C150" t="str">
            <v>Original</v>
          </cell>
          <cell r="D150" t="str">
            <v>CTS</v>
          </cell>
          <cell r="E150" t="str">
            <v>Rodoimport</v>
          </cell>
          <cell r="F150">
            <v>43656</v>
          </cell>
          <cell r="G150">
            <v>43664</v>
          </cell>
          <cell r="H150">
            <v>43666</v>
          </cell>
          <cell r="I150" t="str">
            <v>17.07.2019</v>
          </cell>
          <cell r="J150" t="str">
            <v>19.07.2019</v>
          </cell>
          <cell r="K150" t="str">
            <v>-</v>
          </cell>
          <cell r="L150" t="str">
            <v>OK</v>
          </cell>
        </row>
        <row r="151">
          <cell r="A151" t="str">
            <v>AHW-42994I19</v>
          </cell>
          <cell r="B151" t="str">
            <v>CTS115561</v>
          </cell>
          <cell r="C151" t="str">
            <v>Original</v>
          </cell>
          <cell r="D151" t="str">
            <v>CTS</v>
          </cell>
          <cell r="E151" t="str">
            <v>Rodoimport</v>
          </cell>
          <cell r="F151">
            <v>43656</v>
          </cell>
          <cell r="G151">
            <v>43664</v>
          </cell>
          <cell r="H151">
            <v>43666</v>
          </cell>
          <cell r="I151" t="str">
            <v>17.07.2019</v>
          </cell>
          <cell r="J151" t="str">
            <v>19.07.2019</v>
          </cell>
          <cell r="K151" t="str">
            <v>-</v>
          </cell>
          <cell r="L151" t="str">
            <v>OK</v>
          </cell>
        </row>
        <row r="152">
          <cell r="A152" t="str">
            <v>AHW-43006I19</v>
          </cell>
          <cell r="B152" t="str">
            <v>CTS115552</v>
          </cell>
          <cell r="C152" t="str">
            <v>Original</v>
          </cell>
          <cell r="D152" t="str">
            <v>CTS</v>
          </cell>
          <cell r="E152" t="str">
            <v>Rodoimport</v>
          </cell>
          <cell r="F152">
            <v>43656</v>
          </cell>
          <cell r="G152">
            <v>43664</v>
          </cell>
          <cell r="H152">
            <v>43666</v>
          </cell>
          <cell r="I152" t="str">
            <v>17.07.2019</v>
          </cell>
          <cell r="J152" t="str">
            <v>19.07.2019</v>
          </cell>
          <cell r="K152" t="str">
            <v>-</v>
          </cell>
          <cell r="L152" t="str">
            <v>OK</v>
          </cell>
        </row>
        <row r="153">
          <cell r="A153" t="str">
            <v>AHW-43070I19</v>
          </cell>
          <cell r="B153" t="str">
            <v>CTS116810</v>
          </cell>
          <cell r="C153" t="str">
            <v>Original</v>
          </cell>
          <cell r="D153" t="str">
            <v>CTS</v>
          </cell>
          <cell r="E153" t="str">
            <v>Rodoimport</v>
          </cell>
          <cell r="F153">
            <v>43656</v>
          </cell>
          <cell r="G153">
            <v>43664</v>
          </cell>
          <cell r="H153">
            <v>43666</v>
          </cell>
          <cell r="I153" t="str">
            <v>17.07.2019</v>
          </cell>
          <cell r="J153" t="str">
            <v>19.07.2019</v>
          </cell>
          <cell r="K153" t="str">
            <v>-</v>
          </cell>
          <cell r="L153" t="str">
            <v>OK</v>
          </cell>
        </row>
        <row r="154">
          <cell r="A154" t="str">
            <v>AHW-43071I19</v>
          </cell>
          <cell r="B154" t="str">
            <v>CTS116811</v>
          </cell>
          <cell r="C154" t="str">
            <v>Original</v>
          </cell>
          <cell r="D154" t="str">
            <v>CTS</v>
          </cell>
          <cell r="E154" t="str">
            <v>Rodoimport</v>
          </cell>
          <cell r="F154">
            <v>43656</v>
          </cell>
          <cell r="G154">
            <v>43664</v>
          </cell>
          <cell r="H154">
            <v>43666</v>
          </cell>
          <cell r="I154" t="str">
            <v>17.07.2019</v>
          </cell>
          <cell r="J154" t="str">
            <v>19.07.2019</v>
          </cell>
          <cell r="K154" t="str">
            <v>-</v>
          </cell>
          <cell r="L154" t="str">
            <v>OK</v>
          </cell>
        </row>
        <row r="155">
          <cell r="A155" t="str">
            <v>AHW-43018I19</v>
          </cell>
          <cell r="B155" t="str">
            <v>CTS116805</v>
          </cell>
          <cell r="C155" t="str">
            <v>Original</v>
          </cell>
          <cell r="D155" t="str">
            <v>CTS</v>
          </cell>
          <cell r="E155" t="str">
            <v>Rodoimport</v>
          </cell>
          <cell r="F155">
            <v>43657</v>
          </cell>
          <cell r="G155">
            <v>43665</v>
          </cell>
          <cell r="H155">
            <v>43667</v>
          </cell>
          <cell r="I155" t="str">
            <v>17.07.2019</v>
          </cell>
          <cell r="J155" t="str">
            <v>19.07.2019</v>
          </cell>
          <cell r="K155" t="str">
            <v>-</v>
          </cell>
          <cell r="L155" t="str">
            <v>OK</v>
          </cell>
        </row>
        <row r="156">
          <cell r="A156" t="str">
            <v>AHW-42998I19</v>
          </cell>
          <cell r="B156" t="str">
            <v>CTS115528</v>
          </cell>
          <cell r="C156" t="str">
            <v>Original</v>
          </cell>
          <cell r="D156" t="str">
            <v>CTS</v>
          </cell>
          <cell r="E156" t="str">
            <v>Rodoimport</v>
          </cell>
          <cell r="F156">
            <v>43657</v>
          </cell>
          <cell r="G156">
            <v>43665</v>
          </cell>
          <cell r="H156">
            <v>43667</v>
          </cell>
          <cell r="I156" t="str">
            <v>17.07.2019</v>
          </cell>
          <cell r="J156" t="str">
            <v>19.07.2019</v>
          </cell>
          <cell r="K156" t="str">
            <v>-</v>
          </cell>
          <cell r="L156" t="str">
            <v>OK</v>
          </cell>
        </row>
        <row r="157">
          <cell r="A157" t="str">
            <v>AHW-43024I19</v>
          </cell>
          <cell r="B157" t="str">
            <v>CTS116812</v>
          </cell>
          <cell r="C157" t="str">
            <v>Original</v>
          </cell>
          <cell r="D157" t="str">
            <v>CTS</v>
          </cell>
          <cell r="E157" t="str">
            <v>Rodoimport</v>
          </cell>
          <cell r="F157">
            <v>43657</v>
          </cell>
          <cell r="G157">
            <v>43665</v>
          </cell>
          <cell r="H157">
            <v>43667</v>
          </cell>
          <cell r="I157" t="str">
            <v>18.07.2019</v>
          </cell>
          <cell r="J157" t="str">
            <v>19.07.2019</v>
          </cell>
          <cell r="K157" t="str">
            <v>-</v>
          </cell>
          <cell r="L157" t="str">
            <v>OK</v>
          </cell>
        </row>
        <row r="158">
          <cell r="A158" t="str">
            <v>AHW-43025I19</v>
          </cell>
          <cell r="B158" t="str">
            <v>CTS116813</v>
          </cell>
          <cell r="C158" t="str">
            <v>Original</v>
          </cell>
          <cell r="D158" t="str">
            <v>CTS</v>
          </cell>
          <cell r="E158" t="str">
            <v>Rodoimport</v>
          </cell>
          <cell r="F158">
            <v>43657</v>
          </cell>
          <cell r="G158">
            <v>43665</v>
          </cell>
          <cell r="H158">
            <v>43667</v>
          </cell>
          <cell r="I158" t="str">
            <v>18.07.2019</v>
          </cell>
          <cell r="J158" t="str">
            <v>19.07.2019</v>
          </cell>
          <cell r="K158" t="str">
            <v>-</v>
          </cell>
          <cell r="L158" t="str">
            <v>OK</v>
          </cell>
        </row>
        <row r="159">
          <cell r="A159" t="str">
            <v>AHW-43064I19</v>
          </cell>
          <cell r="B159" t="str">
            <v>CTS116916</v>
          </cell>
          <cell r="C159" t="str">
            <v>Original</v>
          </cell>
          <cell r="D159" t="str">
            <v>CTS</v>
          </cell>
          <cell r="E159" t="str">
            <v>Rodoimport</v>
          </cell>
          <cell r="F159">
            <v>43657</v>
          </cell>
          <cell r="G159">
            <v>43665</v>
          </cell>
          <cell r="H159">
            <v>43667</v>
          </cell>
          <cell r="I159" t="str">
            <v>18.07.2019</v>
          </cell>
          <cell r="J159" t="str">
            <v>19.07.2019</v>
          </cell>
          <cell r="K159" t="str">
            <v>-</v>
          </cell>
          <cell r="L159" t="str">
            <v>OK</v>
          </cell>
        </row>
        <row r="160">
          <cell r="A160" t="str">
            <v>VMI-42821i19</v>
          </cell>
          <cell r="B160" t="str">
            <v>-</v>
          </cell>
          <cell r="C160" t="str">
            <v>Original</v>
          </cell>
          <cell r="D160" t="str">
            <v>-</v>
          </cell>
          <cell r="E160" t="str">
            <v>Pacer</v>
          </cell>
          <cell r="F160">
            <v>43657</v>
          </cell>
          <cell r="G160">
            <v>43665</v>
          </cell>
          <cell r="H160">
            <v>43667</v>
          </cell>
          <cell r="I160" t="str">
            <v>16.07.2019</v>
          </cell>
          <cell r="J160" t="str">
            <v>-</v>
          </cell>
          <cell r="K160" t="str">
            <v>-</v>
          </cell>
          <cell r="L160" t="str">
            <v>OK</v>
          </cell>
        </row>
        <row r="161">
          <cell r="A161" t="str">
            <v>VMI-42818i19</v>
          </cell>
          <cell r="B161" t="str">
            <v>-</v>
          </cell>
          <cell r="C161" t="str">
            <v>Original</v>
          </cell>
          <cell r="D161" t="str">
            <v>-</v>
          </cell>
          <cell r="E161" t="str">
            <v>Pacer</v>
          </cell>
          <cell r="F161">
            <v>43657</v>
          </cell>
          <cell r="G161">
            <v>43665</v>
          </cell>
          <cell r="H161">
            <v>43667</v>
          </cell>
          <cell r="I161" t="str">
            <v>17.07.2019</v>
          </cell>
          <cell r="J161" t="str">
            <v>-</v>
          </cell>
          <cell r="K161" t="str">
            <v>-</v>
          </cell>
          <cell r="L161" t="str">
            <v>OK</v>
          </cell>
        </row>
        <row r="162">
          <cell r="A162" t="str">
            <v>VMI-42832i19</v>
          </cell>
          <cell r="B162" t="str">
            <v>-</v>
          </cell>
          <cell r="C162" t="str">
            <v>Original</v>
          </cell>
          <cell r="D162" t="str">
            <v>-</v>
          </cell>
          <cell r="E162" t="str">
            <v>Pacer</v>
          </cell>
          <cell r="F162">
            <v>43657</v>
          </cell>
          <cell r="G162">
            <v>43665</v>
          </cell>
          <cell r="H162">
            <v>43667</v>
          </cell>
          <cell r="I162" t="str">
            <v>17.07.2019</v>
          </cell>
          <cell r="J162" t="str">
            <v>-</v>
          </cell>
          <cell r="K162" t="str">
            <v>-</v>
          </cell>
          <cell r="L162" t="str">
            <v>OK</v>
          </cell>
        </row>
        <row r="163">
          <cell r="A163" t="str">
            <v>AHW-43150I19</v>
          </cell>
          <cell r="B163" t="str">
            <v>CTS116804</v>
          </cell>
          <cell r="C163" t="str">
            <v>Original</v>
          </cell>
          <cell r="D163" t="str">
            <v>CTS</v>
          </cell>
          <cell r="E163" t="str">
            <v>Rodoimport</v>
          </cell>
          <cell r="F163">
            <v>43658</v>
          </cell>
          <cell r="G163">
            <v>43666</v>
          </cell>
          <cell r="H163">
            <v>43668</v>
          </cell>
          <cell r="I163" t="str">
            <v>18.07.2019</v>
          </cell>
          <cell r="J163" t="str">
            <v>19.07.2019</v>
          </cell>
          <cell r="K163" t="str">
            <v>-</v>
          </cell>
          <cell r="L163" t="str">
            <v>OK</v>
          </cell>
        </row>
        <row r="164">
          <cell r="A164" t="str">
            <v>VMI-42817i19</v>
          </cell>
          <cell r="B164" t="str">
            <v>-</v>
          </cell>
          <cell r="C164" t="str">
            <v>Original</v>
          </cell>
          <cell r="D164" t="str">
            <v>-</v>
          </cell>
          <cell r="E164" t="str">
            <v>Pacer</v>
          </cell>
          <cell r="F164">
            <v>43658</v>
          </cell>
          <cell r="G164">
            <v>43666</v>
          </cell>
          <cell r="H164">
            <v>43668</v>
          </cell>
          <cell r="I164" t="str">
            <v>17.07.2019</v>
          </cell>
          <cell r="J164" t="str">
            <v>-</v>
          </cell>
          <cell r="K164" t="str">
            <v>-</v>
          </cell>
          <cell r="L164" t="str">
            <v>OK</v>
          </cell>
        </row>
        <row r="165">
          <cell r="A165" t="str">
            <v>VMI-42819i19</v>
          </cell>
          <cell r="B165" t="str">
            <v>-</v>
          </cell>
          <cell r="C165" t="str">
            <v>Original</v>
          </cell>
          <cell r="D165" t="str">
            <v>-</v>
          </cell>
          <cell r="E165" t="str">
            <v>Pacer</v>
          </cell>
          <cell r="F165">
            <v>43658</v>
          </cell>
          <cell r="G165">
            <v>43666</v>
          </cell>
          <cell r="H165">
            <v>43668</v>
          </cell>
          <cell r="I165" t="str">
            <v>16.07.2019</v>
          </cell>
          <cell r="J165" t="str">
            <v>-</v>
          </cell>
          <cell r="K165" t="str">
            <v>-</v>
          </cell>
          <cell r="L165" t="str">
            <v>OK</v>
          </cell>
        </row>
        <row r="166">
          <cell r="A166" t="str">
            <v>AHW-43027I19</v>
          </cell>
          <cell r="B166" t="str">
            <v>CTS116807</v>
          </cell>
          <cell r="C166" t="str">
            <v>Original</v>
          </cell>
          <cell r="D166" t="str">
            <v>CTS</v>
          </cell>
          <cell r="E166" t="str">
            <v>Rodoimport</v>
          </cell>
          <cell r="F166">
            <v>43658</v>
          </cell>
          <cell r="G166">
            <v>43666</v>
          </cell>
          <cell r="H166">
            <v>43668</v>
          </cell>
          <cell r="I166" t="str">
            <v>18.07.2019</v>
          </cell>
          <cell r="J166" t="str">
            <v>19.07.2019</v>
          </cell>
          <cell r="K166" t="str">
            <v>-</v>
          </cell>
          <cell r="L166" t="str">
            <v>OK</v>
          </cell>
        </row>
        <row r="167">
          <cell r="A167" t="str">
            <v>AHW-42997I19</v>
          </cell>
          <cell r="B167" t="str">
            <v>CTS116790</v>
          </cell>
          <cell r="C167" t="str">
            <v>Original</v>
          </cell>
          <cell r="D167" t="str">
            <v>CTS</v>
          </cell>
          <cell r="E167" t="str">
            <v>Rodoimport</v>
          </cell>
          <cell r="F167">
            <v>43658</v>
          </cell>
          <cell r="G167">
            <v>43666</v>
          </cell>
          <cell r="H167">
            <v>43668</v>
          </cell>
          <cell r="I167" t="str">
            <v>18.07.2019</v>
          </cell>
          <cell r="J167" t="str">
            <v>19.07.2019</v>
          </cell>
          <cell r="K167" t="str">
            <v>-</v>
          </cell>
          <cell r="L167" t="str">
            <v>OK</v>
          </cell>
        </row>
        <row r="168">
          <cell r="A168" t="str">
            <v>AHW-43147I19</v>
          </cell>
          <cell r="B168" t="str">
            <v>CTS116815</v>
          </cell>
          <cell r="C168" t="str">
            <v>Original</v>
          </cell>
          <cell r="D168" t="str">
            <v>CTS</v>
          </cell>
          <cell r="E168" t="str">
            <v>Rodoimport</v>
          </cell>
          <cell r="F168">
            <v>43662</v>
          </cell>
          <cell r="G168">
            <v>43670</v>
          </cell>
          <cell r="H168">
            <v>43672</v>
          </cell>
          <cell r="I168" t="str">
            <v>25.07.2019</v>
          </cell>
          <cell r="J168" t="str">
            <v>07.08.2019</v>
          </cell>
          <cell r="K168" t="str">
            <v>-</v>
          </cell>
          <cell r="L168" t="str">
            <v>OK</v>
          </cell>
        </row>
        <row r="169">
          <cell r="A169" t="str">
            <v>AHW-43166I19</v>
          </cell>
          <cell r="B169" t="str">
            <v>CTS116917</v>
          </cell>
          <cell r="C169" t="str">
            <v>Original</v>
          </cell>
          <cell r="D169" t="str">
            <v>CTS</v>
          </cell>
          <cell r="E169" t="str">
            <v>Rodoimport</v>
          </cell>
          <cell r="F169">
            <v>43662</v>
          </cell>
          <cell r="G169">
            <v>43670</v>
          </cell>
          <cell r="H169">
            <v>43672</v>
          </cell>
          <cell r="I169" t="str">
            <v>25.07.2019</v>
          </cell>
          <cell r="J169" t="str">
            <v>07.08.2019</v>
          </cell>
          <cell r="K169" t="str">
            <v>-</v>
          </cell>
          <cell r="L169" t="str">
            <v>OK</v>
          </cell>
        </row>
        <row r="170">
          <cell r="A170" t="str">
            <v>AHW-43146I19</v>
          </cell>
          <cell r="B170" t="str">
            <v>CTS116814</v>
          </cell>
          <cell r="C170" t="str">
            <v>Original</v>
          </cell>
          <cell r="D170" t="str">
            <v>CTS</v>
          </cell>
          <cell r="E170" t="str">
            <v>Rodoimport</v>
          </cell>
          <cell r="F170">
            <v>43662</v>
          </cell>
          <cell r="G170">
            <v>43670</v>
          </cell>
          <cell r="H170">
            <v>43672</v>
          </cell>
          <cell r="I170" t="str">
            <v>24.07.2019</v>
          </cell>
          <cell r="J170" t="str">
            <v>07.08.2019</v>
          </cell>
          <cell r="K170" t="str">
            <v>-</v>
          </cell>
          <cell r="L170" t="str">
            <v>OK</v>
          </cell>
        </row>
        <row r="171">
          <cell r="A171" t="str">
            <v>VMI-43157I19</v>
          </cell>
          <cell r="B171" t="str">
            <v>-</v>
          </cell>
          <cell r="C171" t="str">
            <v>Original</v>
          </cell>
          <cell r="D171" t="str">
            <v>-</v>
          </cell>
          <cell r="E171" t="str">
            <v>Pacer</v>
          </cell>
          <cell r="F171">
            <v>43662</v>
          </cell>
          <cell r="G171">
            <v>43670</v>
          </cell>
          <cell r="H171">
            <v>43672</v>
          </cell>
          <cell r="I171" t="str">
            <v>22.07.2019</v>
          </cell>
          <cell r="J171" t="str">
            <v>-</v>
          </cell>
          <cell r="K171" t="str">
            <v>-</v>
          </cell>
          <cell r="L171" t="str">
            <v>OK</v>
          </cell>
        </row>
        <row r="172">
          <cell r="A172" t="str">
            <v>AHW-43220I19</v>
          </cell>
          <cell r="B172" t="str">
            <v>CTS116842</v>
          </cell>
          <cell r="C172" t="str">
            <v>Original</v>
          </cell>
          <cell r="D172" t="str">
            <v>CTS</v>
          </cell>
          <cell r="E172" t="str">
            <v>Rodoimport</v>
          </cell>
          <cell r="F172">
            <v>43662</v>
          </cell>
          <cell r="G172">
            <v>43670</v>
          </cell>
          <cell r="H172">
            <v>43672</v>
          </cell>
          <cell r="I172" t="str">
            <v>24.07.2019</v>
          </cell>
          <cell r="J172" t="str">
            <v>07.08.2019</v>
          </cell>
          <cell r="K172" t="str">
            <v>-</v>
          </cell>
          <cell r="L172" t="str">
            <v>OK</v>
          </cell>
        </row>
        <row r="173">
          <cell r="A173" t="str">
            <v>AHW-43225I19</v>
          </cell>
          <cell r="B173" t="str">
            <v>CTS116824</v>
          </cell>
          <cell r="C173" t="str">
            <v>Original</v>
          </cell>
          <cell r="D173" t="str">
            <v>CTS</v>
          </cell>
          <cell r="E173" t="str">
            <v>Rodoimport</v>
          </cell>
          <cell r="F173">
            <v>43662</v>
          </cell>
          <cell r="G173">
            <v>43670</v>
          </cell>
          <cell r="H173">
            <v>43672</v>
          </cell>
          <cell r="I173" t="str">
            <v>24.07.2019</v>
          </cell>
          <cell r="J173" t="str">
            <v>07.08.2019</v>
          </cell>
          <cell r="K173" t="str">
            <v>-</v>
          </cell>
          <cell r="L173" t="str">
            <v>OK</v>
          </cell>
        </row>
        <row r="174">
          <cell r="A174" t="str">
            <v>AHW-43227I19</v>
          </cell>
          <cell r="B174" t="str">
            <v>CTS116826</v>
          </cell>
          <cell r="C174" t="str">
            <v>Original</v>
          </cell>
          <cell r="D174" t="str">
            <v>CTS</v>
          </cell>
          <cell r="E174" t="str">
            <v>Rodoimport</v>
          </cell>
          <cell r="F174">
            <v>43662</v>
          </cell>
          <cell r="G174">
            <v>43670</v>
          </cell>
          <cell r="H174">
            <v>43672</v>
          </cell>
          <cell r="I174" t="str">
            <v>24.07.2019</v>
          </cell>
          <cell r="J174" t="str">
            <v>07.08.2019</v>
          </cell>
          <cell r="K174" t="str">
            <v>-</v>
          </cell>
          <cell r="L174" t="str">
            <v>OK</v>
          </cell>
        </row>
        <row r="175">
          <cell r="A175" t="str">
            <v>AHW-43226I19</v>
          </cell>
          <cell r="B175" t="str">
            <v>CTS116825</v>
          </cell>
          <cell r="C175" t="str">
            <v>Original</v>
          </cell>
          <cell r="D175" t="str">
            <v>CTS</v>
          </cell>
          <cell r="E175" t="str">
            <v>Rodoimport</v>
          </cell>
          <cell r="F175">
            <v>43663</v>
          </cell>
          <cell r="G175">
            <v>43671</v>
          </cell>
          <cell r="H175">
            <v>43673</v>
          </cell>
          <cell r="I175" t="str">
            <v>24.07.2019</v>
          </cell>
          <cell r="J175" t="str">
            <v>07.08.2019</v>
          </cell>
          <cell r="K175" t="str">
            <v>-</v>
          </cell>
          <cell r="L175" t="str">
            <v>OK</v>
          </cell>
        </row>
        <row r="176">
          <cell r="A176" t="str">
            <v>AHW-43228I19</v>
          </cell>
          <cell r="B176" t="str">
            <v>CTS116827</v>
          </cell>
          <cell r="C176" t="str">
            <v>Original</v>
          </cell>
          <cell r="D176" t="str">
            <v>CTS</v>
          </cell>
          <cell r="E176" t="str">
            <v>Rodoimport</v>
          </cell>
          <cell r="F176">
            <v>43663</v>
          </cell>
          <cell r="G176">
            <v>43671</v>
          </cell>
          <cell r="H176">
            <v>43673</v>
          </cell>
          <cell r="I176" t="str">
            <v>24.07.2019</v>
          </cell>
          <cell r="J176" t="str">
            <v>07.08.2019</v>
          </cell>
          <cell r="K176" t="str">
            <v>-</v>
          </cell>
          <cell r="L176" t="str">
            <v>OK</v>
          </cell>
        </row>
        <row r="177">
          <cell r="A177" t="str">
            <v>AHW-43302I19</v>
          </cell>
          <cell r="B177" t="str">
            <v>CTS116806</v>
          </cell>
          <cell r="C177" t="str">
            <v>Original</v>
          </cell>
          <cell r="D177" t="str">
            <v>CTS</v>
          </cell>
          <cell r="E177" t="str">
            <v>Rodoimport</v>
          </cell>
          <cell r="F177">
            <v>43668</v>
          </cell>
          <cell r="G177">
            <v>43676</v>
          </cell>
          <cell r="H177">
            <v>43678</v>
          </cell>
          <cell r="I177" t="str">
            <v>07.08.2019</v>
          </cell>
          <cell r="J177" t="str">
            <v>07.08.2019</v>
          </cell>
          <cell r="K177" t="str">
            <v>-</v>
          </cell>
          <cell r="L177" t="str">
            <v>OK</v>
          </cell>
        </row>
        <row r="178">
          <cell r="A178" t="str">
            <v>AHW-43305I19</v>
          </cell>
          <cell r="B178" t="str">
            <v>CTS116853</v>
          </cell>
          <cell r="C178" t="str">
            <v>Original</v>
          </cell>
          <cell r="D178" t="str">
            <v>CTS</v>
          </cell>
          <cell r="E178" t="str">
            <v>Rodoimport</v>
          </cell>
          <cell r="F178">
            <v>43668</v>
          </cell>
          <cell r="G178">
            <v>43676</v>
          </cell>
          <cell r="H178">
            <v>43678</v>
          </cell>
          <cell r="I178" t="str">
            <v>07.08.2019</v>
          </cell>
          <cell r="J178" t="str">
            <v>07.08.2019</v>
          </cell>
          <cell r="K178" t="str">
            <v>-</v>
          </cell>
          <cell r="L178" t="str">
            <v>OK</v>
          </cell>
        </row>
        <row r="179">
          <cell r="A179" t="str">
            <v>AHW-43306I19</v>
          </cell>
          <cell r="B179" t="str">
            <v>CTS116854</v>
          </cell>
          <cell r="C179" t="str">
            <v>Original</v>
          </cell>
          <cell r="D179" t="str">
            <v>CTS</v>
          </cell>
          <cell r="E179" t="str">
            <v>Rodoimport</v>
          </cell>
          <cell r="F179">
            <v>43668</v>
          </cell>
          <cell r="G179">
            <v>43676</v>
          </cell>
          <cell r="H179">
            <v>43678</v>
          </cell>
          <cell r="I179" t="str">
            <v>07.08.2019</v>
          </cell>
          <cell r="J179" t="str">
            <v>07.08.2019</v>
          </cell>
          <cell r="K179" t="str">
            <v>-</v>
          </cell>
          <cell r="L179" t="str">
            <v>OK</v>
          </cell>
        </row>
        <row r="180">
          <cell r="A180" t="str">
            <v>AHW-43304I19</v>
          </cell>
          <cell r="B180" t="str">
            <v>CTS116852</v>
          </cell>
          <cell r="C180" t="str">
            <v>Original</v>
          </cell>
          <cell r="D180" t="str">
            <v>CTS</v>
          </cell>
          <cell r="E180" t="str">
            <v>Rodoimport</v>
          </cell>
          <cell r="F180">
            <v>43669</v>
          </cell>
          <cell r="G180">
            <v>43677</v>
          </cell>
          <cell r="H180">
            <v>43679</v>
          </cell>
          <cell r="I180" t="str">
            <v>07.08.2019</v>
          </cell>
          <cell r="J180" t="str">
            <v>07.08.2019</v>
          </cell>
          <cell r="K180" t="str">
            <v>-</v>
          </cell>
          <cell r="L180" t="str">
            <v>OK</v>
          </cell>
        </row>
        <row r="181">
          <cell r="A181" t="str">
            <v>AHW-43309I19</v>
          </cell>
          <cell r="B181" t="str">
            <v>CTS116873</v>
          </cell>
          <cell r="C181" t="str">
            <v>Original</v>
          </cell>
          <cell r="D181" t="str">
            <v>CTS</v>
          </cell>
          <cell r="E181" t="str">
            <v>Rodoimport</v>
          </cell>
          <cell r="F181">
            <v>43669</v>
          </cell>
          <cell r="G181">
            <v>43677</v>
          </cell>
          <cell r="H181">
            <v>43679</v>
          </cell>
          <cell r="I181" t="str">
            <v>07.08.2019</v>
          </cell>
          <cell r="J181" t="str">
            <v>07.08.2019</v>
          </cell>
          <cell r="K181" t="str">
            <v>-</v>
          </cell>
          <cell r="L181" t="str">
            <v>OK</v>
          </cell>
        </row>
        <row r="182">
          <cell r="A182" t="str">
            <v>AHW-43310I19</v>
          </cell>
          <cell r="B182" t="str">
            <v>CTS116874</v>
          </cell>
          <cell r="C182" t="str">
            <v>Original</v>
          </cell>
          <cell r="D182" t="str">
            <v>CTS</v>
          </cell>
          <cell r="E182" t="str">
            <v>Rodoimport</v>
          </cell>
          <cell r="F182">
            <v>43669</v>
          </cell>
          <cell r="G182">
            <v>43677</v>
          </cell>
          <cell r="H182">
            <v>43679</v>
          </cell>
          <cell r="I182" t="str">
            <v>07.08.2019</v>
          </cell>
          <cell r="J182" t="str">
            <v>07.08.2019</v>
          </cell>
          <cell r="K182" t="str">
            <v>-</v>
          </cell>
          <cell r="L182" t="str">
            <v>OK</v>
          </cell>
        </row>
        <row r="183">
          <cell r="A183" t="str">
            <v>AHW-43311I19</v>
          </cell>
          <cell r="B183" t="str">
            <v>CTS116875</v>
          </cell>
          <cell r="C183" t="str">
            <v>Original</v>
          </cell>
          <cell r="D183" t="str">
            <v>CTS</v>
          </cell>
          <cell r="E183" t="str">
            <v>Rodoimport</v>
          </cell>
          <cell r="F183">
            <v>43669</v>
          </cell>
          <cell r="G183">
            <v>43677</v>
          </cell>
          <cell r="H183">
            <v>43679</v>
          </cell>
          <cell r="I183" t="str">
            <v>07.08.2019</v>
          </cell>
          <cell r="J183" t="str">
            <v>07.08.2019</v>
          </cell>
          <cell r="K183" t="str">
            <v>-</v>
          </cell>
          <cell r="L183" t="str">
            <v>OK</v>
          </cell>
        </row>
        <row r="184">
          <cell r="A184" t="str">
            <v>AHW-43312I19</v>
          </cell>
          <cell r="B184" t="str">
            <v>CTS116876</v>
          </cell>
          <cell r="C184" t="str">
            <v>Original</v>
          </cell>
          <cell r="D184" t="str">
            <v>CTS</v>
          </cell>
          <cell r="E184" t="str">
            <v>Rodoimport</v>
          </cell>
          <cell r="F184">
            <v>43669</v>
          </cell>
          <cell r="G184">
            <v>43677</v>
          </cell>
          <cell r="H184">
            <v>43679</v>
          </cell>
          <cell r="I184" t="str">
            <v>07.08.2019</v>
          </cell>
          <cell r="J184" t="str">
            <v>07.08.2019</v>
          </cell>
          <cell r="K184" t="str">
            <v>-</v>
          </cell>
          <cell r="L184" t="str">
            <v>OK</v>
          </cell>
        </row>
        <row r="185">
          <cell r="A185" t="str">
            <v>AHW-43313I19</v>
          </cell>
          <cell r="B185" t="str">
            <v>CTS116877</v>
          </cell>
          <cell r="C185" t="str">
            <v>Original</v>
          </cell>
          <cell r="D185" t="str">
            <v>CTS</v>
          </cell>
          <cell r="E185" t="str">
            <v>Rodoimport</v>
          </cell>
          <cell r="F185">
            <v>43669</v>
          </cell>
          <cell r="G185">
            <v>43677</v>
          </cell>
          <cell r="H185">
            <v>43679</v>
          </cell>
          <cell r="I185" t="str">
            <v>07.08.2019</v>
          </cell>
          <cell r="J185" t="str">
            <v>07.08.2019</v>
          </cell>
          <cell r="K185" t="str">
            <v>-</v>
          </cell>
          <cell r="L185" t="str">
            <v>OK</v>
          </cell>
        </row>
        <row r="186">
          <cell r="A186" t="str">
            <v>AHW-43314I19</v>
          </cell>
          <cell r="B186" t="str">
            <v>CTS116878</v>
          </cell>
          <cell r="C186" t="str">
            <v>Original</v>
          </cell>
          <cell r="D186" t="str">
            <v>CTS</v>
          </cell>
          <cell r="E186" t="str">
            <v>Rodoimport</v>
          </cell>
          <cell r="F186">
            <v>43669</v>
          </cell>
          <cell r="G186">
            <v>43677</v>
          </cell>
          <cell r="H186">
            <v>43679</v>
          </cell>
          <cell r="I186" t="str">
            <v>07.08.2019</v>
          </cell>
          <cell r="J186" t="str">
            <v>07.08.2019</v>
          </cell>
          <cell r="K186" t="str">
            <v>-</v>
          </cell>
          <cell r="L186" t="str">
            <v>OK</v>
          </cell>
        </row>
        <row r="187">
          <cell r="A187" t="str">
            <v>AHW-43263I19</v>
          </cell>
          <cell r="B187" t="str">
            <v>CTS116845</v>
          </cell>
          <cell r="C187" t="str">
            <v>Original</v>
          </cell>
          <cell r="D187" t="str">
            <v>CTS</v>
          </cell>
          <cell r="E187" t="str">
            <v>Rodoimport</v>
          </cell>
          <cell r="F187">
            <v>43670</v>
          </cell>
          <cell r="G187">
            <v>43678</v>
          </cell>
          <cell r="H187">
            <v>43680</v>
          </cell>
          <cell r="I187" t="str">
            <v>07.08.2019</v>
          </cell>
          <cell r="J187" t="str">
            <v>07.08.2019</v>
          </cell>
          <cell r="K187" t="str">
            <v>-</v>
          </cell>
          <cell r="L187" t="str">
            <v>OK</v>
          </cell>
        </row>
        <row r="188">
          <cell r="A188" t="str">
            <v>AHW-43264I19</v>
          </cell>
          <cell r="B188" t="str">
            <v>CTS116846</v>
          </cell>
          <cell r="C188" t="str">
            <v>Original</v>
          </cell>
          <cell r="D188" t="str">
            <v>CTS</v>
          </cell>
          <cell r="E188" t="str">
            <v>Rodoimport</v>
          </cell>
          <cell r="F188">
            <v>43670</v>
          </cell>
          <cell r="G188">
            <v>43678</v>
          </cell>
          <cell r="H188">
            <v>43680</v>
          </cell>
          <cell r="I188" t="str">
            <v>07.08.2019</v>
          </cell>
          <cell r="J188" t="str">
            <v>07.08.2019</v>
          </cell>
          <cell r="K188" t="str">
            <v>-</v>
          </cell>
          <cell r="L188" t="str">
            <v>OK</v>
          </cell>
        </row>
        <row r="189">
          <cell r="A189" t="str">
            <v>AHW-43269I19</v>
          </cell>
          <cell r="B189" t="str">
            <v>CTS115519</v>
          </cell>
          <cell r="C189" t="str">
            <v>Original</v>
          </cell>
          <cell r="D189" t="str">
            <v>CTS</v>
          </cell>
          <cell r="E189" t="str">
            <v>Rodoimport</v>
          </cell>
          <cell r="F189">
            <v>43670</v>
          </cell>
          <cell r="G189">
            <v>43678</v>
          </cell>
          <cell r="H189">
            <v>43680</v>
          </cell>
          <cell r="I189" t="str">
            <v>07.08.2019</v>
          </cell>
          <cell r="J189" t="str">
            <v>07.08.2019</v>
          </cell>
          <cell r="K189" t="str">
            <v>-</v>
          </cell>
          <cell r="L189" t="str">
            <v>OK</v>
          </cell>
        </row>
        <row r="190">
          <cell r="A190" t="str">
            <v>VMI-43151I19</v>
          </cell>
          <cell r="B190" t="str">
            <v>-</v>
          </cell>
          <cell r="C190" t="str">
            <v>Original</v>
          </cell>
          <cell r="D190" t="str">
            <v>-</v>
          </cell>
          <cell r="E190" t="str">
            <v>Pacer</v>
          </cell>
          <cell r="F190">
            <v>43672</v>
          </cell>
          <cell r="G190">
            <v>43680</v>
          </cell>
          <cell r="H190">
            <v>43682</v>
          </cell>
          <cell r="I190" t="str">
            <v>08.08.2019</v>
          </cell>
          <cell r="J190" t="str">
            <v>-</v>
          </cell>
          <cell r="K190" t="str">
            <v>-</v>
          </cell>
          <cell r="L190" t="str">
            <v>OK</v>
          </cell>
        </row>
        <row r="191">
          <cell r="A191" t="str">
            <v>VMI-43152I19</v>
          </cell>
          <cell r="B191" t="str">
            <v>-</v>
          </cell>
          <cell r="C191" t="str">
            <v>Original</v>
          </cell>
          <cell r="D191" t="str">
            <v>-</v>
          </cell>
          <cell r="E191" t="str">
            <v>Pacer</v>
          </cell>
          <cell r="F191">
            <v>43672</v>
          </cell>
          <cell r="G191">
            <v>43680</v>
          </cell>
          <cell r="H191">
            <v>43682</v>
          </cell>
          <cell r="I191" t="str">
            <v>08.08.2019</v>
          </cell>
          <cell r="J191" t="str">
            <v>-</v>
          </cell>
          <cell r="K191" t="str">
            <v>-</v>
          </cell>
          <cell r="L191" t="str">
            <v>OK</v>
          </cell>
        </row>
        <row r="192">
          <cell r="A192" t="str">
            <v>VMI-43153I19</v>
          </cell>
          <cell r="B192" t="str">
            <v>-</v>
          </cell>
          <cell r="C192" t="str">
            <v>Original</v>
          </cell>
          <cell r="D192" t="str">
            <v>-</v>
          </cell>
          <cell r="E192" t="str">
            <v>Pacer</v>
          </cell>
          <cell r="F192">
            <v>43672</v>
          </cell>
          <cell r="G192">
            <v>43680</v>
          </cell>
          <cell r="H192">
            <v>43682</v>
          </cell>
          <cell r="I192" t="str">
            <v>08.08.2019</v>
          </cell>
          <cell r="J192" t="str">
            <v>-</v>
          </cell>
          <cell r="K192" t="str">
            <v>-</v>
          </cell>
          <cell r="L192" t="str">
            <v>OK</v>
          </cell>
        </row>
        <row r="193">
          <cell r="A193" t="str">
            <v>VMI-43154I19</v>
          </cell>
          <cell r="B193" t="str">
            <v>-</v>
          </cell>
          <cell r="C193" t="str">
            <v>Original</v>
          </cell>
          <cell r="D193" t="str">
            <v>-</v>
          </cell>
          <cell r="E193" t="str">
            <v>Pacer</v>
          </cell>
          <cell r="F193">
            <v>43672</v>
          </cell>
          <cell r="G193">
            <v>43680</v>
          </cell>
          <cell r="H193">
            <v>43682</v>
          </cell>
          <cell r="I193" t="str">
            <v>08.08.2019</v>
          </cell>
          <cell r="J193" t="str">
            <v>-</v>
          </cell>
          <cell r="K193" t="str">
            <v>-</v>
          </cell>
          <cell r="L193" t="str">
            <v>OK</v>
          </cell>
        </row>
        <row r="194">
          <cell r="A194" t="str">
            <v>VMI-43170I19</v>
          </cell>
          <cell r="B194" t="str">
            <v>-</v>
          </cell>
          <cell r="C194" t="str">
            <v>Original</v>
          </cell>
          <cell r="D194" t="str">
            <v>-</v>
          </cell>
          <cell r="E194" t="str">
            <v>Pacer</v>
          </cell>
          <cell r="F194">
            <v>43672</v>
          </cell>
          <cell r="G194">
            <v>43680</v>
          </cell>
          <cell r="H194">
            <v>43682</v>
          </cell>
          <cell r="I194" t="str">
            <v>08.08.2019</v>
          </cell>
          <cell r="J194" t="str">
            <v>-</v>
          </cell>
          <cell r="K194" t="str">
            <v>-</v>
          </cell>
          <cell r="L194" t="str">
            <v>OK</v>
          </cell>
        </row>
        <row r="195">
          <cell r="A195" t="str">
            <v>VMI-43212I19</v>
          </cell>
          <cell r="B195" t="str">
            <v>-</v>
          </cell>
          <cell r="C195" t="str">
            <v>Original</v>
          </cell>
          <cell r="D195" t="str">
            <v>-</v>
          </cell>
          <cell r="E195" t="str">
            <v>Pacer</v>
          </cell>
          <cell r="F195">
            <v>43672</v>
          </cell>
          <cell r="G195">
            <v>43680</v>
          </cell>
          <cell r="H195">
            <v>43682</v>
          </cell>
          <cell r="I195" t="str">
            <v>08.08.2019</v>
          </cell>
          <cell r="J195" t="str">
            <v>-</v>
          </cell>
          <cell r="K195" t="str">
            <v>-</v>
          </cell>
          <cell r="L195" t="str">
            <v>OK</v>
          </cell>
        </row>
        <row r="196">
          <cell r="A196" t="str">
            <v>AHW-43332I19</v>
          </cell>
          <cell r="B196" t="str">
            <v>CTS116883</v>
          </cell>
          <cell r="C196" t="str">
            <v>Original</v>
          </cell>
          <cell r="D196" t="str">
            <v>CTS</v>
          </cell>
          <cell r="E196" t="str">
            <v>Rodoimport</v>
          </cell>
          <cell r="F196">
            <v>43675</v>
          </cell>
          <cell r="G196">
            <v>43683</v>
          </cell>
          <cell r="H196">
            <v>43685</v>
          </cell>
          <cell r="I196" t="str">
            <v>07.08.2019</v>
          </cell>
          <cell r="J196" t="str">
            <v>07.08.2019</v>
          </cell>
          <cell r="K196" t="str">
            <v>-</v>
          </cell>
          <cell r="L196" t="str">
            <v>OK</v>
          </cell>
        </row>
        <row r="197">
          <cell r="A197" t="str">
            <v>AHW-43333I19</v>
          </cell>
          <cell r="B197" t="str">
            <v>CTS116884</v>
          </cell>
          <cell r="C197" t="str">
            <v>Original</v>
          </cell>
          <cell r="D197" t="str">
            <v>CTS</v>
          </cell>
          <cell r="E197" t="str">
            <v>Rodoimport</v>
          </cell>
          <cell r="F197">
            <v>43675</v>
          </cell>
          <cell r="G197">
            <v>43683</v>
          </cell>
          <cell r="H197">
            <v>43685</v>
          </cell>
          <cell r="I197" t="str">
            <v>07.08.2019</v>
          </cell>
          <cell r="J197" t="str">
            <v>07.08.2019</v>
          </cell>
          <cell r="K197" t="str">
            <v>-</v>
          </cell>
          <cell r="L197" t="str">
            <v>OK</v>
          </cell>
        </row>
        <row r="198">
          <cell r="A198" t="str">
            <v>AHW-43373I19</v>
          </cell>
          <cell r="B198" t="str">
            <v>CTS116892</v>
          </cell>
          <cell r="C198" t="str">
            <v>Original</v>
          </cell>
          <cell r="D198" t="str">
            <v>CTS</v>
          </cell>
          <cell r="E198" t="str">
            <v>Rodoimport</v>
          </cell>
          <cell r="F198">
            <v>43675</v>
          </cell>
          <cell r="G198">
            <v>43683</v>
          </cell>
          <cell r="H198">
            <v>43685</v>
          </cell>
          <cell r="I198" t="str">
            <v>07.08.2019</v>
          </cell>
          <cell r="J198" t="str">
            <v>07.08.2019</v>
          </cell>
          <cell r="K198" t="str">
            <v>-</v>
          </cell>
          <cell r="L198" t="str">
            <v>OK</v>
          </cell>
        </row>
        <row r="199">
          <cell r="A199" t="str">
            <v>AHW-43384I19</v>
          </cell>
          <cell r="B199" t="str">
            <v>CTS116893</v>
          </cell>
          <cell r="C199" t="str">
            <v>Original</v>
          </cell>
          <cell r="D199" t="str">
            <v>CTS</v>
          </cell>
          <cell r="E199" t="str">
            <v>Rodoimport</v>
          </cell>
          <cell r="F199">
            <v>43676</v>
          </cell>
          <cell r="G199">
            <v>43684</v>
          </cell>
          <cell r="H199">
            <v>43686</v>
          </cell>
          <cell r="I199" t="str">
            <v>07.08.2019</v>
          </cell>
          <cell r="J199" t="str">
            <v>07.08.2019</v>
          </cell>
          <cell r="K199" t="str">
            <v>-</v>
          </cell>
          <cell r="L199" t="str">
            <v>OK</v>
          </cell>
        </row>
        <row r="200">
          <cell r="A200" t="str">
            <v>AHW-43385I19</v>
          </cell>
          <cell r="B200" t="str">
            <v>CTS116894</v>
          </cell>
          <cell r="C200" t="str">
            <v>Original</v>
          </cell>
          <cell r="D200" t="str">
            <v>CTS</v>
          </cell>
          <cell r="E200" t="str">
            <v>Rodoimport</v>
          </cell>
          <cell r="F200">
            <v>43676</v>
          </cell>
          <cell r="G200">
            <v>43684</v>
          </cell>
          <cell r="H200">
            <v>43686</v>
          </cell>
          <cell r="I200" t="str">
            <v>07.08.2019</v>
          </cell>
          <cell r="J200" t="str">
            <v>07.08.2019</v>
          </cell>
          <cell r="K200" t="str">
            <v>-</v>
          </cell>
          <cell r="L200" t="str">
            <v>OK</v>
          </cell>
        </row>
        <row r="201">
          <cell r="A201" t="str">
            <v>AHW-43386I19</v>
          </cell>
          <cell r="B201" t="str">
            <v>CTS116895</v>
          </cell>
          <cell r="C201" t="str">
            <v>Original</v>
          </cell>
          <cell r="D201" t="str">
            <v>CTS</v>
          </cell>
          <cell r="E201" t="str">
            <v>Rodoimport</v>
          </cell>
          <cell r="F201">
            <v>43676</v>
          </cell>
          <cell r="G201">
            <v>43684</v>
          </cell>
          <cell r="H201">
            <v>43686</v>
          </cell>
          <cell r="I201" t="str">
            <v>07.08.2019</v>
          </cell>
          <cell r="J201" t="str">
            <v>07.08.2019</v>
          </cell>
          <cell r="K201" t="str">
            <v>-</v>
          </cell>
          <cell r="L201" t="str">
            <v>OK</v>
          </cell>
        </row>
        <row r="202">
          <cell r="A202" t="str">
            <v>AHW-43389I19</v>
          </cell>
          <cell r="B202" t="str">
            <v>CTS116898</v>
          </cell>
          <cell r="C202" t="str">
            <v>Original</v>
          </cell>
          <cell r="D202" t="str">
            <v>CTS</v>
          </cell>
          <cell r="E202" t="str">
            <v>Rodoimport</v>
          </cell>
          <cell r="F202">
            <v>43676</v>
          </cell>
          <cell r="G202">
            <v>43684</v>
          </cell>
          <cell r="H202">
            <v>43686</v>
          </cell>
          <cell r="I202" t="str">
            <v>07.08.2019</v>
          </cell>
          <cell r="J202" t="str">
            <v>07.08.2019</v>
          </cell>
          <cell r="K202" t="str">
            <v>-</v>
          </cell>
          <cell r="L202" t="str">
            <v>OK</v>
          </cell>
        </row>
        <row r="203">
          <cell r="A203" t="str">
            <v>AHW-43399I19</v>
          </cell>
          <cell r="B203" t="str">
            <v>CTS117244</v>
          </cell>
          <cell r="C203" t="str">
            <v>Original</v>
          </cell>
          <cell r="D203" t="str">
            <v>CTS</v>
          </cell>
          <cell r="E203" t="str">
            <v>Rodoimport</v>
          </cell>
          <cell r="F203">
            <v>43676</v>
          </cell>
          <cell r="G203">
            <v>43684</v>
          </cell>
          <cell r="H203">
            <v>43686</v>
          </cell>
          <cell r="I203" t="str">
            <v>07.08.2019</v>
          </cell>
          <cell r="J203" t="str">
            <v>07.08.2019</v>
          </cell>
          <cell r="K203" t="str">
            <v>-</v>
          </cell>
          <cell r="L203" t="str">
            <v>OK</v>
          </cell>
        </row>
        <row r="204">
          <cell r="A204" t="str">
            <v>AHW-43388I19</v>
          </cell>
          <cell r="B204" t="str">
            <v>CTS116897</v>
          </cell>
          <cell r="C204" t="str">
            <v>Original</v>
          </cell>
          <cell r="D204" t="str">
            <v>CTS</v>
          </cell>
          <cell r="E204" t="str">
            <v>Rodoimport</v>
          </cell>
          <cell r="F204">
            <v>43676</v>
          </cell>
          <cell r="G204">
            <v>43684</v>
          </cell>
          <cell r="H204">
            <v>43686</v>
          </cell>
          <cell r="I204" t="str">
            <v>07.08.2019</v>
          </cell>
          <cell r="J204" t="str">
            <v>07.08.2019</v>
          </cell>
          <cell r="K204" t="str">
            <v>-</v>
          </cell>
          <cell r="L204" t="str">
            <v>OK</v>
          </cell>
        </row>
        <row r="205">
          <cell r="A205" t="str">
            <v>AHW-43387I19</v>
          </cell>
          <cell r="B205" t="str">
            <v>CTS116896</v>
          </cell>
          <cell r="C205" t="str">
            <v>Original</v>
          </cell>
          <cell r="D205" t="str">
            <v>CTS</v>
          </cell>
          <cell r="E205" t="str">
            <v>Rodoimport</v>
          </cell>
          <cell r="F205">
            <v>43676</v>
          </cell>
          <cell r="G205">
            <v>43684</v>
          </cell>
          <cell r="H205">
            <v>43686</v>
          </cell>
          <cell r="I205" t="str">
            <v>07.08.2019</v>
          </cell>
          <cell r="J205" t="str">
            <v>07.08.2019</v>
          </cell>
          <cell r="K205" t="str">
            <v>-</v>
          </cell>
          <cell r="L205" t="str">
            <v>OK</v>
          </cell>
        </row>
        <row r="206">
          <cell r="A206" t="str">
            <v>AHW-43393I19</v>
          </cell>
          <cell r="B206" t="str">
            <v>CTS117235</v>
          </cell>
          <cell r="C206" t="str">
            <v>Original</v>
          </cell>
          <cell r="D206" t="str">
            <v>CTS</v>
          </cell>
          <cell r="E206" t="str">
            <v>Rodoimport</v>
          </cell>
          <cell r="F206">
            <v>43676</v>
          </cell>
          <cell r="G206">
            <v>43684</v>
          </cell>
          <cell r="H206">
            <v>43686</v>
          </cell>
          <cell r="I206" t="str">
            <v>07.08.2019</v>
          </cell>
          <cell r="J206" t="str">
            <v>07.08.2019</v>
          </cell>
          <cell r="K206" t="str">
            <v>-</v>
          </cell>
          <cell r="L206" t="str">
            <v>OK</v>
          </cell>
        </row>
        <row r="207">
          <cell r="A207" t="str">
            <v>AHW-43395I19</v>
          </cell>
          <cell r="B207" t="str">
            <v>CTS117236</v>
          </cell>
          <cell r="C207" t="str">
            <v>Original</v>
          </cell>
          <cell r="D207" t="str">
            <v>CTS</v>
          </cell>
          <cell r="E207" t="str">
            <v>Rodoimport</v>
          </cell>
          <cell r="F207">
            <v>43676</v>
          </cell>
          <cell r="G207">
            <v>43684</v>
          </cell>
          <cell r="H207">
            <v>43686</v>
          </cell>
          <cell r="I207" t="str">
            <v>07.08.2019</v>
          </cell>
          <cell r="J207" t="str">
            <v>07.08.2019</v>
          </cell>
          <cell r="K207" t="str">
            <v>-</v>
          </cell>
          <cell r="L207" t="str">
            <v>OK</v>
          </cell>
        </row>
        <row r="208">
          <cell r="A208" t="str">
            <v>AHW-43469I19</v>
          </cell>
          <cell r="B208" t="str">
            <v>CTS117248</v>
          </cell>
          <cell r="C208" t="str">
            <v>Original</v>
          </cell>
          <cell r="D208" t="str">
            <v>CTS</v>
          </cell>
          <cell r="E208" t="str">
            <v>Rodoimport</v>
          </cell>
          <cell r="F208">
            <v>43676</v>
          </cell>
          <cell r="G208">
            <v>43684</v>
          </cell>
          <cell r="H208">
            <v>43686</v>
          </cell>
          <cell r="I208" t="str">
            <v>07.08.2019</v>
          </cell>
          <cell r="J208" t="str">
            <v>07.08.2019</v>
          </cell>
          <cell r="K208" t="str">
            <v>-</v>
          </cell>
          <cell r="L208" t="str">
            <v>OK</v>
          </cell>
        </row>
        <row r="209">
          <cell r="A209" t="str">
            <v>AHW-43471I19</v>
          </cell>
          <cell r="B209" t="str">
            <v>CTS117250</v>
          </cell>
          <cell r="C209" t="str">
            <v>Original</v>
          </cell>
          <cell r="D209" t="str">
            <v>CTS</v>
          </cell>
          <cell r="E209" t="str">
            <v>Rodoimport</v>
          </cell>
          <cell r="F209">
            <v>43676</v>
          </cell>
          <cell r="G209">
            <v>43684</v>
          </cell>
          <cell r="H209">
            <v>43686</v>
          </cell>
          <cell r="I209" t="str">
            <v>07.08.2019</v>
          </cell>
          <cell r="J209" t="str">
            <v>07.08.2019</v>
          </cell>
          <cell r="K209" t="str">
            <v>-</v>
          </cell>
          <cell r="L209" t="str">
            <v>OK</v>
          </cell>
        </row>
        <row r="210">
          <cell r="A210" t="str">
            <v>AHW-43398I19</v>
          </cell>
          <cell r="B210" t="str">
            <v>CTS117243</v>
          </cell>
          <cell r="C210" t="str">
            <v>Original</v>
          </cell>
          <cell r="D210" t="str">
            <v>CTS</v>
          </cell>
          <cell r="E210" t="str">
            <v>Rodoimport</v>
          </cell>
          <cell r="F210">
            <v>43677</v>
          </cell>
          <cell r="G210">
            <v>43685</v>
          </cell>
          <cell r="H210">
            <v>43687</v>
          </cell>
          <cell r="I210" t="str">
            <v>07.08.2019</v>
          </cell>
          <cell r="J210" t="str">
            <v>07.08.2019</v>
          </cell>
          <cell r="K210" t="str">
            <v>-</v>
          </cell>
          <cell r="L210" t="str">
            <v>OK</v>
          </cell>
        </row>
        <row r="211">
          <cell r="A211" t="str">
            <v>AHW-43397I19</v>
          </cell>
          <cell r="B211" t="str">
            <v>CTS116915</v>
          </cell>
          <cell r="C211" t="str">
            <v>Original</v>
          </cell>
          <cell r="D211" t="str">
            <v>CTS</v>
          </cell>
          <cell r="E211" t="str">
            <v>Rodoimport</v>
          </cell>
          <cell r="F211">
            <v>43677</v>
          </cell>
          <cell r="G211">
            <v>43685</v>
          </cell>
          <cell r="H211">
            <v>43687</v>
          </cell>
          <cell r="I211" t="str">
            <v>07.08.2019</v>
          </cell>
          <cell r="J211" t="str">
            <v>07.08.2019</v>
          </cell>
          <cell r="K211" t="str">
            <v>-</v>
          </cell>
          <cell r="L211" t="str">
            <v>OK</v>
          </cell>
        </row>
        <row r="212">
          <cell r="A212" t="str">
            <v>AHW-43403I19</v>
          </cell>
          <cell r="B212" t="str">
            <v>CTS116924</v>
          </cell>
          <cell r="C212" t="str">
            <v>Original</v>
          </cell>
          <cell r="D212" t="str">
            <v>CTS</v>
          </cell>
          <cell r="E212" t="str">
            <v>Rodoimport</v>
          </cell>
          <cell r="F212">
            <v>43677</v>
          </cell>
          <cell r="G212">
            <v>43685</v>
          </cell>
          <cell r="H212">
            <v>43687</v>
          </cell>
          <cell r="I212" t="str">
            <v>07.08.2019</v>
          </cell>
          <cell r="J212" t="str">
            <v>07.08.2019</v>
          </cell>
          <cell r="K212" t="str">
            <v>-</v>
          </cell>
          <cell r="L212" t="str">
            <v>OK</v>
          </cell>
        </row>
        <row r="213">
          <cell r="A213" t="str">
            <v>AHW-43476I19</v>
          </cell>
          <cell r="B213" t="str">
            <v>CTS117245</v>
          </cell>
          <cell r="C213" t="str">
            <v>Original</v>
          </cell>
          <cell r="D213" t="str">
            <v>CTS</v>
          </cell>
          <cell r="E213" t="str">
            <v>Rodoimport</v>
          </cell>
          <cell r="F213">
            <v>43677</v>
          </cell>
          <cell r="G213">
            <v>43685</v>
          </cell>
          <cell r="H213">
            <v>43687</v>
          </cell>
          <cell r="I213" t="str">
            <v>07.08.2019</v>
          </cell>
          <cell r="J213" t="str">
            <v>07.08.2019</v>
          </cell>
          <cell r="K213" t="str">
            <v>-</v>
          </cell>
          <cell r="L213" t="str">
            <v>OK</v>
          </cell>
        </row>
        <row r="214">
          <cell r="A214" t="str">
            <v>AHW-43404I19</v>
          </cell>
          <cell r="B214" t="str">
            <v>CTS116925</v>
          </cell>
          <cell r="C214" t="str">
            <v>Original</v>
          </cell>
          <cell r="D214" t="str">
            <v>CTS</v>
          </cell>
          <cell r="E214" t="str">
            <v>Rodoimport</v>
          </cell>
          <cell r="F214">
            <v>43677</v>
          </cell>
          <cell r="G214">
            <v>43685</v>
          </cell>
          <cell r="H214">
            <v>43687</v>
          </cell>
          <cell r="I214" t="str">
            <v>07.08.2019</v>
          </cell>
          <cell r="J214" t="str">
            <v>07.08.2019</v>
          </cell>
          <cell r="K214" t="str">
            <v>-</v>
          </cell>
          <cell r="L214" t="str">
            <v>OK</v>
          </cell>
        </row>
        <row r="215">
          <cell r="A215" t="str">
            <v>SHW-43337I19</v>
          </cell>
          <cell r="B215" t="str">
            <v>COSU6205173440</v>
          </cell>
          <cell r="C215" t="str">
            <v>Original</v>
          </cell>
          <cell r="D215" t="str">
            <v>-</v>
          </cell>
          <cell r="E215" t="str">
            <v>TKT</v>
          </cell>
          <cell r="F215">
            <v>43677</v>
          </cell>
          <cell r="G215">
            <v>43685</v>
          </cell>
          <cell r="H215">
            <v>43687</v>
          </cell>
          <cell r="I215" t="str">
            <v>08.08.2019</v>
          </cell>
          <cell r="J215" t="str">
            <v>01.08.2019</v>
          </cell>
          <cell r="K215" t="str">
            <v>-</v>
          </cell>
          <cell r="L215" t="str">
            <v>OK</v>
          </cell>
        </row>
        <row r="216">
          <cell r="A216" t="str">
            <v>VMI-43158I19</v>
          </cell>
          <cell r="B216" t="str">
            <v>-</v>
          </cell>
          <cell r="C216" t="str">
            <v>Original</v>
          </cell>
          <cell r="D216" t="str">
            <v>-</v>
          </cell>
          <cell r="E216" t="str">
            <v>Pacer</v>
          </cell>
          <cell r="F216">
            <v>43678</v>
          </cell>
          <cell r="G216">
            <v>43686</v>
          </cell>
          <cell r="H216">
            <v>43688</v>
          </cell>
          <cell r="I216" t="str">
            <v>08.08.2019</v>
          </cell>
          <cell r="J216" t="str">
            <v>-</v>
          </cell>
          <cell r="K216" t="str">
            <v>-</v>
          </cell>
          <cell r="L216" t="str">
            <v>OK</v>
          </cell>
        </row>
        <row r="217">
          <cell r="A217" t="str">
            <v>VMI-43210I19</v>
          </cell>
          <cell r="B217" t="str">
            <v>-</v>
          </cell>
          <cell r="C217" t="str">
            <v>Original</v>
          </cell>
          <cell r="D217" t="str">
            <v>-</v>
          </cell>
          <cell r="E217" t="str">
            <v>Pacer</v>
          </cell>
          <cell r="F217">
            <v>43678</v>
          </cell>
          <cell r="G217">
            <v>43686</v>
          </cell>
          <cell r="H217">
            <v>43688</v>
          </cell>
          <cell r="I217" t="str">
            <v>08.08.2019</v>
          </cell>
          <cell r="J217" t="str">
            <v>-</v>
          </cell>
          <cell r="K217" t="str">
            <v>-</v>
          </cell>
          <cell r="L217" t="str">
            <v>OK</v>
          </cell>
        </row>
        <row r="218">
          <cell r="A218" t="str">
            <v>AHW-43470I19</v>
          </cell>
          <cell r="B218" t="str">
            <v>CTS117249</v>
          </cell>
          <cell r="C218" t="str">
            <v>Original</v>
          </cell>
          <cell r="D218" t="str">
            <v>CTS</v>
          </cell>
          <cell r="E218" t="str">
            <v>Rodoimport</v>
          </cell>
          <cell r="F218">
            <v>43679</v>
          </cell>
          <cell r="G218">
            <v>43687</v>
          </cell>
          <cell r="H218">
            <v>43689</v>
          </cell>
          <cell r="I218" t="str">
            <v>14.08.2019</v>
          </cell>
          <cell r="J218" t="str">
            <v>22.08.2019</v>
          </cell>
          <cell r="K218" t="str">
            <v>-</v>
          </cell>
          <cell r="L218" t="str">
            <v>OK</v>
          </cell>
        </row>
        <row r="219">
          <cell r="A219" t="str">
            <v>AHW-43479I19</v>
          </cell>
          <cell r="B219">
            <v>80464772</v>
          </cell>
          <cell r="C219" t="str">
            <v>Original</v>
          </cell>
          <cell r="D219" t="str">
            <v>CEVA</v>
          </cell>
          <cell r="E219" t="str">
            <v>Rodoimport</v>
          </cell>
          <cell r="F219">
            <v>43682</v>
          </cell>
          <cell r="G219">
            <v>43690</v>
          </cell>
          <cell r="H219">
            <v>43692</v>
          </cell>
          <cell r="I219" t="str">
            <v>14.08.2019</v>
          </cell>
          <cell r="J219" t="str">
            <v>22.08.2019</v>
          </cell>
          <cell r="K219" t="str">
            <v>-</v>
          </cell>
          <cell r="L219" t="str">
            <v>OK</v>
          </cell>
        </row>
        <row r="220">
          <cell r="A220" t="str">
            <v>AHW-43481I19</v>
          </cell>
          <cell r="B220">
            <v>80464771</v>
          </cell>
          <cell r="C220" t="str">
            <v>Original</v>
          </cell>
          <cell r="D220" t="str">
            <v>CEVA</v>
          </cell>
          <cell r="E220" t="str">
            <v>Rodoimport</v>
          </cell>
          <cell r="F220">
            <v>43682</v>
          </cell>
          <cell r="G220">
            <v>43690</v>
          </cell>
          <cell r="H220">
            <v>43692</v>
          </cell>
          <cell r="I220" t="str">
            <v>14.08.2019</v>
          </cell>
          <cell r="J220" t="str">
            <v>22.08.2019</v>
          </cell>
          <cell r="K220" t="str">
            <v>-</v>
          </cell>
          <cell r="L220" t="str">
            <v>OK</v>
          </cell>
        </row>
        <row r="221">
          <cell r="A221" t="str">
            <v>AHW-43504I19</v>
          </cell>
          <cell r="B221">
            <v>80464802</v>
          </cell>
          <cell r="C221" t="str">
            <v>Original</v>
          </cell>
          <cell r="D221" t="str">
            <v>CEVA</v>
          </cell>
          <cell r="E221" t="str">
            <v>Rodoimport</v>
          </cell>
          <cell r="F221">
            <v>43683</v>
          </cell>
          <cell r="G221">
            <v>43691</v>
          </cell>
          <cell r="H221">
            <v>43693</v>
          </cell>
          <cell r="I221" t="str">
            <v>14.08.2019</v>
          </cell>
          <cell r="J221" t="str">
            <v>22.08.2019</v>
          </cell>
          <cell r="K221" t="str">
            <v>-</v>
          </cell>
          <cell r="L221" t="str">
            <v>OK</v>
          </cell>
        </row>
        <row r="222">
          <cell r="A222" t="str">
            <v>AHW-43477I19</v>
          </cell>
          <cell r="B222">
            <v>80464749</v>
          </cell>
          <cell r="C222" t="str">
            <v>Original</v>
          </cell>
          <cell r="D222" t="str">
            <v>CEVA</v>
          </cell>
          <cell r="E222" t="str">
            <v>Rodoimport</v>
          </cell>
          <cell r="F222">
            <v>43683</v>
          </cell>
          <cell r="G222">
            <v>43691</v>
          </cell>
          <cell r="H222">
            <v>43693</v>
          </cell>
          <cell r="I222" t="str">
            <v>14.08.2019</v>
          </cell>
          <cell r="J222" t="str">
            <v>22.08.2019</v>
          </cell>
          <cell r="K222" t="str">
            <v>-</v>
          </cell>
          <cell r="L222" t="str">
            <v>OK</v>
          </cell>
        </row>
        <row r="223">
          <cell r="A223" t="str">
            <v>VMI-43317I19</v>
          </cell>
          <cell r="B223" t="str">
            <v>-</v>
          </cell>
          <cell r="C223" t="str">
            <v>Original</v>
          </cell>
          <cell r="D223" t="str">
            <v>-</v>
          </cell>
          <cell r="E223" t="str">
            <v>Pacer</v>
          </cell>
          <cell r="F223">
            <v>43683</v>
          </cell>
          <cell r="G223">
            <v>43691</v>
          </cell>
          <cell r="H223">
            <v>43693</v>
          </cell>
          <cell r="I223" t="str">
            <v>08.08.2019</v>
          </cell>
          <cell r="J223" t="str">
            <v>-</v>
          </cell>
          <cell r="K223" t="str">
            <v>-</v>
          </cell>
          <cell r="L223" t="str">
            <v>OK</v>
          </cell>
        </row>
        <row r="224">
          <cell r="A224" t="str">
            <v>VMI-43345I19</v>
          </cell>
          <cell r="B224" t="str">
            <v>-</v>
          </cell>
          <cell r="C224" t="str">
            <v>Original</v>
          </cell>
          <cell r="D224" t="str">
            <v>-</v>
          </cell>
          <cell r="E224" t="str">
            <v>Pacer</v>
          </cell>
          <cell r="F224">
            <v>43683</v>
          </cell>
          <cell r="G224">
            <v>43691</v>
          </cell>
          <cell r="H224">
            <v>43693</v>
          </cell>
          <cell r="I224" t="str">
            <v>08.08.2019</v>
          </cell>
          <cell r="J224" t="str">
            <v>-</v>
          </cell>
          <cell r="K224" t="str">
            <v>-</v>
          </cell>
          <cell r="L224" t="str">
            <v>OK</v>
          </cell>
        </row>
        <row r="225">
          <cell r="A225" t="str">
            <v>AHW-43597I19</v>
          </cell>
          <cell r="B225">
            <v>80464866</v>
          </cell>
          <cell r="C225" t="str">
            <v>Original</v>
          </cell>
          <cell r="D225" t="str">
            <v>CEVA</v>
          </cell>
          <cell r="E225" t="str">
            <v>Rodoimport</v>
          </cell>
          <cell r="F225">
            <v>43684</v>
          </cell>
          <cell r="G225">
            <v>43692</v>
          </cell>
          <cell r="H225">
            <v>43694</v>
          </cell>
          <cell r="I225" t="str">
            <v>14.08.2019</v>
          </cell>
          <cell r="J225" t="str">
            <v>22.08.2019</v>
          </cell>
          <cell r="K225" t="str">
            <v>-</v>
          </cell>
          <cell r="L225" t="str">
            <v>OK</v>
          </cell>
        </row>
        <row r="226">
          <cell r="A226" t="str">
            <v>SHW-42901I19</v>
          </cell>
          <cell r="B226">
            <v>583126173</v>
          </cell>
          <cell r="C226" t="str">
            <v>Original</v>
          </cell>
          <cell r="D226" t="str">
            <v>Panalpina</v>
          </cell>
          <cell r="E226" t="str">
            <v>TKT</v>
          </cell>
          <cell r="F226">
            <v>43684</v>
          </cell>
          <cell r="G226">
            <v>43692</v>
          </cell>
          <cell r="H226">
            <v>43694</v>
          </cell>
          <cell r="I226" t="str">
            <v>15.08.2019</v>
          </cell>
          <cell r="J226" t="str">
            <v>13.08.2019</v>
          </cell>
          <cell r="K226" t="str">
            <v>-</v>
          </cell>
          <cell r="L226" t="str">
            <v>OK</v>
          </cell>
        </row>
        <row r="227">
          <cell r="A227" t="str">
            <v>AHW-43607I19</v>
          </cell>
          <cell r="B227">
            <v>80464892</v>
          </cell>
          <cell r="C227" t="str">
            <v>Original</v>
          </cell>
          <cell r="D227" t="str">
            <v>CEVA</v>
          </cell>
          <cell r="E227" t="str">
            <v>Rodoimport</v>
          </cell>
          <cell r="F227">
            <v>43685</v>
          </cell>
          <cell r="G227">
            <v>43693</v>
          </cell>
          <cell r="H227">
            <v>43695</v>
          </cell>
          <cell r="I227" t="str">
            <v>14.08.2019</v>
          </cell>
          <cell r="J227" t="str">
            <v>03.09.2019</v>
          </cell>
          <cell r="K227" t="str">
            <v>-</v>
          </cell>
          <cell r="L227" t="str">
            <v>OK</v>
          </cell>
        </row>
        <row r="228">
          <cell r="A228" t="str">
            <v>AHW-43596I19</v>
          </cell>
          <cell r="B228">
            <v>80464861</v>
          </cell>
          <cell r="C228" t="str">
            <v>Original</v>
          </cell>
          <cell r="D228" t="str">
            <v>CEVA</v>
          </cell>
          <cell r="E228" t="str">
            <v>Rodoimport</v>
          </cell>
          <cell r="F228">
            <v>43685</v>
          </cell>
          <cell r="G228">
            <v>43693</v>
          </cell>
          <cell r="H228">
            <v>43695</v>
          </cell>
          <cell r="I228" t="str">
            <v>14.08.2019</v>
          </cell>
          <cell r="J228" t="str">
            <v>03.09.2019</v>
          </cell>
          <cell r="K228" t="str">
            <v>-</v>
          </cell>
          <cell r="L228" t="str">
            <v>OK</v>
          </cell>
        </row>
        <row r="229">
          <cell r="A229" t="str">
            <v>AHW-43606I19</v>
          </cell>
          <cell r="B229">
            <v>80464893</v>
          </cell>
          <cell r="C229" t="str">
            <v>Original</v>
          </cell>
          <cell r="D229" t="str">
            <v>CEVA</v>
          </cell>
          <cell r="E229" t="str">
            <v>Rodoimport</v>
          </cell>
          <cell r="F229">
            <v>43685</v>
          </cell>
          <cell r="G229">
            <v>43693</v>
          </cell>
          <cell r="H229">
            <v>43695</v>
          </cell>
          <cell r="I229" t="str">
            <v>19.08.2019</v>
          </cell>
          <cell r="J229" t="str">
            <v>03.09.2019</v>
          </cell>
          <cell r="K229" t="str">
            <v>-</v>
          </cell>
          <cell r="L229" t="str">
            <v>OK</v>
          </cell>
        </row>
        <row r="230">
          <cell r="A230" t="str">
            <v>AHW-43613I19</v>
          </cell>
          <cell r="B230">
            <v>80464928</v>
          </cell>
          <cell r="C230" t="str">
            <v>Original</v>
          </cell>
          <cell r="D230" t="str">
            <v>CEVA</v>
          </cell>
          <cell r="E230" t="str">
            <v>Rodoimport</v>
          </cell>
          <cell r="F230">
            <v>43690</v>
          </cell>
          <cell r="G230">
            <v>43698</v>
          </cell>
          <cell r="H230">
            <v>43700</v>
          </cell>
          <cell r="I230" t="str">
            <v>21.08.2019</v>
          </cell>
          <cell r="J230" t="str">
            <v>03.09.2019</v>
          </cell>
          <cell r="K230" t="str">
            <v>-</v>
          </cell>
          <cell r="L230" t="str">
            <v>OK</v>
          </cell>
        </row>
        <row r="231">
          <cell r="A231" t="str">
            <v>AHW-43658I19</v>
          </cell>
          <cell r="B231">
            <v>80464948</v>
          </cell>
          <cell r="C231" t="str">
            <v>Original</v>
          </cell>
          <cell r="D231" t="str">
            <v>CEVA</v>
          </cell>
          <cell r="E231" t="str">
            <v>Rodoimport</v>
          </cell>
          <cell r="F231">
            <v>43690</v>
          </cell>
          <cell r="G231">
            <v>43698</v>
          </cell>
          <cell r="H231">
            <v>43700</v>
          </cell>
          <cell r="I231" t="str">
            <v>21.08.2019</v>
          </cell>
          <cell r="J231" t="str">
            <v>03.09.2019</v>
          </cell>
          <cell r="K231" t="str">
            <v>-</v>
          </cell>
          <cell r="L231" t="str">
            <v>OK</v>
          </cell>
        </row>
        <row r="232">
          <cell r="A232" t="str">
            <v>AHW-43663I19</v>
          </cell>
          <cell r="B232">
            <v>80464979</v>
          </cell>
          <cell r="C232" t="str">
            <v>Original</v>
          </cell>
          <cell r="D232" t="str">
            <v>CEVA</v>
          </cell>
          <cell r="E232" t="str">
            <v>Rodoimport</v>
          </cell>
          <cell r="F232">
            <v>43690</v>
          </cell>
          <cell r="G232">
            <v>43698</v>
          </cell>
          <cell r="H232">
            <v>43700</v>
          </cell>
          <cell r="I232" t="str">
            <v>22.08.2019</v>
          </cell>
          <cell r="J232" t="str">
            <v>03.09.2019</v>
          </cell>
          <cell r="K232" t="str">
            <v>-</v>
          </cell>
          <cell r="L232" t="str">
            <v>OK</v>
          </cell>
        </row>
        <row r="233">
          <cell r="A233" t="str">
            <v>AHW-43662I19</v>
          </cell>
          <cell r="B233">
            <v>80464978</v>
          </cell>
          <cell r="C233" t="str">
            <v>Original</v>
          </cell>
          <cell r="D233" t="str">
            <v>CEVA</v>
          </cell>
          <cell r="E233" t="str">
            <v>Rodoimport</v>
          </cell>
          <cell r="F233">
            <v>43691</v>
          </cell>
          <cell r="G233">
            <v>43699</v>
          </cell>
          <cell r="H233">
            <v>43701</v>
          </cell>
          <cell r="I233" t="str">
            <v>22.08.2019</v>
          </cell>
          <cell r="J233" t="str">
            <v>03.09.2019</v>
          </cell>
          <cell r="K233" t="str">
            <v>-</v>
          </cell>
          <cell r="L233" t="str">
            <v>OK</v>
          </cell>
        </row>
        <row r="234">
          <cell r="A234" t="str">
            <v>AHW-43665I19</v>
          </cell>
          <cell r="B234">
            <v>8046499</v>
          </cell>
          <cell r="C234" t="str">
            <v>Original</v>
          </cell>
          <cell r="D234" t="str">
            <v>CEVA</v>
          </cell>
          <cell r="E234" t="str">
            <v>Rodoimport</v>
          </cell>
          <cell r="F234">
            <v>43691</v>
          </cell>
          <cell r="G234">
            <v>43699</v>
          </cell>
          <cell r="H234">
            <v>43701</v>
          </cell>
          <cell r="I234" t="str">
            <v>22.08.2019</v>
          </cell>
          <cell r="J234" t="str">
            <v>03.09.2019</v>
          </cell>
          <cell r="K234" t="str">
            <v>-</v>
          </cell>
          <cell r="L234" t="str">
            <v>OK</v>
          </cell>
        </row>
        <row r="235">
          <cell r="A235" t="str">
            <v>AHW-43668I19</v>
          </cell>
          <cell r="B235">
            <v>80464998</v>
          </cell>
          <cell r="C235" t="str">
            <v>Original</v>
          </cell>
          <cell r="D235" t="str">
            <v>CEVA</v>
          </cell>
          <cell r="E235" t="str">
            <v>Rodoimport</v>
          </cell>
          <cell r="F235">
            <v>43691</v>
          </cell>
          <cell r="G235">
            <v>43699</v>
          </cell>
          <cell r="H235">
            <v>43701</v>
          </cell>
          <cell r="I235" t="str">
            <v>22.08.2019</v>
          </cell>
          <cell r="J235" t="str">
            <v>03.09.2019</v>
          </cell>
          <cell r="K235" t="str">
            <v>-</v>
          </cell>
          <cell r="L235" t="str">
            <v>OK</v>
          </cell>
        </row>
        <row r="236">
          <cell r="A236" t="str">
            <v>SHW-43021I19</v>
          </cell>
          <cell r="B236">
            <v>583391193</v>
          </cell>
          <cell r="C236" t="str">
            <v>Original</v>
          </cell>
          <cell r="D236" t="str">
            <v>Panalpina</v>
          </cell>
          <cell r="E236" t="str">
            <v>TKT</v>
          </cell>
          <cell r="F236">
            <v>43691</v>
          </cell>
          <cell r="G236">
            <v>43699</v>
          </cell>
          <cell r="H236">
            <v>43701</v>
          </cell>
          <cell r="I236" t="str">
            <v>20.08.2019</v>
          </cell>
          <cell r="J236" t="str">
            <v>16.08.2019</v>
          </cell>
          <cell r="K236" t="str">
            <v>-</v>
          </cell>
          <cell r="L236" t="str">
            <v>OK</v>
          </cell>
        </row>
        <row r="237">
          <cell r="A237" t="str">
            <v>AHW-43729I19</v>
          </cell>
          <cell r="B237" t="str">
            <v>CTS117303</v>
          </cell>
          <cell r="C237" t="str">
            <v>Original</v>
          </cell>
          <cell r="D237" t="str">
            <v>CTS</v>
          </cell>
          <cell r="E237" t="str">
            <v>Rodoimport</v>
          </cell>
          <cell r="F237">
            <v>43696</v>
          </cell>
          <cell r="G237">
            <v>43704</v>
          </cell>
          <cell r="H237">
            <v>43706</v>
          </cell>
          <cell r="I237" t="str">
            <v>09.09.2019</v>
          </cell>
          <cell r="J237" t="str">
            <v>06.09.2019</v>
          </cell>
          <cell r="K237" t="str">
            <v>-</v>
          </cell>
          <cell r="L237" t="str">
            <v>OK</v>
          </cell>
        </row>
        <row r="238">
          <cell r="A238" t="str">
            <v>AHW-43666I19</v>
          </cell>
          <cell r="B238">
            <v>80464994</v>
          </cell>
          <cell r="C238" t="str">
            <v>Original</v>
          </cell>
          <cell r="D238" t="str">
            <v>CEVA</v>
          </cell>
          <cell r="E238" t="str">
            <v>Rodoimport</v>
          </cell>
          <cell r="F238">
            <v>43696</v>
          </cell>
          <cell r="G238">
            <v>43704</v>
          </cell>
          <cell r="H238">
            <v>43706</v>
          </cell>
          <cell r="I238" t="str">
            <v>09.09.2019</v>
          </cell>
          <cell r="J238" t="str">
            <v>06.09.2019</v>
          </cell>
          <cell r="K238" t="str">
            <v>-</v>
          </cell>
          <cell r="L238" t="str">
            <v>OK</v>
          </cell>
        </row>
        <row r="239">
          <cell r="A239" t="str">
            <v>AHW-43676I19</v>
          </cell>
          <cell r="B239">
            <v>80466524</v>
          </cell>
          <cell r="C239" t="str">
            <v>Original</v>
          </cell>
          <cell r="D239" t="str">
            <v>CEVA</v>
          </cell>
          <cell r="E239" t="str">
            <v>Rodoimport</v>
          </cell>
          <cell r="F239">
            <v>43696</v>
          </cell>
          <cell r="G239">
            <v>43704</v>
          </cell>
          <cell r="H239">
            <v>43706</v>
          </cell>
          <cell r="I239" t="str">
            <v>09.09.2019</v>
          </cell>
          <cell r="J239" t="str">
            <v>06.09.2019</v>
          </cell>
          <cell r="K239" t="str">
            <v>-</v>
          </cell>
          <cell r="L239" t="str">
            <v>OK</v>
          </cell>
        </row>
        <row r="240">
          <cell r="A240" t="str">
            <v>AHW-43711I19</v>
          </cell>
          <cell r="B240">
            <v>80466532</v>
          </cell>
          <cell r="C240" t="str">
            <v>Original</v>
          </cell>
          <cell r="D240" t="str">
            <v>CEVA</v>
          </cell>
          <cell r="E240" t="str">
            <v>Rodoimport</v>
          </cell>
          <cell r="F240">
            <v>43696</v>
          </cell>
          <cell r="G240">
            <v>43704</v>
          </cell>
          <cell r="H240">
            <v>43706</v>
          </cell>
          <cell r="I240" t="str">
            <v>09.09.2019</v>
          </cell>
          <cell r="J240" t="str">
            <v>06.09.2019</v>
          </cell>
          <cell r="K240" t="str">
            <v>-</v>
          </cell>
          <cell r="L240" t="str">
            <v>OK</v>
          </cell>
        </row>
        <row r="241">
          <cell r="A241" t="str">
            <v>AHW-43728I19</v>
          </cell>
          <cell r="B241" t="str">
            <v>CTS117302</v>
          </cell>
          <cell r="C241" t="str">
            <v>Original</v>
          </cell>
          <cell r="D241" t="str">
            <v>CTS</v>
          </cell>
          <cell r="E241" t="str">
            <v>Rodoimport</v>
          </cell>
          <cell r="F241">
            <v>43696</v>
          </cell>
          <cell r="G241">
            <v>43704</v>
          </cell>
          <cell r="H241">
            <v>43706</v>
          </cell>
          <cell r="I241" t="str">
            <v>09.09.2019</v>
          </cell>
          <cell r="J241" t="str">
            <v>06.09.2019</v>
          </cell>
          <cell r="K241" t="str">
            <v>-</v>
          </cell>
          <cell r="L241" t="str">
            <v>OK</v>
          </cell>
        </row>
        <row r="242">
          <cell r="A242" t="str">
            <v>AHW-43677I19</v>
          </cell>
          <cell r="B242">
            <v>80466523</v>
          </cell>
          <cell r="C242" t="str">
            <v>Original</v>
          </cell>
          <cell r="D242" t="str">
            <v>CEVA</v>
          </cell>
          <cell r="E242" t="str">
            <v>Rodoimport</v>
          </cell>
          <cell r="F242">
            <v>43696</v>
          </cell>
          <cell r="G242">
            <v>43704</v>
          </cell>
          <cell r="H242">
            <v>43706</v>
          </cell>
          <cell r="I242" t="str">
            <v>09.09.2019</v>
          </cell>
          <cell r="J242" t="str">
            <v>06.09.2019</v>
          </cell>
          <cell r="K242" t="str">
            <v>-</v>
          </cell>
          <cell r="L242" t="str">
            <v>OK</v>
          </cell>
        </row>
        <row r="243">
          <cell r="A243" t="str">
            <v>AHW-43781I19</v>
          </cell>
          <cell r="B243" t="str">
            <v>CTS117308</v>
          </cell>
          <cell r="C243" t="str">
            <v>Original</v>
          </cell>
          <cell r="D243" t="str">
            <v>CTS</v>
          </cell>
          <cell r="E243" t="str">
            <v>Rodoimport</v>
          </cell>
          <cell r="F243">
            <v>43696</v>
          </cell>
          <cell r="G243">
            <v>43704</v>
          </cell>
          <cell r="H243">
            <v>43706</v>
          </cell>
          <cell r="I243" t="str">
            <v>05.09.2019</v>
          </cell>
          <cell r="J243" t="str">
            <v>06.09.2019</v>
          </cell>
          <cell r="K243" t="str">
            <v>-</v>
          </cell>
          <cell r="L243" t="str">
            <v>OK</v>
          </cell>
        </row>
        <row r="244">
          <cell r="A244" t="str">
            <v>AHW-43776I19</v>
          </cell>
          <cell r="B244" t="str">
            <v>CTS117304</v>
          </cell>
          <cell r="C244" t="str">
            <v>Original</v>
          </cell>
          <cell r="D244" t="str">
            <v>CTS</v>
          </cell>
          <cell r="E244" t="str">
            <v>Rodoimport</v>
          </cell>
          <cell r="F244">
            <v>43696</v>
          </cell>
          <cell r="G244">
            <v>43704</v>
          </cell>
          <cell r="H244">
            <v>43706</v>
          </cell>
          <cell r="I244" t="str">
            <v>09.09.2019</v>
          </cell>
          <cell r="J244" t="str">
            <v>06.09.2019</v>
          </cell>
          <cell r="K244" t="str">
            <v>-</v>
          </cell>
          <cell r="L244" t="str">
            <v>OK</v>
          </cell>
        </row>
        <row r="245">
          <cell r="A245" t="str">
            <v>AHW-43779I19</v>
          </cell>
          <cell r="B245" t="str">
            <v>CTS117306</v>
          </cell>
          <cell r="C245" t="str">
            <v>Original</v>
          </cell>
          <cell r="D245" t="str">
            <v>CTS</v>
          </cell>
          <cell r="E245" t="str">
            <v>Rodoimport</v>
          </cell>
          <cell r="F245">
            <v>43696</v>
          </cell>
          <cell r="G245">
            <v>43704</v>
          </cell>
          <cell r="H245">
            <v>43706</v>
          </cell>
          <cell r="I245" t="str">
            <v>05.09.2019</v>
          </cell>
          <cell r="J245" t="str">
            <v>06.09.2019</v>
          </cell>
          <cell r="K245" t="str">
            <v>-</v>
          </cell>
          <cell r="L245" t="str">
            <v>OK</v>
          </cell>
        </row>
        <row r="246">
          <cell r="A246" t="str">
            <v>AHW-43778I19</v>
          </cell>
          <cell r="B246" t="str">
            <v>CTS117305</v>
          </cell>
          <cell r="C246" t="str">
            <v>Original</v>
          </cell>
          <cell r="D246" t="str">
            <v>CTS</v>
          </cell>
          <cell r="E246" t="str">
            <v>Rodoimport</v>
          </cell>
          <cell r="F246">
            <v>43696</v>
          </cell>
          <cell r="G246">
            <v>43704</v>
          </cell>
          <cell r="H246">
            <v>43706</v>
          </cell>
          <cell r="I246" t="str">
            <v>05.09.2019</v>
          </cell>
          <cell r="J246" t="str">
            <v>06.09.2019</v>
          </cell>
          <cell r="K246" t="str">
            <v>-</v>
          </cell>
          <cell r="L246" t="str">
            <v>OK</v>
          </cell>
        </row>
        <row r="247">
          <cell r="A247" t="str">
            <v>AHW-43784I19</v>
          </cell>
          <cell r="B247" t="str">
            <v>CTS117311</v>
          </cell>
          <cell r="C247" t="str">
            <v>Original</v>
          </cell>
          <cell r="D247" t="str">
            <v>CTS</v>
          </cell>
          <cell r="E247" t="str">
            <v>Rodoimport</v>
          </cell>
          <cell r="F247">
            <v>43696</v>
          </cell>
          <cell r="G247">
            <v>43704</v>
          </cell>
          <cell r="H247">
            <v>43706</v>
          </cell>
          <cell r="I247" t="str">
            <v>05.09.2019</v>
          </cell>
          <cell r="J247" t="str">
            <v>06.09.2019</v>
          </cell>
          <cell r="K247" t="str">
            <v>-</v>
          </cell>
          <cell r="L247" t="str">
            <v>OK</v>
          </cell>
        </row>
        <row r="248">
          <cell r="A248" t="str">
            <v>AHW-43782I19</v>
          </cell>
          <cell r="B248" t="str">
            <v>CTS117309</v>
          </cell>
          <cell r="C248" t="str">
            <v>Original</v>
          </cell>
          <cell r="D248" t="str">
            <v>CTS</v>
          </cell>
          <cell r="E248" t="str">
            <v>Rodoimport</v>
          </cell>
          <cell r="F248">
            <v>43696</v>
          </cell>
          <cell r="G248">
            <v>43704</v>
          </cell>
          <cell r="H248">
            <v>43706</v>
          </cell>
          <cell r="I248" t="str">
            <v>05.09.2019</v>
          </cell>
          <cell r="J248" t="str">
            <v>06.09.2019</v>
          </cell>
          <cell r="K248" t="str">
            <v>-</v>
          </cell>
          <cell r="L248" t="str">
            <v>OK</v>
          </cell>
        </row>
        <row r="249">
          <cell r="A249" t="str">
            <v>AHW-43785I19</v>
          </cell>
          <cell r="B249" t="str">
            <v>CTS117312</v>
          </cell>
          <cell r="C249" t="str">
            <v>Original</v>
          </cell>
          <cell r="D249" t="str">
            <v>CTS</v>
          </cell>
          <cell r="E249" t="str">
            <v>Rodoimport</v>
          </cell>
          <cell r="F249">
            <v>43696</v>
          </cell>
          <cell r="G249">
            <v>43704</v>
          </cell>
          <cell r="H249">
            <v>43706</v>
          </cell>
          <cell r="I249" t="str">
            <v>05.09.2019</v>
          </cell>
          <cell r="J249" t="str">
            <v>06.09.2019</v>
          </cell>
          <cell r="K249" t="str">
            <v>-</v>
          </cell>
          <cell r="L249" t="str">
            <v>OK</v>
          </cell>
        </row>
        <row r="250">
          <cell r="A250" t="str">
            <v>VMI-43340I19</v>
          </cell>
          <cell r="B250" t="str">
            <v>-</v>
          </cell>
          <cell r="C250" t="str">
            <v>Original</v>
          </cell>
          <cell r="D250" t="str">
            <v>-</v>
          </cell>
          <cell r="E250" t="str">
            <v>Pacer</v>
          </cell>
          <cell r="F250">
            <v>43696</v>
          </cell>
          <cell r="G250">
            <v>43704</v>
          </cell>
          <cell r="H250">
            <v>43706</v>
          </cell>
          <cell r="I250" t="str">
            <v>09.09.2019</v>
          </cell>
          <cell r="J250" t="str">
            <v>-</v>
          </cell>
          <cell r="K250" t="str">
            <v>-</v>
          </cell>
          <cell r="L250" t="str">
            <v>OK</v>
          </cell>
        </row>
        <row r="251">
          <cell r="A251" t="str">
            <v>VMI-43346I19</v>
          </cell>
          <cell r="B251" t="str">
            <v>-</v>
          </cell>
          <cell r="C251" t="str">
            <v>Original</v>
          </cell>
          <cell r="D251" t="str">
            <v>-</v>
          </cell>
          <cell r="E251" t="str">
            <v>Pacer</v>
          </cell>
          <cell r="F251">
            <v>43696</v>
          </cell>
          <cell r="G251">
            <v>43704</v>
          </cell>
          <cell r="H251">
            <v>43706</v>
          </cell>
          <cell r="I251" t="str">
            <v>09.09.2019</v>
          </cell>
          <cell r="J251" t="str">
            <v>-</v>
          </cell>
          <cell r="K251" t="str">
            <v>-</v>
          </cell>
          <cell r="L251" t="str">
            <v>OK</v>
          </cell>
        </row>
        <row r="252">
          <cell r="A252" t="str">
            <v>AHW-44170I19</v>
          </cell>
          <cell r="B252">
            <v>78076527</v>
          </cell>
          <cell r="C252" t="str">
            <v>Original</v>
          </cell>
          <cell r="D252" t="str">
            <v>CEVA</v>
          </cell>
          <cell r="E252" t="str">
            <v>Rodoimport</v>
          </cell>
          <cell r="F252">
            <v>43696</v>
          </cell>
          <cell r="G252">
            <v>43704</v>
          </cell>
          <cell r="H252">
            <v>43706</v>
          </cell>
          <cell r="I252" t="str">
            <v>24.09.2019</v>
          </cell>
          <cell r="J252" t="str">
            <v>04.10.2019</v>
          </cell>
          <cell r="K252" t="str">
            <v>-</v>
          </cell>
          <cell r="L252" t="str">
            <v>OK</v>
          </cell>
        </row>
        <row r="253">
          <cell r="A253" t="str">
            <v>AHW-43780I19</v>
          </cell>
          <cell r="B253" t="str">
            <v>CTS117307</v>
          </cell>
          <cell r="C253" t="str">
            <v>Original</v>
          </cell>
          <cell r="D253" t="str">
            <v>CTS</v>
          </cell>
          <cell r="E253" t="str">
            <v>Rodoimport</v>
          </cell>
          <cell r="F253">
            <v>43697</v>
          </cell>
          <cell r="G253">
            <v>43705</v>
          </cell>
          <cell r="H253">
            <v>43707</v>
          </cell>
          <cell r="I253" t="str">
            <v>05.09.2019</v>
          </cell>
          <cell r="J253" t="str">
            <v>06.09.2019</v>
          </cell>
          <cell r="K253" t="str">
            <v>-</v>
          </cell>
          <cell r="L253" t="str">
            <v>OK</v>
          </cell>
        </row>
        <row r="254">
          <cell r="A254" t="str">
            <v>AHW-43717I19</v>
          </cell>
          <cell r="B254">
            <v>80466546</v>
          </cell>
          <cell r="C254" t="str">
            <v>Original</v>
          </cell>
          <cell r="D254" t="str">
            <v>CEVA</v>
          </cell>
          <cell r="E254" t="str">
            <v>Rodoimport</v>
          </cell>
          <cell r="F254">
            <v>43698</v>
          </cell>
          <cell r="G254">
            <v>43706</v>
          </cell>
          <cell r="H254">
            <v>43708</v>
          </cell>
          <cell r="I254" t="str">
            <v>05.09.2019</v>
          </cell>
          <cell r="J254" t="str">
            <v>06.09.2019</v>
          </cell>
          <cell r="K254" t="str">
            <v>-</v>
          </cell>
          <cell r="L254" t="str">
            <v>OK</v>
          </cell>
        </row>
        <row r="255">
          <cell r="A255" t="str">
            <v>AHW-43811I19</v>
          </cell>
          <cell r="B255">
            <v>80466587</v>
          </cell>
          <cell r="C255" t="str">
            <v>Original</v>
          </cell>
          <cell r="D255" t="str">
            <v>CEVA</v>
          </cell>
          <cell r="E255" t="str">
            <v>Rodoimport</v>
          </cell>
          <cell r="F255">
            <v>43699</v>
          </cell>
          <cell r="G255">
            <v>43707</v>
          </cell>
          <cell r="H255">
            <v>43709</v>
          </cell>
          <cell r="I255" t="str">
            <v>05.09.2019</v>
          </cell>
          <cell r="J255" t="str">
            <v>06.09.2019</v>
          </cell>
          <cell r="K255" t="str">
            <v>-</v>
          </cell>
          <cell r="L255" t="str">
            <v>OK</v>
          </cell>
        </row>
        <row r="256">
          <cell r="A256" t="str">
            <v>AHW-43667I19</v>
          </cell>
          <cell r="B256">
            <v>80464997</v>
          </cell>
          <cell r="C256" t="str">
            <v>Original</v>
          </cell>
          <cell r="D256" t="str">
            <v>CEVA</v>
          </cell>
          <cell r="E256" t="str">
            <v>Rodoimport</v>
          </cell>
          <cell r="F256">
            <v>43703</v>
          </cell>
          <cell r="G256">
            <v>43711</v>
          </cell>
          <cell r="H256">
            <v>43713</v>
          </cell>
          <cell r="I256" t="str">
            <v>09.09.2019</v>
          </cell>
          <cell r="J256" t="str">
            <v>06.09.2019</v>
          </cell>
          <cell r="K256" t="str">
            <v>-</v>
          </cell>
          <cell r="L256" t="str">
            <v>OK</v>
          </cell>
        </row>
        <row r="257">
          <cell r="A257" t="str">
            <v>VMI-43318I19</v>
          </cell>
          <cell r="B257" t="str">
            <v>-</v>
          </cell>
          <cell r="C257" t="str">
            <v>Original</v>
          </cell>
          <cell r="D257" t="str">
            <v>-</v>
          </cell>
          <cell r="E257" t="str">
            <v>Pacer</v>
          </cell>
          <cell r="F257">
            <v>43703</v>
          </cell>
          <cell r="G257">
            <v>43711</v>
          </cell>
          <cell r="H257">
            <v>43713</v>
          </cell>
          <cell r="I257" t="str">
            <v>09.09.2019</v>
          </cell>
          <cell r="J257" t="str">
            <v>-</v>
          </cell>
          <cell r="K257" t="str">
            <v>-</v>
          </cell>
          <cell r="L257" t="str">
            <v>OK</v>
          </cell>
        </row>
        <row r="258">
          <cell r="A258" t="str">
            <v>AHW-43783I19</v>
          </cell>
          <cell r="B258" t="str">
            <v>CTS117310</v>
          </cell>
          <cell r="C258" t="str">
            <v>Original</v>
          </cell>
          <cell r="D258" t="str">
            <v>CTS</v>
          </cell>
          <cell r="E258" t="str">
            <v>Rodoimport</v>
          </cell>
          <cell r="F258">
            <v>43704</v>
          </cell>
          <cell r="G258">
            <v>43712</v>
          </cell>
          <cell r="H258">
            <v>43714</v>
          </cell>
          <cell r="I258" t="str">
            <v>09.09.2019</v>
          </cell>
          <cell r="J258" t="str">
            <v>06.09.2019</v>
          </cell>
          <cell r="K258" t="str">
            <v>-</v>
          </cell>
          <cell r="L258" t="str">
            <v>OK</v>
          </cell>
        </row>
        <row r="259">
          <cell r="A259" t="str">
            <v>AHW-43878I19</v>
          </cell>
          <cell r="B259" t="str">
            <v>CTS117325</v>
          </cell>
          <cell r="C259" t="str">
            <v>Original</v>
          </cell>
          <cell r="D259" t="str">
            <v>CTS</v>
          </cell>
          <cell r="E259" t="str">
            <v>Rodoimport</v>
          </cell>
          <cell r="F259">
            <v>43704</v>
          </cell>
          <cell r="G259">
            <v>43712</v>
          </cell>
          <cell r="H259">
            <v>43714</v>
          </cell>
          <cell r="I259" t="str">
            <v>05.09.2019</v>
          </cell>
          <cell r="J259" t="str">
            <v>06.09.2019</v>
          </cell>
          <cell r="K259" t="str">
            <v>-</v>
          </cell>
          <cell r="L259" t="str">
            <v>OK</v>
          </cell>
        </row>
        <row r="260">
          <cell r="A260" t="str">
            <v>AHW-43869I19</v>
          </cell>
          <cell r="B260" t="str">
            <v>CTS117326</v>
          </cell>
          <cell r="C260" t="str">
            <v>Original</v>
          </cell>
          <cell r="D260" t="str">
            <v>CTS</v>
          </cell>
          <cell r="E260" t="str">
            <v>Rodoimport</v>
          </cell>
          <cell r="F260">
            <v>43704</v>
          </cell>
          <cell r="G260">
            <v>43712</v>
          </cell>
          <cell r="H260">
            <v>43714</v>
          </cell>
          <cell r="I260" t="str">
            <v>05.09.2019</v>
          </cell>
          <cell r="J260" t="str">
            <v>06.09.2019</v>
          </cell>
          <cell r="K260" t="str">
            <v>-</v>
          </cell>
          <cell r="L260" t="str">
            <v>OK</v>
          </cell>
        </row>
        <row r="261">
          <cell r="A261" t="str">
            <v>AHW-43929I19</v>
          </cell>
          <cell r="B261">
            <v>80466679</v>
          </cell>
          <cell r="C261" t="str">
            <v>Original</v>
          </cell>
          <cell r="D261" t="str">
            <v>CEVA</v>
          </cell>
          <cell r="E261" t="str">
            <v>Rodoimport</v>
          </cell>
          <cell r="F261">
            <v>43705</v>
          </cell>
          <cell r="G261">
            <v>43713</v>
          </cell>
          <cell r="H261">
            <v>43715</v>
          </cell>
          <cell r="I261" t="str">
            <v>05.09.2019</v>
          </cell>
          <cell r="J261" t="str">
            <v>06.09.2019</v>
          </cell>
          <cell r="K261" t="str">
            <v>-</v>
          </cell>
          <cell r="L261" t="str">
            <v>OK</v>
          </cell>
        </row>
        <row r="262">
          <cell r="A262" t="str">
            <v>AHW-43888I19</v>
          </cell>
          <cell r="B262">
            <v>80466680</v>
          </cell>
          <cell r="C262" t="str">
            <v>Original</v>
          </cell>
          <cell r="D262" t="str">
            <v>CEVA</v>
          </cell>
          <cell r="E262" t="str">
            <v>Rodoimport</v>
          </cell>
          <cell r="F262">
            <v>43705</v>
          </cell>
          <cell r="G262">
            <v>43713</v>
          </cell>
          <cell r="H262">
            <v>43715</v>
          </cell>
          <cell r="I262" t="str">
            <v>05.09.2019</v>
          </cell>
          <cell r="J262" t="str">
            <v>06.09.2019</v>
          </cell>
          <cell r="K262" t="str">
            <v>-</v>
          </cell>
          <cell r="L262" t="str">
            <v>OK</v>
          </cell>
        </row>
        <row r="263">
          <cell r="A263" t="str">
            <v>AHW-43832I19</v>
          </cell>
          <cell r="B263">
            <v>80466627</v>
          </cell>
          <cell r="C263" t="str">
            <v>Original</v>
          </cell>
          <cell r="D263" t="str">
            <v>CEVA</v>
          </cell>
          <cell r="E263" t="str">
            <v>Rodoimport</v>
          </cell>
          <cell r="F263">
            <v>43705</v>
          </cell>
          <cell r="G263">
            <v>43713</v>
          </cell>
          <cell r="H263">
            <v>43715</v>
          </cell>
          <cell r="I263" t="str">
            <v>05.09.2019</v>
          </cell>
          <cell r="J263" t="str">
            <v>06.09.2019</v>
          </cell>
          <cell r="K263" t="str">
            <v>-</v>
          </cell>
          <cell r="L263" t="str">
            <v>OK</v>
          </cell>
        </row>
        <row r="264">
          <cell r="A264" t="str">
            <v>AHW-43872I19</v>
          </cell>
          <cell r="B264">
            <v>80466699</v>
          </cell>
          <cell r="C264" t="str">
            <v>Original</v>
          </cell>
          <cell r="D264" t="str">
            <v>CEVA</v>
          </cell>
          <cell r="E264" t="str">
            <v>Rodoimport</v>
          </cell>
          <cell r="F264">
            <v>43707</v>
          </cell>
          <cell r="G264">
            <v>43715</v>
          </cell>
          <cell r="H264">
            <v>43717</v>
          </cell>
          <cell r="I264" t="str">
            <v>05.09.2019</v>
          </cell>
          <cell r="J264" t="str">
            <v>06.09.2019</v>
          </cell>
          <cell r="K264" t="str">
            <v>-</v>
          </cell>
          <cell r="L264" t="str">
            <v>OK</v>
          </cell>
        </row>
        <row r="265">
          <cell r="A265" t="str">
            <v>AHW-43879I19</v>
          </cell>
          <cell r="B265">
            <v>80466717</v>
          </cell>
          <cell r="C265" t="str">
            <v>Original</v>
          </cell>
          <cell r="D265" t="str">
            <v>CEVA</v>
          </cell>
          <cell r="E265" t="str">
            <v>Rodoimport</v>
          </cell>
          <cell r="F265">
            <v>43707</v>
          </cell>
          <cell r="G265">
            <v>43715</v>
          </cell>
          <cell r="H265">
            <v>43717</v>
          </cell>
          <cell r="I265" t="str">
            <v>05.09.2019</v>
          </cell>
          <cell r="J265" t="str">
            <v>06.09.2019</v>
          </cell>
          <cell r="K265" t="str">
            <v>-</v>
          </cell>
          <cell r="L265" t="str">
            <v>OK</v>
          </cell>
        </row>
        <row r="266">
          <cell r="A266" t="str">
            <v>AHW-43884I19</v>
          </cell>
          <cell r="B266">
            <v>80466716</v>
          </cell>
          <cell r="C266" t="str">
            <v>Original</v>
          </cell>
          <cell r="D266" t="str">
            <v>CEVA</v>
          </cell>
          <cell r="E266" t="str">
            <v>Rodoimport</v>
          </cell>
          <cell r="F266">
            <v>43707</v>
          </cell>
          <cell r="G266">
            <v>43715</v>
          </cell>
          <cell r="H266">
            <v>43717</v>
          </cell>
          <cell r="I266" t="str">
            <v>05.09.2019</v>
          </cell>
          <cell r="J266" t="str">
            <v>06.09.2019</v>
          </cell>
          <cell r="K266" t="str">
            <v>-</v>
          </cell>
          <cell r="L266" t="str">
            <v>OK</v>
          </cell>
        </row>
        <row r="267">
          <cell r="A267" t="str">
            <v>SHW-43524I19</v>
          </cell>
          <cell r="B267">
            <v>583914764</v>
          </cell>
          <cell r="C267" t="str">
            <v>Original</v>
          </cell>
          <cell r="D267" t="str">
            <v>Panalpina</v>
          </cell>
          <cell r="E267" t="str">
            <v>TKT</v>
          </cell>
          <cell r="F267">
            <v>43707</v>
          </cell>
          <cell r="G267">
            <v>43715</v>
          </cell>
          <cell r="H267">
            <v>43717</v>
          </cell>
          <cell r="I267" t="str">
            <v>17.09.2019</v>
          </cell>
          <cell r="J267" t="str">
            <v>02.09.2019</v>
          </cell>
          <cell r="K267" t="str">
            <v>-</v>
          </cell>
          <cell r="L267" t="str">
            <v>OK</v>
          </cell>
        </row>
        <row r="268">
          <cell r="A268" t="str">
            <v>AHW-44040I19</v>
          </cell>
          <cell r="B268">
            <v>80466835</v>
          </cell>
          <cell r="C268" t="str">
            <v>Original</v>
          </cell>
          <cell r="D268" t="str">
            <v>CEVA</v>
          </cell>
          <cell r="E268" t="str">
            <v>Rodoimport</v>
          </cell>
          <cell r="F268">
            <v>43714</v>
          </cell>
          <cell r="G268">
            <v>43722</v>
          </cell>
          <cell r="H268">
            <v>43724</v>
          </cell>
          <cell r="I268" t="str">
            <v>20.09.2019</v>
          </cell>
          <cell r="J268" t="str">
            <v>19.09.2019</v>
          </cell>
          <cell r="K268" t="str">
            <v>-</v>
          </cell>
          <cell r="L268" t="str">
            <v>OK</v>
          </cell>
        </row>
        <row r="269">
          <cell r="A269" t="str">
            <v>AHW-43994I19</v>
          </cell>
          <cell r="B269">
            <v>80466807</v>
          </cell>
          <cell r="C269" t="str">
            <v>Original</v>
          </cell>
          <cell r="D269" t="str">
            <v>CEVA</v>
          </cell>
          <cell r="E269" t="str">
            <v>Rodoimport</v>
          </cell>
          <cell r="F269">
            <v>43714</v>
          </cell>
          <cell r="G269">
            <v>43722</v>
          </cell>
          <cell r="H269">
            <v>43724</v>
          </cell>
          <cell r="I269" t="str">
            <v>20.09.2019</v>
          </cell>
          <cell r="J269" t="str">
            <v>19.09.2019</v>
          </cell>
          <cell r="K269" t="str">
            <v>-</v>
          </cell>
          <cell r="L269" t="str">
            <v>OK</v>
          </cell>
        </row>
        <row r="270">
          <cell r="A270" t="str">
            <v>AHW-43997I19</v>
          </cell>
          <cell r="B270">
            <v>80466808</v>
          </cell>
          <cell r="C270" t="str">
            <v>Original</v>
          </cell>
          <cell r="D270" t="str">
            <v>CEVA</v>
          </cell>
          <cell r="E270" t="str">
            <v>Rodoimport</v>
          </cell>
          <cell r="F270">
            <v>43714</v>
          </cell>
          <cell r="G270">
            <v>43722</v>
          </cell>
          <cell r="H270">
            <v>43724</v>
          </cell>
          <cell r="I270" t="str">
            <v>24.09.2019</v>
          </cell>
          <cell r="J270" t="str">
            <v>19.09.2019</v>
          </cell>
          <cell r="K270" t="str">
            <v>-</v>
          </cell>
          <cell r="L270" t="str">
            <v>OK</v>
          </cell>
        </row>
        <row r="271">
          <cell r="A271" t="str">
            <v>AHW-43991I19</v>
          </cell>
          <cell r="B271">
            <v>80466784</v>
          </cell>
          <cell r="C271" t="str">
            <v>Original</v>
          </cell>
          <cell r="D271" t="str">
            <v>CEVA</v>
          </cell>
          <cell r="E271" t="str">
            <v>Rodoimport</v>
          </cell>
          <cell r="F271">
            <v>43714</v>
          </cell>
          <cell r="G271">
            <v>43722</v>
          </cell>
          <cell r="H271">
            <v>43724</v>
          </cell>
          <cell r="I271" t="str">
            <v>20.09.2019</v>
          </cell>
          <cell r="J271" t="str">
            <v>19.09.2019</v>
          </cell>
          <cell r="K271" t="str">
            <v>-</v>
          </cell>
          <cell r="L271" t="str">
            <v>OK</v>
          </cell>
        </row>
        <row r="272">
          <cell r="A272" t="str">
            <v>AHW-44058I19</v>
          </cell>
          <cell r="B272" t="str">
            <v>CTS117900</v>
          </cell>
          <cell r="C272" t="str">
            <v>Original</v>
          </cell>
          <cell r="D272" t="str">
            <v>CTS</v>
          </cell>
          <cell r="E272" t="str">
            <v>Rodoimport</v>
          </cell>
          <cell r="F272">
            <v>43717</v>
          </cell>
          <cell r="G272">
            <v>43725</v>
          </cell>
          <cell r="H272">
            <v>43727</v>
          </cell>
          <cell r="I272" t="str">
            <v>20.09.2019</v>
          </cell>
          <cell r="J272" t="str">
            <v>19.09.2019</v>
          </cell>
          <cell r="K272" t="str">
            <v>-</v>
          </cell>
          <cell r="L272" t="str">
            <v>OK</v>
          </cell>
        </row>
        <row r="273">
          <cell r="A273" t="str">
            <v>VMI-43315I19</v>
          </cell>
          <cell r="B273" t="str">
            <v>-</v>
          </cell>
          <cell r="C273" t="str">
            <v>Original</v>
          </cell>
          <cell r="D273" t="str">
            <v>-</v>
          </cell>
          <cell r="E273" t="str">
            <v>Pacer</v>
          </cell>
          <cell r="F273">
            <v>43717</v>
          </cell>
          <cell r="G273">
            <v>43725</v>
          </cell>
          <cell r="H273">
            <v>43727</v>
          </cell>
          <cell r="I273" t="str">
            <v>20.09.2019</v>
          </cell>
          <cell r="J273" t="str">
            <v>-</v>
          </cell>
          <cell r="K273" t="str">
            <v>-</v>
          </cell>
          <cell r="L273" t="str">
            <v>OK</v>
          </cell>
        </row>
        <row r="274">
          <cell r="A274" t="str">
            <v>AHW-44084I19</v>
          </cell>
          <cell r="B274">
            <v>80466854</v>
          </cell>
          <cell r="C274" t="str">
            <v>Original</v>
          </cell>
          <cell r="D274" t="str">
            <v>CEVA</v>
          </cell>
          <cell r="E274" t="str">
            <v>Rodoimport</v>
          </cell>
          <cell r="F274">
            <v>43718</v>
          </cell>
          <cell r="G274">
            <v>43726</v>
          </cell>
          <cell r="H274">
            <v>43728</v>
          </cell>
          <cell r="I274" t="str">
            <v>20.09.2019</v>
          </cell>
          <cell r="J274" t="str">
            <v>19.09.2019</v>
          </cell>
          <cell r="K274" t="str">
            <v>-</v>
          </cell>
          <cell r="L274" t="str">
            <v>OK</v>
          </cell>
        </row>
        <row r="275">
          <cell r="A275" t="str">
            <v>AHW-44059I19</v>
          </cell>
          <cell r="B275">
            <v>80466849</v>
          </cell>
          <cell r="C275" t="str">
            <v>Original</v>
          </cell>
          <cell r="D275" t="str">
            <v>CEVA</v>
          </cell>
          <cell r="E275" t="str">
            <v>Rodoimport</v>
          </cell>
          <cell r="F275">
            <v>43719</v>
          </cell>
          <cell r="G275">
            <v>43727</v>
          </cell>
          <cell r="H275">
            <v>43729</v>
          </cell>
          <cell r="I275" t="str">
            <v>20.09.2019</v>
          </cell>
          <cell r="J275" t="str">
            <v>19.09.2019</v>
          </cell>
          <cell r="K275" t="str">
            <v>-</v>
          </cell>
          <cell r="L275" t="str">
            <v>OK</v>
          </cell>
        </row>
        <row r="276">
          <cell r="A276" t="str">
            <v>SHW-43647I19</v>
          </cell>
          <cell r="B276">
            <v>584362029</v>
          </cell>
          <cell r="C276" t="str">
            <v>Original</v>
          </cell>
          <cell r="D276" t="str">
            <v>Panalpina</v>
          </cell>
          <cell r="E276" t="str">
            <v>TKT</v>
          </cell>
          <cell r="F276">
            <v>43719</v>
          </cell>
          <cell r="G276">
            <v>43727</v>
          </cell>
          <cell r="H276">
            <v>43729</v>
          </cell>
          <cell r="I276" t="str">
            <v>17.09.2019</v>
          </cell>
          <cell r="J276" t="str">
            <v>13.09.2019</v>
          </cell>
          <cell r="K276" t="str">
            <v>-</v>
          </cell>
          <cell r="L276" t="str">
            <v>OK</v>
          </cell>
        </row>
        <row r="277">
          <cell r="A277" t="str">
            <v>VMI-43875I19</v>
          </cell>
          <cell r="B277" t="str">
            <v>-</v>
          </cell>
          <cell r="C277" t="str">
            <v>Original</v>
          </cell>
          <cell r="D277" t="str">
            <v>-</v>
          </cell>
          <cell r="E277" t="str">
            <v>Pacer</v>
          </cell>
          <cell r="F277">
            <v>43721</v>
          </cell>
          <cell r="G277">
            <v>43729</v>
          </cell>
          <cell r="H277">
            <v>43731</v>
          </cell>
          <cell r="I277" t="str">
            <v>20.09.2019</v>
          </cell>
          <cell r="J277" t="str">
            <v>-</v>
          </cell>
          <cell r="K277" t="str">
            <v>-</v>
          </cell>
          <cell r="L277" t="str">
            <v>OK</v>
          </cell>
        </row>
        <row r="278">
          <cell r="A278" t="str">
            <v>VMI-43874I19</v>
          </cell>
          <cell r="B278" t="str">
            <v>-</v>
          </cell>
          <cell r="C278" t="str">
            <v>Original</v>
          </cell>
          <cell r="D278" t="str">
            <v>-</v>
          </cell>
          <cell r="E278" t="str">
            <v>Pacer</v>
          </cell>
          <cell r="F278">
            <v>43721</v>
          </cell>
          <cell r="G278">
            <v>43729</v>
          </cell>
          <cell r="H278">
            <v>43731</v>
          </cell>
          <cell r="I278" t="str">
            <v>20.09.2019</v>
          </cell>
          <cell r="J278" t="str">
            <v>-</v>
          </cell>
          <cell r="K278" t="str">
            <v>-</v>
          </cell>
          <cell r="L278" t="str">
            <v>OK</v>
          </cell>
        </row>
        <row r="279">
          <cell r="A279" t="str">
            <v>VMI-43349I19</v>
          </cell>
          <cell r="B279" t="str">
            <v>-</v>
          </cell>
          <cell r="C279" t="str">
            <v>Original</v>
          </cell>
          <cell r="D279" t="str">
            <v>-</v>
          </cell>
          <cell r="E279" t="str">
            <v>Pacer</v>
          </cell>
          <cell r="F279">
            <v>43721</v>
          </cell>
          <cell r="G279">
            <v>43729</v>
          </cell>
          <cell r="H279">
            <v>43731</v>
          </cell>
          <cell r="I279" t="str">
            <v>20.09.2019</v>
          </cell>
          <cell r="J279" t="str">
            <v>-</v>
          </cell>
          <cell r="K279" t="str">
            <v>-</v>
          </cell>
          <cell r="L279" t="str">
            <v>OK</v>
          </cell>
        </row>
        <row r="280">
          <cell r="A280" t="str">
            <v>VMI-43344I19</v>
          </cell>
          <cell r="B280" t="str">
            <v>-</v>
          </cell>
          <cell r="C280" t="str">
            <v>Original</v>
          </cell>
          <cell r="D280" t="str">
            <v>-</v>
          </cell>
          <cell r="E280" t="str">
            <v>Pacer</v>
          </cell>
          <cell r="F280">
            <v>43721</v>
          </cell>
          <cell r="G280">
            <v>43729</v>
          </cell>
          <cell r="H280">
            <v>43731</v>
          </cell>
          <cell r="I280" t="str">
            <v>20.09.2019</v>
          </cell>
          <cell r="J280" t="str">
            <v>-</v>
          </cell>
          <cell r="K280" t="str">
            <v>-</v>
          </cell>
          <cell r="L280" t="str">
            <v>OK</v>
          </cell>
        </row>
        <row r="281">
          <cell r="A281" t="str">
            <v>AHW-44086I19</v>
          </cell>
          <cell r="B281">
            <v>80466876</v>
          </cell>
          <cell r="C281" t="str">
            <v>Original</v>
          </cell>
          <cell r="D281" t="str">
            <v>CEVA</v>
          </cell>
          <cell r="E281" t="str">
            <v>Rodoimport</v>
          </cell>
          <cell r="F281">
            <v>43721</v>
          </cell>
          <cell r="G281">
            <v>43729</v>
          </cell>
          <cell r="H281">
            <v>43731</v>
          </cell>
          <cell r="I281" t="str">
            <v>20.09.2019</v>
          </cell>
          <cell r="J281" t="str">
            <v>19.09.2019</v>
          </cell>
          <cell r="K281" t="str">
            <v>-</v>
          </cell>
          <cell r="L281" t="str">
            <v>OK</v>
          </cell>
        </row>
        <row r="282">
          <cell r="A282" t="str">
            <v>AHW-44094I19</v>
          </cell>
          <cell r="B282">
            <v>80466910</v>
          </cell>
          <cell r="C282" t="str">
            <v>Original</v>
          </cell>
          <cell r="D282" t="str">
            <v>CEVA</v>
          </cell>
          <cell r="E282" t="str">
            <v>Rodoimport</v>
          </cell>
          <cell r="F282">
            <v>43721</v>
          </cell>
          <cell r="G282">
            <v>43729</v>
          </cell>
          <cell r="H282">
            <v>43731</v>
          </cell>
          <cell r="I282" t="str">
            <v>20.09.2019</v>
          </cell>
          <cell r="J282" t="str">
            <v>19.09.2019</v>
          </cell>
          <cell r="K282" t="str">
            <v>-</v>
          </cell>
          <cell r="L282" t="str">
            <v>OK</v>
          </cell>
        </row>
        <row r="283">
          <cell r="A283" t="str">
            <v>AHW-44095I19</v>
          </cell>
          <cell r="B283">
            <v>80466928</v>
          </cell>
          <cell r="C283" t="str">
            <v>Original</v>
          </cell>
          <cell r="D283" t="str">
            <v>CEVA</v>
          </cell>
          <cell r="E283" t="str">
            <v>Rodoimport</v>
          </cell>
          <cell r="F283">
            <v>43721</v>
          </cell>
          <cell r="G283">
            <v>43729</v>
          </cell>
          <cell r="H283">
            <v>43731</v>
          </cell>
          <cell r="I283" t="str">
            <v>20.09.2019</v>
          </cell>
          <cell r="J283" t="str">
            <v>19.09.2019</v>
          </cell>
          <cell r="K283" t="str">
            <v>-</v>
          </cell>
          <cell r="L283" t="str">
            <v>OK</v>
          </cell>
        </row>
        <row r="284">
          <cell r="A284" t="str">
            <v>AHW-44085I19</v>
          </cell>
          <cell r="B284">
            <v>80466899</v>
          </cell>
          <cell r="C284" t="str">
            <v>Original</v>
          </cell>
          <cell r="D284" t="str">
            <v>CEVA</v>
          </cell>
          <cell r="E284" t="str">
            <v>Rodoimport</v>
          </cell>
          <cell r="F284">
            <v>43721</v>
          </cell>
          <cell r="G284">
            <v>43729</v>
          </cell>
          <cell r="H284">
            <v>43731</v>
          </cell>
          <cell r="I284" t="str">
            <v>20.09.2019</v>
          </cell>
          <cell r="J284" t="str">
            <v>19.09.2019</v>
          </cell>
          <cell r="K284" t="str">
            <v>-</v>
          </cell>
          <cell r="L284" t="str">
            <v>OK</v>
          </cell>
        </row>
        <row r="285">
          <cell r="A285" t="str">
            <v>AHW-44129I19</v>
          </cell>
          <cell r="B285">
            <v>80466957</v>
          </cell>
          <cell r="C285" t="str">
            <v>Original</v>
          </cell>
          <cell r="D285" t="str">
            <v>CEVA</v>
          </cell>
          <cell r="E285" t="str">
            <v>Rodoimport</v>
          </cell>
          <cell r="F285">
            <v>43721</v>
          </cell>
          <cell r="G285">
            <v>43729</v>
          </cell>
          <cell r="H285">
            <v>43731</v>
          </cell>
          <cell r="I285" t="str">
            <v>20.09.2019</v>
          </cell>
          <cell r="J285" t="str">
            <v>19.09.2019</v>
          </cell>
          <cell r="K285" t="str">
            <v>-</v>
          </cell>
          <cell r="L285" t="str">
            <v>OK</v>
          </cell>
        </row>
        <row r="286">
          <cell r="A286" t="str">
            <v>SHW-43672I19</v>
          </cell>
          <cell r="B286">
            <v>584663646</v>
          </cell>
          <cell r="C286" t="str">
            <v>Original</v>
          </cell>
          <cell r="D286" t="str">
            <v>Panalpina</v>
          </cell>
          <cell r="E286" t="str">
            <v>TKT</v>
          </cell>
          <cell r="F286">
            <v>43724</v>
          </cell>
          <cell r="G286">
            <v>43732</v>
          </cell>
          <cell r="H286">
            <v>43734</v>
          </cell>
          <cell r="I286" t="str">
            <v>24.09.2019</v>
          </cell>
          <cell r="J286" t="str">
            <v>18.09.2019</v>
          </cell>
          <cell r="K286" t="str">
            <v>-</v>
          </cell>
          <cell r="L286" t="str">
            <v>OK</v>
          </cell>
        </row>
        <row r="287">
          <cell r="A287" t="str">
            <v>SHW-43723I19</v>
          </cell>
          <cell r="B287">
            <v>584801590</v>
          </cell>
          <cell r="C287" t="str">
            <v>Original</v>
          </cell>
          <cell r="D287" t="str">
            <v>Panalpina</v>
          </cell>
          <cell r="E287" t="str">
            <v>TKT</v>
          </cell>
          <cell r="F287">
            <v>43728</v>
          </cell>
          <cell r="G287">
            <v>43736</v>
          </cell>
          <cell r="H287">
            <v>43738</v>
          </cell>
          <cell r="I287" t="str">
            <v>09.10.2019</v>
          </cell>
          <cell r="J287" t="str">
            <v>25.09.2019</v>
          </cell>
          <cell r="K287" t="str">
            <v>-</v>
          </cell>
          <cell r="L287" t="str">
            <v>OK</v>
          </cell>
        </row>
        <row r="288">
          <cell r="A288" t="str">
            <v>SHW-43826I19</v>
          </cell>
          <cell r="B288">
            <v>584801876</v>
          </cell>
          <cell r="C288" t="str">
            <v>Original</v>
          </cell>
          <cell r="D288" t="str">
            <v>Panalpina</v>
          </cell>
          <cell r="E288" t="str">
            <v>TKT</v>
          </cell>
          <cell r="F288">
            <v>43728</v>
          </cell>
          <cell r="G288">
            <v>43736</v>
          </cell>
          <cell r="H288">
            <v>43738</v>
          </cell>
          <cell r="I288" t="str">
            <v>09.10.2019</v>
          </cell>
          <cell r="J288" t="str">
            <v>25.09.2019</v>
          </cell>
          <cell r="K288" t="str">
            <v>-</v>
          </cell>
          <cell r="L288" t="str">
            <v>OK</v>
          </cell>
        </row>
        <row r="289">
          <cell r="A289" t="str">
            <v>AHW-44250I19</v>
          </cell>
          <cell r="B289">
            <v>78076622</v>
          </cell>
          <cell r="C289" t="str">
            <v>Original</v>
          </cell>
          <cell r="D289" t="str">
            <v>CEVA</v>
          </cell>
          <cell r="E289" t="str">
            <v>Rodoimport</v>
          </cell>
          <cell r="F289">
            <v>43728</v>
          </cell>
          <cell r="G289">
            <v>43736</v>
          </cell>
          <cell r="H289">
            <v>43738</v>
          </cell>
          <cell r="I289" t="str">
            <v>04.10.2019</v>
          </cell>
          <cell r="J289" t="str">
            <v>04.10.2019</v>
          </cell>
          <cell r="K289" t="str">
            <v>-</v>
          </cell>
          <cell r="L289" t="str">
            <v>OK</v>
          </cell>
        </row>
        <row r="290">
          <cell r="A290" t="str">
            <v>AHW-44255I19</v>
          </cell>
          <cell r="B290">
            <v>78076643</v>
          </cell>
          <cell r="C290" t="str">
            <v>Original</v>
          </cell>
          <cell r="D290" t="str">
            <v>CEVA</v>
          </cell>
          <cell r="E290" t="str">
            <v>Rodoimport</v>
          </cell>
          <cell r="F290">
            <v>43732</v>
          </cell>
          <cell r="G290">
            <v>43740</v>
          </cell>
          <cell r="H290">
            <v>43742</v>
          </cell>
          <cell r="I290" t="str">
            <v>04.10.2019</v>
          </cell>
          <cell r="J290" t="str">
            <v>04.10.2019</v>
          </cell>
          <cell r="K290" t="str">
            <v>-</v>
          </cell>
          <cell r="L290" t="str">
            <v>OK</v>
          </cell>
        </row>
        <row r="291">
          <cell r="A291" t="str">
            <v>AHW-44256I19</v>
          </cell>
          <cell r="B291">
            <v>78076660</v>
          </cell>
          <cell r="C291" t="str">
            <v>Original</v>
          </cell>
          <cell r="D291" t="str">
            <v>CEVA</v>
          </cell>
          <cell r="E291" t="str">
            <v>Rodoimport</v>
          </cell>
          <cell r="F291">
            <v>43732</v>
          </cell>
          <cell r="G291">
            <v>43740</v>
          </cell>
          <cell r="H291">
            <v>43742</v>
          </cell>
          <cell r="I291" t="str">
            <v>04.10.2019</v>
          </cell>
          <cell r="J291" t="str">
            <v>04.10.2019</v>
          </cell>
          <cell r="K291" t="str">
            <v>-</v>
          </cell>
          <cell r="L291" t="str">
            <v>OK</v>
          </cell>
        </row>
        <row r="292">
          <cell r="A292" t="str">
            <v>AHW-44257I19</v>
          </cell>
          <cell r="B292">
            <v>78076672</v>
          </cell>
          <cell r="C292" t="str">
            <v>Original</v>
          </cell>
          <cell r="D292" t="str">
            <v>CEVA</v>
          </cell>
          <cell r="E292" t="str">
            <v>Rodoimport</v>
          </cell>
          <cell r="F292">
            <v>43732</v>
          </cell>
          <cell r="G292">
            <v>43740</v>
          </cell>
          <cell r="H292">
            <v>43742</v>
          </cell>
          <cell r="I292" t="str">
            <v>04.10.2019</v>
          </cell>
          <cell r="J292" t="str">
            <v>04.10.2019</v>
          </cell>
          <cell r="K292" t="str">
            <v>-</v>
          </cell>
          <cell r="L292" t="str">
            <v>OK</v>
          </cell>
        </row>
        <row r="293">
          <cell r="A293" t="str">
            <v>AHW-44260I19</v>
          </cell>
          <cell r="B293">
            <v>78076685</v>
          </cell>
          <cell r="C293" t="str">
            <v>Original</v>
          </cell>
          <cell r="D293" t="str">
            <v>CEVA</v>
          </cell>
          <cell r="E293" t="str">
            <v>Rodoimport</v>
          </cell>
          <cell r="F293">
            <v>43732</v>
          </cell>
          <cell r="G293">
            <v>43740</v>
          </cell>
          <cell r="H293">
            <v>43742</v>
          </cell>
          <cell r="I293" t="str">
            <v>04.10.2019</v>
          </cell>
          <cell r="J293" t="str">
            <v>04.10.2019</v>
          </cell>
          <cell r="K293" t="str">
            <v>-</v>
          </cell>
          <cell r="L293" t="str">
            <v>OK</v>
          </cell>
        </row>
        <row r="294">
          <cell r="A294" t="str">
            <v>AHW-44206I19</v>
          </cell>
          <cell r="B294">
            <v>78076553</v>
          </cell>
          <cell r="C294" t="str">
            <v>Original</v>
          </cell>
          <cell r="D294" t="str">
            <v>CEVA</v>
          </cell>
          <cell r="E294" t="str">
            <v>Rodoimport</v>
          </cell>
          <cell r="F294">
            <v>43733</v>
          </cell>
          <cell r="G294">
            <v>43741</v>
          </cell>
          <cell r="H294">
            <v>43743</v>
          </cell>
          <cell r="I294" t="str">
            <v>04.10.2019</v>
          </cell>
          <cell r="J294" t="str">
            <v>04.10.2019</v>
          </cell>
          <cell r="K294" t="str">
            <v>-</v>
          </cell>
          <cell r="L294" t="str">
            <v>OK</v>
          </cell>
        </row>
        <row r="295">
          <cell r="A295" t="str">
            <v>AHW-44210I19</v>
          </cell>
          <cell r="B295">
            <v>78076602</v>
          </cell>
          <cell r="C295" t="str">
            <v>Original</v>
          </cell>
          <cell r="D295" t="str">
            <v>CEVA</v>
          </cell>
          <cell r="E295" t="str">
            <v>Rodoimport</v>
          </cell>
          <cell r="F295">
            <v>43733</v>
          </cell>
          <cell r="G295">
            <v>43741</v>
          </cell>
          <cell r="H295">
            <v>43743</v>
          </cell>
          <cell r="I295" t="str">
            <v>04.10.2019</v>
          </cell>
          <cell r="J295" t="str">
            <v>04.10.2019</v>
          </cell>
          <cell r="K295" t="str">
            <v>-</v>
          </cell>
          <cell r="L295" t="str">
            <v>OK</v>
          </cell>
        </row>
        <row r="296">
          <cell r="A296" t="str">
            <v>AHW-44165I19</v>
          </cell>
          <cell r="B296">
            <v>78076806</v>
          </cell>
          <cell r="C296" t="str">
            <v>Original</v>
          </cell>
          <cell r="D296" t="str">
            <v>CEVA</v>
          </cell>
          <cell r="E296" t="str">
            <v>Rodoimport</v>
          </cell>
          <cell r="F296">
            <v>43733</v>
          </cell>
          <cell r="G296">
            <v>43741</v>
          </cell>
          <cell r="H296">
            <v>43743</v>
          </cell>
          <cell r="I296" t="str">
            <v>04.10.2019</v>
          </cell>
          <cell r="J296" t="str">
            <v>04.10.2019</v>
          </cell>
          <cell r="K296" t="str">
            <v>-</v>
          </cell>
          <cell r="L296" t="str">
            <v>OK</v>
          </cell>
        </row>
        <row r="297">
          <cell r="A297" t="str">
            <v>AHW-44169I19</v>
          </cell>
          <cell r="B297">
            <v>80466991</v>
          </cell>
          <cell r="C297" t="str">
            <v>Original</v>
          </cell>
          <cell r="D297" t="str">
            <v>CEVA</v>
          </cell>
          <cell r="E297" t="str">
            <v>Rodoimport</v>
          </cell>
          <cell r="F297">
            <v>43733</v>
          </cell>
          <cell r="G297">
            <v>43741</v>
          </cell>
          <cell r="H297">
            <v>43743</v>
          </cell>
          <cell r="I297" t="str">
            <v>04.10.2019</v>
          </cell>
          <cell r="J297" t="str">
            <v>04.10.2019</v>
          </cell>
          <cell r="K297" t="str">
            <v>-</v>
          </cell>
          <cell r="L297" t="str">
            <v>OK</v>
          </cell>
        </row>
        <row r="298">
          <cell r="A298" t="str">
            <v>AHW-44031I19</v>
          </cell>
          <cell r="B298">
            <v>78076636</v>
          </cell>
          <cell r="C298" t="str">
            <v>Original</v>
          </cell>
          <cell r="D298" t="str">
            <v>CEVA</v>
          </cell>
          <cell r="E298" t="str">
            <v>Rodoimport</v>
          </cell>
          <cell r="F298">
            <v>43733</v>
          </cell>
          <cell r="G298">
            <v>43741</v>
          </cell>
          <cell r="H298">
            <v>43743</v>
          </cell>
          <cell r="I298" t="str">
            <v>04.10.2019</v>
          </cell>
          <cell r="J298" t="str">
            <v>04.10.2019</v>
          </cell>
          <cell r="K298" t="str">
            <v>-</v>
          </cell>
          <cell r="L298" t="str">
            <v>OK</v>
          </cell>
        </row>
        <row r="299">
          <cell r="A299" t="str">
            <v>VMI-44036I19</v>
          </cell>
          <cell r="B299" t="str">
            <v>-</v>
          </cell>
          <cell r="C299" t="str">
            <v>Original</v>
          </cell>
          <cell r="D299" t="str">
            <v>-</v>
          </cell>
          <cell r="E299" t="str">
            <v>Pacer</v>
          </cell>
          <cell r="F299">
            <v>43733</v>
          </cell>
          <cell r="G299">
            <v>43741</v>
          </cell>
          <cell r="H299">
            <v>43743</v>
          </cell>
          <cell r="I299" t="str">
            <v>04.10.2019</v>
          </cell>
          <cell r="J299" t="str">
            <v>-</v>
          </cell>
          <cell r="K299" t="str">
            <v>-</v>
          </cell>
          <cell r="L299" t="str">
            <v>OK</v>
          </cell>
        </row>
        <row r="300">
          <cell r="A300" t="str">
            <v>AHW-44304I19</v>
          </cell>
          <cell r="B300">
            <v>78076741</v>
          </cell>
          <cell r="C300" t="str">
            <v>Original</v>
          </cell>
          <cell r="D300" t="str">
            <v>CEVA</v>
          </cell>
          <cell r="E300" t="str">
            <v>Rodoimport</v>
          </cell>
          <cell r="F300">
            <v>43735</v>
          </cell>
          <cell r="G300">
            <v>43743</v>
          </cell>
          <cell r="H300">
            <v>43745</v>
          </cell>
          <cell r="I300" t="str">
            <v>04.10.2019</v>
          </cell>
          <cell r="J300" t="str">
            <v>04.10.2019</v>
          </cell>
          <cell r="K300" t="str">
            <v>-</v>
          </cell>
          <cell r="L300" t="str">
            <v>OK</v>
          </cell>
        </row>
        <row r="301">
          <cell r="A301" t="str">
            <v>AHW-44400I19</v>
          </cell>
          <cell r="B301">
            <v>78076851</v>
          </cell>
          <cell r="C301" t="str">
            <v>Original</v>
          </cell>
          <cell r="D301" t="str">
            <v>CEVA</v>
          </cell>
          <cell r="E301" t="str">
            <v>Rodoimport</v>
          </cell>
          <cell r="F301">
            <v>43738</v>
          </cell>
          <cell r="G301">
            <v>43746</v>
          </cell>
          <cell r="H301">
            <v>43748</v>
          </cell>
          <cell r="I301" t="str">
            <v>04.10.2019</v>
          </cell>
          <cell r="J301" t="str">
            <v>04.10.2019</v>
          </cell>
          <cell r="K301" t="str">
            <v>-</v>
          </cell>
          <cell r="L301" t="str">
            <v>OK</v>
          </cell>
        </row>
        <row r="302">
          <cell r="A302" t="str">
            <v>AHW-44409I19</v>
          </cell>
          <cell r="B302" t="str">
            <v>CTS117425</v>
          </cell>
          <cell r="C302" t="str">
            <v>Original</v>
          </cell>
          <cell r="D302" t="str">
            <v>CTS</v>
          </cell>
          <cell r="E302" t="str">
            <v>Rodoimport</v>
          </cell>
          <cell r="F302">
            <v>43738</v>
          </cell>
          <cell r="G302">
            <v>43746</v>
          </cell>
          <cell r="H302">
            <v>43748</v>
          </cell>
          <cell r="I302" t="str">
            <v>04.10.2019</v>
          </cell>
          <cell r="J302" t="str">
            <v>04.10.2019</v>
          </cell>
          <cell r="K302" t="str">
            <v>-</v>
          </cell>
          <cell r="L302" t="str">
            <v>OK</v>
          </cell>
        </row>
        <row r="303">
          <cell r="A303" t="str">
            <v>AHW-44410I19</v>
          </cell>
          <cell r="B303" t="str">
            <v>CTS117426</v>
          </cell>
          <cell r="C303" t="str">
            <v>Original</v>
          </cell>
          <cell r="D303" t="str">
            <v>CTS</v>
          </cell>
          <cell r="E303" t="str">
            <v>Rodoimport</v>
          </cell>
          <cell r="F303">
            <v>43738</v>
          </cell>
          <cell r="G303">
            <v>43746</v>
          </cell>
          <cell r="H303">
            <v>43748</v>
          </cell>
          <cell r="I303" t="str">
            <v>04.10.2019</v>
          </cell>
          <cell r="J303" t="str">
            <v>04.10.2019</v>
          </cell>
          <cell r="K303" t="str">
            <v>-</v>
          </cell>
          <cell r="L303" t="str">
            <v>OK</v>
          </cell>
        </row>
        <row r="304">
          <cell r="A304" t="str">
            <v>AHW-44448I19</v>
          </cell>
          <cell r="B304">
            <v>78076884</v>
          </cell>
          <cell r="C304" t="str">
            <v>Original</v>
          </cell>
          <cell r="D304" t="str">
            <v>CEVA</v>
          </cell>
          <cell r="E304" t="str">
            <v>Rodoimport</v>
          </cell>
          <cell r="F304">
            <v>43738</v>
          </cell>
          <cell r="G304">
            <v>43746</v>
          </cell>
          <cell r="H304">
            <v>43748</v>
          </cell>
          <cell r="I304" t="str">
            <v>04.10.2019</v>
          </cell>
          <cell r="J304" t="str">
            <v>04.10.2019</v>
          </cell>
          <cell r="K304" t="str">
            <v>-</v>
          </cell>
          <cell r="L304" t="str">
            <v>OK</v>
          </cell>
        </row>
        <row r="305">
          <cell r="A305" t="str">
            <v>AHW-44449I19</v>
          </cell>
          <cell r="B305" t="str">
            <v>CTS117427</v>
          </cell>
          <cell r="C305" t="str">
            <v>Original</v>
          </cell>
          <cell r="D305" t="str">
            <v>CTS</v>
          </cell>
          <cell r="E305" t="str">
            <v>Rodoimport</v>
          </cell>
          <cell r="F305">
            <v>43738</v>
          </cell>
          <cell r="G305">
            <v>43746</v>
          </cell>
          <cell r="H305">
            <v>43748</v>
          </cell>
          <cell r="I305" t="str">
            <v>04.10.2019</v>
          </cell>
          <cell r="J305" t="str">
            <v>04.10.2019</v>
          </cell>
          <cell r="K305" t="str">
            <v>-</v>
          </cell>
          <cell r="L305" t="str">
            <v>OK</v>
          </cell>
        </row>
        <row r="306">
          <cell r="A306" t="str">
            <v>AHW-44450I19</v>
          </cell>
          <cell r="B306" t="str">
            <v>CTS117428</v>
          </cell>
          <cell r="C306" t="str">
            <v>Original</v>
          </cell>
          <cell r="D306" t="str">
            <v>CTS</v>
          </cell>
          <cell r="E306" t="str">
            <v>Rodoimport</v>
          </cell>
          <cell r="F306">
            <v>43738</v>
          </cell>
          <cell r="G306">
            <v>43746</v>
          </cell>
          <cell r="H306">
            <v>43748</v>
          </cell>
          <cell r="I306" t="str">
            <v>04.10.2019</v>
          </cell>
          <cell r="J306" t="str">
            <v>04.10.2019</v>
          </cell>
          <cell r="K306" t="str">
            <v>-</v>
          </cell>
          <cell r="L306" t="str">
            <v>OK</v>
          </cell>
        </row>
        <row r="307">
          <cell r="A307" t="str">
            <v>VMI-43347I19</v>
          </cell>
          <cell r="B307" t="str">
            <v>-</v>
          </cell>
          <cell r="C307" t="str">
            <v>Original</v>
          </cell>
          <cell r="D307" t="str">
            <v>-</v>
          </cell>
          <cell r="E307" t="str">
            <v>Pacer</v>
          </cell>
          <cell r="F307">
            <v>43739</v>
          </cell>
          <cell r="G307">
            <v>43747</v>
          </cell>
          <cell r="H307">
            <v>43749</v>
          </cell>
          <cell r="I307" t="str">
            <v>04.10.2019</v>
          </cell>
          <cell r="J307" t="str">
            <v>-</v>
          </cell>
          <cell r="K307" t="str">
            <v>-</v>
          </cell>
          <cell r="L307" t="str">
            <v>OK</v>
          </cell>
        </row>
        <row r="308">
          <cell r="A308" t="str">
            <v>VMI-44034I19</v>
          </cell>
          <cell r="B308" t="str">
            <v>-</v>
          </cell>
          <cell r="C308" t="str">
            <v>Original</v>
          </cell>
          <cell r="D308" t="str">
            <v>-</v>
          </cell>
          <cell r="E308" t="str">
            <v>Pacer</v>
          </cell>
          <cell r="F308">
            <v>43739</v>
          </cell>
          <cell r="G308">
            <v>43747</v>
          </cell>
          <cell r="H308">
            <v>43749</v>
          </cell>
          <cell r="I308" t="str">
            <v>04.10.2019</v>
          </cell>
          <cell r="J308" t="str">
            <v>-</v>
          </cell>
          <cell r="K308" t="str">
            <v>-</v>
          </cell>
          <cell r="L308" t="str">
            <v>OK</v>
          </cell>
        </row>
        <row r="309">
          <cell r="A309" t="str">
            <v>VMI-44035I19</v>
          </cell>
          <cell r="B309" t="str">
            <v>-</v>
          </cell>
          <cell r="C309" t="str">
            <v>Original</v>
          </cell>
          <cell r="D309" t="str">
            <v>-</v>
          </cell>
          <cell r="E309" t="str">
            <v>Pacer</v>
          </cell>
          <cell r="F309">
            <v>43739</v>
          </cell>
          <cell r="G309">
            <v>43747</v>
          </cell>
          <cell r="H309">
            <v>43749</v>
          </cell>
          <cell r="I309" t="str">
            <v>04.10.2019</v>
          </cell>
          <cell r="J309" t="str">
            <v>-</v>
          </cell>
          <cell r="K309" t="str">
            <v>-</v>
          </cell>
          <cell r="L309" t="str">
            <v>OK</v>
          </cell>
        </row>
        <row r="310">
          <cell r="A310" t="str">
            <v>VMI-44037I19</v>
          </cell>
          <cell r="B310" t="str">
            <v>-</v>
          </cell>
          <cell r="C310" t="str">
            <v>Original</v>
          </cell>
          <cell r="D310" t="str">
            <v>-</v>
          </cell>
          <cell r="E310" t="str">
            <v>Pacer</v>
          </cell>
          <cell r="F310">
            <v>43739</v>
          </cell>
          <cell r="G310">
            <v>43747</v>
          </cell>
          <cell r="H310">
            <v>43749</v>
          </cell>
          <cell r="I310" t="str">
            <v>04.10.2019</v>
          </cell>
          <cell r="J310" t="str">
            <v>-</v>
          </cell>
          <cell r="K310" t="str">
            <v>-</v>
          </cell>
          <cell r="L310" t="str">
            <v>OK</v>
          </cell>
        </row>
        <row r="311">
          <cell r="A311" t="str">
            <v>VMI-44043I19</v>
          </cell>
          <cell r="B311" t="str">
            <v>-</v>
          </cell>
          <cell r="C311" t="str">
            <v>Original</v>
          </cell>
          <cell r="D311" t="str">
            <v>-</v>
          </cell>
          <cell r="E311" t="str">
            <v>Pacer</v>
          </cell>
          <cell r="F311">
            <v>43739</v>
          </cell>
          <cell r="G311">
            <v>43747</v>
          </cell>
          <cell r="H311">
            <v>43749</v>
          </cell>
          <cell r="I311" t="str">
            <v>04.10.2019</v>
          </cell>
          <cell r="J311" t="str">
            <v>-</v>
          </cell>
          <cell r="K311" t="str">
            <v>-</v>
          </cell>
          <cell r="L311" t="str">
            <v>OK</v>
          </cell>
        </row>
        <row r="312">
          <cell r="A312" t="str">
            <v>AHW-44305I19</v>
          </cell>
          <cell r="B312">
            <v>78076723</v>
          </cell>
          <cell r="C312" t="str">
            <v>Original</v>
          </cell>
          <cell r="D312" t="str">
            <v>CEVA</v>
          </cell>
          <cell r="E312" t="str">
            <v>Rodoimport</v>
          </cell>
          <cell r="F312">
            <v>43741</v>
          </cell>
          <cell r="G312">
            <v>43749</v>
          </cell>
          <cell r="H312">
            <v>43751</v>
          </cell>
          <cell r="I312" t="str">
            <v>10.10.2019</v>
          </cell>
          <cell r="J312" t="str">
            <v>15.10.2019</v>
          </cell>
          <cell r="K312" t="str">
            <v>-</v>
          </cell>
          <cell r="L312" t="str">
            <v>OK</v>
          </cell>
        </row>
        <row r="313">
          <cell r="A313" t="str">
            <v>AHW-44451I19</v>
          </cell>
          <cell r="B313" t="str">
            <v>CTS117429</v>
          </cell>
          <cell r="C313" t="str">
            <v>Original</v>
          </cell>
          <cell r="D313" t="str">
            <v>CTS</v>
          </cell>
          <cell r="E313" t="str">
            <v>Rodoimport</v>
          </cell>
          <cell r="F313">
            <v>43742</v>
          </cell>
          <cell r="G313">
            <v>43750</v>
          </cell>
          <cell r="H313">
            <v>43752</v>
          </cell>
          <cell r="I313" t="str">
            <v>10.10.2019</v>
          </cell>
          <cell r="J313" t="str">
            <v>16.10.2019</v>
          </cell>
          <cell r="K313" t="str">
            <v>-</v>
          </cell>
          <cell r="L313" t="str">
            <v>OK</v>
          </cell>
        </row>
        <row r="314">
          <cell r="A314" t="str">
            <v>AHW-44446I19</v>
          </cell>
          <cell r="B314">
            <v>78076904</v>
          </cell>
          <cell r="C314" t="str">
            <v>Original</v>
          </cell>
          <cell r="D314" t="str">
            <v>CEVA</v>
          </cell>
          <cell r="E314" t="str">
            <v>Rodoimport</v>
          </cell>
          <cell r="F314">
            <v>43742</v>
          </cell>
          <cell r="G314">
            <v>43750</v>
          </cell>
          <cell r="H314">
            <v>43752</v>
          </cell>
          <cell r="I314" t="str">
            <v>10.10.2019</v>
          </cell>
          <cell r="J314" t="str">
            <v>15.10.2019</v>
          </cell>
          <cell r="K314" t="str">
            <v>-</v>
          </cell>
          <cell r="L314" t="str">
            <v>OK</v>
          </cell>
        </row>
        <row r="315">
          <cell r="A315" t="str">
            <v>AHW-44554I19</v>
          </cell>
          <cell r="B315">
            <v>78077500</v>
          </cell>
          <cell r="C315" t="str">
            <v>Original</v>
          </cell>
          <cell r="D315" t="str">
            <v>CEVA</v>
          </cell>
          <cell r="E315" t="str">
            <v>Rodoimport</v>
          </cell>
          <cell r="F315">
            <v>43742</v>
          </cell>
          <cell r="G315">
            <v>43750</v>
          </cell>
          <cell r="H315">
            <v>43752</v>
          </cell>
          <cell r="I315" t="str">
            <v>10.10.2019</v>
          </cell>
          <cell r="J315" t="str">
            <v>15.10.2019</v>
          </cell>
          <cell r="K315" t="str">
            <v>-</v>
          </cell>
          <cell r="L315" t="str">
            <v>OK</v>
          </cell>
        </row>
        <row r="316">
          <cell r="A316" t="str">
            <v>AHW-44551I19</v>
          </cell>
          <cell r="B316">
            <v>78077558</v>
          </cell>
          <cell r="C316" t="str">
            <v>Original</v>
          </cell>
          <cell r="D316" t="str">
            <v>CEVA</v>
          </cell>
          <cell r="E316" t="str">
            <v>Rodoimport</v>
          </cell>
          <cell r="F316">
            <v>43746</v>
          </cell>
          <cell r="G316">
            <v>43754</v>
          </cell>
          <cell r="H316">
            <v>43756</v>
          </cell>
          <cell r="I316" t="str">
            <v>11.10.2019</v>
          </cell>
          <cell r="J316" t="str">
            <v>15.10.2019</v>
          </cell>
          <cell r="K316" t="str">
            <v>-</v>
          </cell>
          <cell r="L316" t="str">
            <v>OK</v>
          </cell>
        </row>
        <row r="317">
          <cell r="A317" t="str">
            <v>AHW-44557I19</v>
          </cell>
          <cell r="B317">
            <v>78077574</v>
          </cell>
          <cell r="C317" t="str">
            <v>Original</v>
          </cell>
          <cell r="D317" t="str">
            <v>CEVA</v>
          </cell>
          <cell r="E317" t="str">
            <v>Rodoimport</v>
          </cell>
          <cell r="F317">
            <v>43746</v>
          </cell>
          <cell r="G317">
            <v>43754</v>
          </cell>
          <cell r="H317">
            <v>43756</v>
          </cell>
          <cell r="I317" t="str">
            <v>11.10.2019</v>
          </cell>
          <cell r="J317" t="str">
            <v>15.10.2019</v>
          </cell>
          <cell r="K317" t="str">
            <v>-</v>
          </cell>
          <cell r="L317" t="str">
            <v>OK</v>
          </cell>
        </row>
        <row r="318">
          <cell r="A318" t="str">
            <v>SHW-43986I19</v>
          </cell>
          <cell r="B318">
            <v>584680485</v>
          </cell>
          <cell r="C318" t="str">
            <v>Original</v>
          </cell>
          <cell r="D318" t="str">
            <v>Panalpina</v>
          </cell>
          <cell r="E318" t="str">
            <v>TKT</v>
          </cell>
          <cell r="F318">
            <v>43746</v>
          </cell>
          <cell r="G318">
            <v>43754</v>
          </cell>
          <cell r="H318">
            <v>43756</v>
          </cell>
          <cell r="I318" t="str">
            <v>14.10.2019</v>
          </cell>
          <cell r="J318" t="str">
            <v>11.10.2019</v>
          </cell>
          <cell r="K318" t="str">
            <v>-</v>
          </cell>
          <cell r="L318" t="str">
            <v>OK</v>
          </cell>
        </row>
        <row r="319">
          <cell r="A319" t="str">
            <v>SHW-43939I19</v>
          </cell>
          <cell r="B319">
            <v>584680316</v>
          </cell>
          <cell r="C319" t="str">
            <v>Original</v>
          </cell>
          <cell r="D319" t="str">
            <v>Panalpina</v>
          </cell>
          <cell r="E319" t="str">
            <v>TKT</v>
          </cell>
          <cell r="F319">
            <v>43747</v>
          </cell>
          <cell r="G319">
            <v>43755</v>
          </cell>
          <cell r="H319">
            <v>43757</v>
          </cell>
          <cell r="I319" t="str">
            <v>14.10.2019</v>
          </cell>
          <cell r="J319" t="str">
            <v>11.10.2019</v>
          </cell>
          <cell r="K319" t="str">
            <v>-</v>
          </cell>
          <cell r="L319" t="str">
            <v>OK</v>
          </cell>
        </row>
        <row r="320">
          <cell r="A320" t="str">
            <v>SHW-44061I19</v>
          </cell>
          <cell r="B320">
            <v>584680318</v>
          </cell>
          <cell r="C320" t="str">
            <v>Original</v>
          </cell>
          <cell r="D320" t="str">
            <v>Panalpina</v>
          </cell>
          <cell r="E320" t="str">
            <v>TKT</v>
          </cell>
          <cell r="F320">
            <v>43747</v>
          </cell>
          <cell r="G320">
            <v>43755</v>
          </cell>
          <cell r="H320">
            <v>43757</v>
          </cell>
          <cell r="I320" t="str">
            <v>14.10.2019</v>
          </cell>
          <cell r="J320" t="str">
            <v>11.10.2019</v>
          </cell>
          <cell r="K320" t="str">
            <v>-</v>
          </cell>
          <cell r="L320" t="str">
            <v>OK</v>
          </cell>
        </row>
        <row r="321">
          <cell r="A321" t="str">
            <v>AHW-44552I19</v>
          </cell>
          <cell r="B321">
            <v>78077588</v>
          </cell>
          <cell r="C321" t="str">
            <v>Original</v>
          </cell>
          <cell r="D321" t="str">
            <v>CEVA</v>
          </cell>
          <cell r="E321" t="str">
            <v>Rodoimport</v>
          </cell>
          <cell r="F321">
            <v>43749</v>
          </cell>
          <cell r="G321">
            <v>43757</v>
          </cell>
          <cell r="H321">
            <v>43759</v>
          </cell>
          <cell r="I321" t="str">
            <v>17.10.2019</v>
          </cell>
          <cell r="J321" t="str">
            <v>15.10.2019</v>
          </cell>
          <cell r="K321" t="str">
            <v>-</v>
          </cell>
          <cell r="L321" t="str">
            <v>OK</v>
          </cell>
        </row>
        <row r="322">
          <cell r="A322" t="str">
            <v>AHW-44749I19</v>
          </cell>
          <cell r="B322">
            <v>78077728</v>
          </cell>
          <cell r="C322" t="str">
            <v>Original</v>
          </cell>
          <cell r="D322" t="str">
            <v>CEVA</v>
          </cell>
          <cell r="E322" t="str">
            <v>Rodoimport</v>
          </cell>
          <cell r="F322">
            <v>43756</v>
          </cell>
          <cell r="G322">
            <v>43764</v>
          </cell>
          <cell r="H322">
            <v>43766</v>
          </cell>
          <cell r="I322" t="str">
            <v>07.11.2019</v>
          </cell>
          <cell r="J322" t="str">
            <v>22.10.2019</v>
          </cell>
          <cell r="K322" t="str">
            <v>-</v>
          </cell>
          <cell r="L322" t="str">
            <v>OK</v>
          </cell>
        </row>
        <row r="323">
          <cell r="A323" t="str">
            <v>AHW-44732I19</v>
          </cell>
          <cell r="B323">
            <v>78077670</v>
          </cell>
          <cell r="C323" t="str">
            <v>Original</v>
          </cell>
          <cell r="D323" t="str">
            <v>CEVA</v>
          </cell>
          <cell r="E323" t="str">
            <v>Rodoimport</v>
          </cell>
          <cell r="F323">
            <v>43759</v>
          </cell>
          <cell r="G323">
            <v>43767</v>
          </cell>
          <cell r="H323">
            <v>43769</v>
          </cell>
          <cell r="I323" t="str">
            <v>07.11.2019</v>
          </cell>
          <cell r="J323" t="str">
            <v>22.10.2019</v>
          </cell>
          <cell r="K323" t="str">
            <v>-</v>
          </cell>
          <cell r="L323" t="str">
            <v>OK</v>
          </cell>
        </row>
        <row r="324">
          <cell r="A324" t="str">
            <v>AHW-44692I19</v>
          </cell>
          <cell r="B324">
            <v>78077652</v>
          </cell>
          <cell r="C324" t="str">
            <v>Original</v>
          </cell>
          <cell r="D324" t="str">
            <v>CEVA</v>
          </cell>
          <cell r="E324" t="str">
            <v>Rodoimport</v>
          </cell>
          <cell r="F324">
            <v>43760</v>
          </cell>
          <cell r="G324">
            <v>43768</v>
          </cell>
          <cell r="H324">
            <v>43770</v>
          </cell>
          <cell r="I324" t="str">
            <v>07.11.2019</v>
          </cell>
          <cell r="J324" t="str">
            <v>29.10.2019</v>
          </cell>
          <cell r="K324" t="str">
            <v>-</v>
          </cell>
          <cell r="L324" t="str">
            <v>OK</v>
          </cell>
        </row>
        <row r="325">
          <cell r="A325" t="str">
            <v>AHW-44747I19</v>
          </cell>
          <cell r="B325">
            <v>78077727</v>
          </cell>
          <cell r="C325" t="str">
            <v>Original</v>
          </cell>
          <cell r="D325" t="str">
            <v>CEVA</v>
          </cell>
          <cell r="E325" t="str">
            <v>Rodoimport</v>
          </cell>
          <cell r="F325">
            <v>43760</v>
          </cell>
          <cell r="G325">
            <v>43768</v>
          </cell>
          <cell r="H325">
            <v>43770</v>
          </cell>
          <cell r="I325" t="str">
            <v>07.11.2019</v>
          </cell>
          <cell r="J325" t="str">
            <v>29.10.2019</v>
          </cell>
          <cell r="K325" t="str">
            <v>-</v>
          </cell>
          <cell r="L325" t="str">
            <v>OK</v>
          </cell>
        </row>
        <row r="326">
          <cell r="A326" t="str">
            <v>AHW-44796I19</v>
          </cell>
          <cell r="B326">
            <v>78077787</v>
          </cell>
          <cell r="C326" t="str">
            <v>Original</v>
          </cell>
          <cell r="D326" t="str">
            <v>CEVA</v>
          </cell>
          <cell r="E326" t="str">
            <v>Rodoimport</v>
          </cell>
          <cell r="F326">
            <v>43762</v>
          </cell>
          <cell r="G326">
            <v>43770</v>
          </cell>
          <cell r="H326">
            <v>43772</v>
          </cell>
          <cell r="I326" t="str">
            <v>07.11.2019</v>
          </cell>
          <cell r="J326" t="str">
            <v>29.10.2019</v>
          </cell>
          <cell r="K326" t="str">
            <v>-</v>
          </cell>
          <cell r="L326" t="str">
            <v>OK</v>
          </cell>
        </row>
        <row r="327">
          <cell r="A327" t="str">
            <v>AHW-44841I19</v>
          </cell>
          <cell r="B327">
            <v>78077899</v>
          </cell>
          <cell r="C327" t="str">
            <v>Original</v>
          </cell>
          <cell r="D327" t="str">
            <v>CEVA</v>
          </cell>
          <cell r="E327" t="str">
            <v>Rodoimport</v>
          </cell>
          <cell r="F327">
            <v>43763</v>
          </cell>
          <cell r="G327">
            <v>43771</v>
          </cell>
          <cell r="H327">
            <v>43773</v>
          </cell>
          <cell r="I327" t="str">
            <v>07.11.2019</v>
          </cell>
          <cell r="J327" t="str">
            <v>29.10.2019</v>
          </cell>
          <cell r="K327" t="str">
            <v>-</v>
          </cell>
          <cell r="L327" t="str">
            <v>OK</v>
          </cell>
        </row>
        <row r="328">
          <cell r="A328" t="str">
            <v>SHW-44404I19</v>
          </cell>
          <cell r="B328">
            <v>586193978</v>
          </cell>
          <cell r="C328" t="str">
            <v>Original</v>
          </cell>
          <cell r="D328" t="str">
            <v>Panalpina</v>
          </cell>
          <cell r="E328" t="str">
            <v>TKT</v>
          </cell>
          <cell r="F328">
            <v>43766</v>
          </cell>
          <cell r="G328">
            <v>43774</v>
          </cell>
          <cell r="H328">
            <v>43776</v>
          </cell>
          <cell r="I328" t="str">
            <v>12.11.2019</v>
          </cell>
          <cell r="J328" t="str">
            <v>01.11.2019</v>
          </cell>
          <cell r="K328" t="str">
            <v>-</v>
          </cell>
          <cell r="L328" t="str">
            <v>OK</v>
          </cell>
        </row>
        <row r="329">
          <cell r="A329" t="str">
            <v>AHW-44797I19</v>
          </cell>
          <cell r="B329">
            <v>78077824</v>
          </cell>
          <cell r="C329" t="str">
            <v>Original</v>
          </cell>
          <cell r="D329" t="str">
            <v>CEVA</v>
          </cell>
          <cell r="E329" t="str">
            <v>Rodoimport</v>
          </cell>
          <cell r="F329">
            <v>43767</v>
          </cell>
          <cell r="G329">
            <v>43775</v>
          </cell>
          <cell r="H329">
            <v>43777</v>
          </cell>
          <cell r="I329" t="str">
            <v>07.11.2019</v>
          </cell>
          <cell r="J329" t="str">
            <v>07.11.2019</v>
          </cell>
          <cell r="K329" t="str">
            <v>-</v>
          </cell>
          <cell r="L329" t="str">
            <v>OK</v>
          </cell>
        </row>
        <row r="330">
          <cell r="A330" t="str">
            <v>VMI-44047I19</v>
          </cell>
          <cell r="B330" t="str">
            <v>-</v>
          </cell>
          <cell r="C330" t="str">
            <v>Original</v>
          </cell>
          <cell r="D330" t="str">
            <v>-</v>
          </cell>
          <cell r="E330" t="str">
            <v>Pacer</v>
          </cell>
          <cell r="F330">
            <v>43767</v>
          </cell>
          <cell r="G330">
            <v>43775</v>
          </cell>
          <cell r="H330">
            <v>43777</v>
          </cell>
          <cell r="I330" t="str">
            <v>08.11.2019</v>
          </cell>
          <cell r="J330" t="str">
            <v>-</v>
          </cell>
          <cell r="K330" t="str">
            <v>-</v>
          </cell>
          <cell r="L330" t="str">
            <v>OK</v>
          </cell>
        </row>
        <row r="331">
          <cell r="A331" t="str">
            <v>VMI-44045I19</v>
          </cell>
          <cell r="B331" t="str">
            <v>-</v>
          </cell>
          <cell r="C331" t="str">
            <v>Original</v>
          </cell>
          <cell r="D331" t="str">
            <v>-</v>
          </cell>
          <cell r="E331" t="str">
            <v>Pacer</v>
          </cell>
          <cell r="F331">
            <v>43767</v>
          </cell>
          <cell r="G331">
            <v>43775</v>
          </cell>
          <cell r="H331">
            <v>43777</v>
          </cell>
          <cell r="I331" t="str">
            <v>13.11.2019</v>
          </cell>
          <cell r="J331" t="str">
            <v>-</v>
          </cell>
          <cell r="K331" t="str">
            <v>-</v>
          </cell>
          <cell r="L331" t="str">
            <v>OK</v>
          </cell>
        </row>
        <row r="332">
          <cell r="A332" t="str">
            <v>VMI-44044I19</v>
          </cell>
          <cell r="B332" t="str">
            <v>-</v>
          </cell>
          <cell r="C332" t="str">
            <v>Original</v>
          </cell>
          <cell r="D332" t="str">
            <v>-</v>
          </cell>
          <cell r="E332" t="str">
            <v>Pacer</v>
          </cell>
          <cell r="F332">
            <v>43767</v>
          </cell>
          <cell r="G332">
            <v>43775</v>
          </cell>
          <cell r="H332">
            <v>43777</v>
          </cell>
          <cell r="I332" t="str">
            <v>08.11.2019</v>
          </cell>
          <cell r="J332" t="str">
            <v>-</v>
          </cell>
          <cell r="K332" t="str">
            <v>-</v>
          </cell>
          <cell r="L332" t="str">
            <v>OK</v>
          </cell>
        </row>
        <row r="333">
          <cell r="A333" t="str">
            <v>VMI-44039I19</v>
          </cell>
          <cell r="B333" t="str">
            <v>-</v>
          </cell>
          <cell r="C333" t="str">
            <v>Original</v>
          </cell>
          <cell r="D333" t="str">
            <v>-</v>
          </cell>
          <cell r="E333" t="str">
            <v>Pacer</v>
          </cell>
          <cell r="F333">
            <v>43767</v>
          </cell>
          <cell r="G333">
            <v>43775</v>
          </cell>
          <cell r="H333">
            <v>43777</v>
          </cell>
          <cell r="I333" t="str">
            <v>08.11.2019</v>
          </cell>
          <cell r="J333" t="str">
            <v>-</v>
          </cell>
          <cell r="K333" t="str">
            <v>-</v>
          </cell>
          <cell r="L333" t="str">
            <v>OK</v>
          </cell>
        </row>
        <row r="334">
          <cell r="A334" t="str">
            <v>VMI-43205I19</v>
          </cell>
          <cell r="B334" t="str">
            <v>-</v>
          </cell>
          <cell r="C334" t="str">
            <v>Original</v>
          </cell>
          <cell r="D334" t="str">
            <v>-</v>
          </cell>
          <cell r="E334" t="str">
            <v>Pacer</v>
          </cell>
          <cell r="F334">
            <v>43767</v>
          </cell>
          <cell r="G334">
            <v>43775</v>
          </cell>
          <cell r="H334">
            <v>43777</v>
          </cell>
          <cell r="I334" t="str">
            <v>08.11.2019</v>
          </cell>
          <cell r="J334" t="str">
            <v>-</v>
          </cell>
          <cell r="K334" t="str">
            <v>-</v>
          </cell>
          <cell r="L334" t="str">
            <v>OK</v>
          </cell>
        </row>
        <row r="335">
          <cell r="A335" t="str">
            <v>VMI-43208I19</v>
          </cell>
          <cell r="B335" t="str">
            <v>-</v>
          </cell>
          <cell r="C335" t="str">
            <v>Original</v>
          </cell>
          <cell r="D335" t="str">
            <v>-</v>
          </cell>
          <cell r="E335" t="str">
            <v>Pacer</v>
          </cell>
          <cell r="F335">
            <v>43767</v>
          </cell>
          <cell r="G335">
            <v>43775</v>
          </cell>
          <cell r="H335">
            <v>43777</v>
          </cell>
          <cell r="I335" t="str">
            <v>08.11.2019</v>
          </cell>
          <cell r="J335" t="str">
            <v>-</v>
          </cell>
          <cell r="K335" t="str">
            <v>-</v>
          </cell>
          <cell r="L335" t="str">
            <v>OK</v>
          </cell>
        </row>
        <row r="336">
          <cell r="A336" t="str">
            <v>VMI-43339I19</v>
          </cell>
          <cell r="B336" t="str">
            <v>-</v>
          </cell>
          <cell r="C336" t="str">
            <v>Original</v>
          </cell>
          <cell r="D336" t="str">
            <v>-</v>
          </cell>
          <cell r="E336" t="str">
            <v>Pacer</v>
          </cell>
          <cell r="F336">
            <v>43767</v>
          </cell>
          <cell r="G336">
            <v>43775</v>
          </cell>
          <cell r="H336">
            <v>43777</v>
          </cell>
          <cell r="I336" t="str">
            <v>08.11.2019</v>
          </cell>
          <cell r="J336" t="str">
            <v>-</v>
          </cell>
          <cell r="K336" t="str">
            <v>-</v>
          </cell>
          <cell r="L336" t="str">
            <v>OK</v>
          </cell>
        </row>
        <row r="337">
          <cell r="A337" t="str">
            <v>VMI-43341I19</v>
          </cell>
          <cell r="B337" t="str">
            <v>-</v>
          </cell>
          <cell r="C337" t="str">
            <v>Original</v>
          </cell>
          <cell r="D337" t="str">
            <v>-</v>
          </cell>
          <cell r="E337" t="str">
            <v>Pacer</v>
          </cell>
          <cell r="F337">
            <v>43767</v>
          </cell>
          <cell r="G337">
            <v>43775</v>
          </cell>
          <cell r="H337">
            <v>43777</v>
          </cell>
          <cell r="I337" t="str">
            <v>08.11.2019</v>
          </cell>
          <cell r="J337" t="str">
            <v>-</v>
          </cell>
          <cell r="K337" t="str">
            <v>-</v>
          </cell>
          <cell r="L337" t="str">
            <v>OK</v>
          </cell>
        </row>
        <row r="338">
          <cell r="A338" t="str">
            <v>VMI-43348I19</v>
          </cell>
          <cell r="B338" t="str">
            <v>-</v>
          </cell>
          <cell r="C338" t="str">
            <v>Original</v>
          </cell>
          <cell r="D338" t="str">
            <v>-</v>
          </cell>
          <cell r="E338" t="str">
            <v>Pacer</v>
          </cell>
          <cell r="F338">
            <v>43767</v>
          </cell>
          <cell r="G338">
            <v>43775</v>
          </cell>
          <cell r="H338">
            <v>43777</v>
          </cell>
          <cell r="I338" t="str">
            <v>08.11.2019</v>
          </cell>
          <cell r="J338" t="str">
            <v>-</v>
          </cell>
          <cell r="K338" t="str">
            <v>-</v>
          </cell>
          <cell r="L338" t="str">
            <v>OK</v>
          </cell>
        </row>
        <row r="339">
          <cell r="A339" t="str">
            <v>VMI-44046I19</v>
          </cell>
          <cell r="B339" t="str">
            <v>-</v>
          </cell>
          <cell r="C339" t="str">
            <v>Original</v>
          </cell>
          <cell r="D339" t="str">
            <v>-</v>
          </cell>
          <cell r="E339" t="str">
            <v>Pacer</v>
          </cell>
          <cell r="F339">
            <v>43767</v>
          </cell>
          <cell r="G339">
            <v>43775</v>
          </cell>
          <cell r="H339">
            <v>43777</v>
          </cell>
          <cell r="I339" t="str">
            <v>08.11.2019</v>
          </cell>
          <cell r="J339" t="str">
            <v>-</v>
          </cell>
          <cell r="K339" t="str">
            <v>-</v>
          </cell>
          <cell r="L339" t="str">
            <v>OK</v>
          </cell>
        </row>
        <row r="340">
          <cell r="A340" t="str">
            <v>VMI-44038I19</v>
          </cell>
          <cell r="B340" t="str">
            <v>-</v>
          </cell>
          <cell r="C340" t="str">
            <v>Original</v>
          </cell>
          <cell r="D340" t="str">
            <v>-</v>
          </cell>
          <cell r="E340" t="str">
            <v>Pacer</v>
          </cell>
          <cell r="F340">
            <v>43767</v>
          </cell>
          <cell r="G340">
            <v>43775</v>
          </cell>
          <cell r="H340">
            <v>43777</v>
          </cell>
          <cell r="I340" t="str">
            <v>08.11.2019</v>
          </cell>
          <cell r="J340" t="str">
            <v>-</v>
          </cell>
          <cell r="K340" t="str">
            <v>-</v>
          </cell>
          <cell r="L340" t="str">
            <v>OK</v>
          </cell>
        </row>
        <row r="341">
          <cell r="A341" t="str">
            <v>AHW-44790I19</v>
          </cell>
          <cell r="B341">
            <v>78077786</v>
          </cell>
          <cell r="C341" t="str">
            <v>Original</v>
          </cell>
          <cell r="D341" t="str">
            <v>CEVA</v>
          </cell>
          <cell r="E341" t="str">
            <v>Rodoimport</v>
          </cell>
          <cell r="F341">
            <v>43767</v>
          </cell>
          <cell r="G341">
            <v>43775</v>
          </cell>
          <cell r="H341">
            <v>43777</v>
          </cell>
          <cell r="I341" t="str">
            <v>07.11.2019</v>
          </cell>
          <cell r="J341" t="str">
            <v>07.11.2019</v>
          </cell>
          <cell r="K341" t="str">
            <v>-</v>
          </cell>
          <cell r="L341" t="str">
            <v>OK</v>
          </cell>
        </row>
        <row r="342">
          <cell r="A342" t="str">
            <v>AHW-44845I19</v>
          </cell>
          <cell r="B342">
            <v>78077912</v>
          </cell>
          <cell r="C342" t="str">
            <v>Original</v>
          </cell>
          <cell r="D342" t="str">
            <v>CEVA</v>
          </cell>
          <cell r="E342" t="str">
            <v>Rodoimport</v>
          </cell>
          <cell r="F342">
            <v>43769</v>
          </cell>
          <cell r="G342">
            <v>43777</v>
          </cell>
          <cell r="H342">
            <v>43779</v>
          </cell>
          <cell r="I342" t="str">
            <v>07.11.2019</v>
          </cell>
          <cell r="J342" t="str">
            <v>07.11.2019</v>
          </cell>
          <cell r="K342" t="str">
            <v>-</v>
          </cell>
          <cell r="L342" t="str">
            <v>OK</v>
          </cell>
        </row>
        <row r="343">
          <cell r="A343" t="str">
            <v>AHW-45004I19</v>
          </cell>
          <cell r="B343">
            <v>78087097</v>
          </cell>
          <cell r="C343" t="str">
            <v>Original</v>
          </cell>
          <cell r="D343" t="str">
            <v>CEVA</v>
          </cell>
          <cell r="E343" t="str">
            <v>Rodoimport</v>
          </cell>
          <cell r="F343">
            <v>43774</v>
          </cell>
          <cell r="G343">
            <v>43782</v>
          </cell>
          <cell r="H343">
            <v>43784</v>
          </cell>
          <cell r="I343" t="str">
            <v>11.11.2019</v>
          </cell>
          <cell r="J343" t="str">
            <v>13.11.2019</v>
          </cell>
          <cell r="K343" t="str">
            <v>-</v>
          </cell>
          <cell r="L343" t="str">
            <v>OK</v>
          </cell>
        </row>
        <row r="344">
          <cell r="A344" t="str">
            <v>AHW-45059I19</v>
          </cell>
          <cell r="B344" t="str">
            <v>CTS121353</v>
          </cell>
          <cell r="C344" t="str">
            <v>Original</v>
          </cell>
          <cell r="D344" t="str">
            <v>CEVA</v>
          </cell>
          <cell r="E344" t="str">
            <v>Rodoimport</v>
          </cell>
          <cell r="F344">
            <v>43774</v>
          </cell>
          <cell r="G344">
            <v>43782</v>
          </cell>
          <cell r="H344">
            <v>43784</v>
          </cell>
          <cell r="I344" t="str">
            <v>11.11.2019</v>
          </cell>
          <cell r="J344" t="str">
            <v>13.11.2019</v>
          </cell>
          <cell r="K344" t="str">
            <v>-</v>
          </cell>
          <cell r="L344" t="str">
            <v>OK</v>
          </cell>
        </row>
        <row r="345">
          <cell r="A345" t="str">
            <v>AHW-45060I19</v>
          </cell>
          <cell r="B345" t="str">
            <v>CTS121354</v>
          </cell>
          <cell r="C345" t="str">
            <v>Original</v>
          </cell>
          <cell r="D345" t="str">
            <v>CEVA</v>
          </cell>
          <cell r="E345" t="str">
            <v>Rodoimport</v>
          </cell>
          <cell r="F345">
            <v>43774</v>
          </cell>
          <cell r="G345">
            <v>43782</v>
          </cell>
          <cell r="H345">
            <v>43784</v>
          </cell>
          <cell r="I345" t="str">
            <v>11.11.2019</v>
          </cell>
          <cell r="J345" t="str">
            <v>13.11.2019</v>
          </cell>
          <cell r="K345" t="str">
            <v>-</v>
          </cell>
          <cell r="L345" t="str">
            <v>OK</v>
          </cell>
        </row>
        <row r="346">
          <cell r="A346" t="str">
            <v>AHW-45062I19</v>
          </cell>
          <cell r="B346" t="str">
            <v>CTS121355</v>
          </cell>
          <cell r="C346" t="str">
            <v>Original</v>
          </cell>
          <cell r="D346" t="str">
            <v>CEVA</v>
          </cell>
          <cell r="E346" t="str">
            <v>Rodoimport</v>
          </cell>
          <cell r="F346">
            <v>43774</v>
          </cell>
          <cell r="G346">
            <v>43782</v>
          </cell>
          <cell r="H346">
            <v>43784</v>
          </cell>
          <cell r="I346" t="str">
            <v>11.11.2019</v>
          </cell>
          <cell r="J346" t="str">
            <v>13.11.2019</v>
          </cell>
          <cell r="K346" t="str">
            <v>-</v>
          </cell>
          <cell r="L346" t="str">
            <v>OK</v>
          </cell>
        </row>
        <row r="347">
          <cell r="A347" t="str">
            <v>SHW-44603I19</v>
          </cell>
          <cell r="B347">
            <v>585710220</v>
          </cell>
          <cell r="C347" t="str">
            <v>Original</v>
          </cell>
          <cell r="D347" t="str">
            <v>Panalpina</v>
          </cell>
          <cell r="E347" t="str">
            <v>TKT</v>
          </cell>
          <cell r="F347">
            <v>43775</v>
          </cell>
          <cell r="G347">
            <v>43783</v>
          </cell>
          <cell r="H347">
            <v>43785</v>
          </cell>
          <cell r="I347" t="str">
            <v>12.11.2019</v>
          </cell>
          <cell r="J347" t="str">
            <v>08.11.2019</v>
          </cell>
          <cell r="K347" t="str">
            <v>-</v>
          </cell>
          <cell r="L347" t="str">
            <v>OK</v>
          </cell>
        </row>
        <row r="348">
          <cell r="A348" t="str">
            <v>VMI-43316I19</v>
          </cell>
          <cell r="B348" t="str">
            <v>-</v>
          </cell>
          <cell r="C348" t="str">
            <v>Original</v>
          </cell>
          <cell r="D348" t="str">
            <v>-</v>
          </cell>
          <cell r="E348" t="str">
            <v>Pacer</v>
          </cell>
          <cell r="F348">
            <v>43776</v>
          </cell>
          <cell r="G348">
            <v>43784</v>
          </cell>
          <cell r="H348">
            <v>43786</v>
          </cell>
          <cell r="I348" t="str">
            <v>08.11.2019</v>
          </cell>
          <cell r="J348" t="str">
            <v>-</v>
          </cell>
          <cell r="K348" t="str">
            <v>-</v>
          </cell>
          <cell r="L348" t="str">
            <v>OK</v>
          </cell>
        </row>
        <row r="349">
          <cell r="A349" t="str">
            <v>AHW-45089I19</v>
          </cell>
          <cell r="B349">
            <v>78087152</v>
          </cell>
          <cell r="C349" t="str">
            <v>Original</v>
          </cell>
          <cell r="D349" t="str">
            <v>CEVA</v>
          </cell>
          <cell r="E349" t="str">
            <v>Rodoimport</v>
          </cell>
          <cell r="F349">
            <v>43777</v>
          </cell>
          <cell r="G349">
            <v>43785</v>
          </cell>
          <cell r="H349">
            <v>43787</v>
          </cell>
          <cell r="I349" t="str">
            <v>13.11.2019</v>
          </cell>
          <cell r="J349" t="str">
            <v>13.11.2019</v>
          </cell>
          <cell r="K349" t="str">
            <v>-</v>
          </cell>
          <cell r="L349" t="str">
            <v>OK</v>
          </cell>
        </row>
        <row r="350">
          <cell r="A350" t="str">
            <v>AHW-45103I19</v>
          </cell>
          <cell r="B350">
            <v>78087218</v>
          </cell>
          <cell r="C350" t="str">
            <v>Original</v>
          </cell>
          <cell r="D350" t="str">
            <v>CEVA</v>
          </cell>
          <cell r="E350" t="str">
            <v>Rodoimport</v>
          </cell>
          <cell r="F350">
            <v>43777</v>
          </cell>
          <cell r="G350">
            <v>43785</v>
          </cell>
          <cell r="H350">
            <v>43787</v>
          </cell>
          <cell r="I350" t="str">
            <v>18.11.2018</v>
          </cell>
          <cell r="J350" t="str">
            <v>13.11.2019</v>
          </cell>
          <cell r="K350" t="str">
            <v>-</v>
          </cell>
          <cell r="L350" t="str">
            <v>OK</v>
          </cell>
        </row>
        <row r="351">
          <cell r="A351" t="str">
            <v>AHW-44855I19</v>
          </cell>
          <cell r="B351">
            <v>78077984</v>
          </cell>
          <cell r="C351" t="str">
            <v>Original</v>
          </cell>
          <cell r="D351" t="str">
            <v>CEVA</v>
          </cell>
          <cell r="E351" t="str">
            <v>Rodoimport</v>
          </cell>
          <cell r="F351">
            <v>43777</v>
          </cell>
          <cell r="G351">
            <v>43785</v>
          </cell>
          <cell r="H351">
            <v>43787</v>
          </cell>
          <cell r="I351" t="str">
            <v>13.11.2019</v>
          </cell>
          <cell r="J351" t="str">
            <v>13.11.2019</v>
          </cell>
          <cell r="K351" t="str">
            <v>-</v>
          </cell>
          <cell r="L351" t="str">
            <v>OK</v>
          </cell>
        </row>
        <row r="352">
          <cell r="A352" t="str">
            <v>AHW-45157I19</v>
          </cell>
          <cell r="B352">
            <v>78087210</v>
          </cell>
          <cell r="C352" t="str">
            <v>Original</v>
          </cell>
          <cell r="D352" t="str">
            <v>CEVA</v>
          </cell>
          <cell r="E352" t="str">
            <v>Rodoimport</v>
          </cell>
          <cell r="F352">
            <v>43780</v>
          </cell>
          <cell r="G352">
            <v>43788</v>
          </cell>
          <cell r="H352">
            <v>43790</v>
          </cell>
          <cell r="I352" t="str">
            <v>21.11.2019</v>
          </cell>
          <cell r="J352" t="str">
            <v>20.11.2019</v>
          </cell>
          <cell r="K352" t="str">
            <v>-</v>
          </cell>
          <cell r="L352" t="str">
            <v>OK</v>
          </cell>
        </row>
        <row r="353">
          <cell r="A353" t="str">
            <v>AHW-45039I19</v>
          </cell>
          <cell r="B353">
            <v>78087154</v>
          </cell>
          <cell r="C353" t="str">
            <v>Original</v>
          </cell>
          <cell r="D353" t="str">
            <v>CEVA</v>
          </cell>
          <cell r="E353" t="str">
            <v>Rodoimport</v>
          </cell>
          <cell r="F353">
            <v>43780</v>
          </cell>
          <cell r="G353">
            <v>43788</v>
          </cell>
          <cell r="H353">
            <v>43790</v>
          </cell>
          <cell r="I353" t="str">
            <v>18.11.2019</v>
          </cell>
          <cell r="J353" t="str">
            <v>20.11.2019</v>
          </cell>
          <cell r="K353" t="str">
            <v>-</v>
          </cell>
          <cell r="L353" t="str">
            <v>OK</v>
          </cell>
        </row>
        <row r="354">
          <cell r="A354" t="str">
            <v>AHW-45040I19</v>
          </cell>
          <cell r="B354">
            <v>78087153</v>
          </cell>
          <cell r="C354" t="str">
            <v>Original</v>
          </cell>
          <cell r="D354" t="str">
            <v>CEVA</v>
          </cell>
          <cell r="E354" t="str">
            <v>Rodoimport</v>
          </cell>
          <cell r="F354">
            <v>43780</v>
          </cell>
          <cell r="G354">
            <v>43788</v>
          </cell>
          <cell r="H354">
            <v>43790</v>
          </cell>
          <cell r="I354" t="str">
            <v>18.11.2019</v>
          </cell>
          <cell r="J354" t="str">
            <v>20.11.2019</v>
          </cell>
          <cell r="K354" t="str">
            <v>-</v>
          </cell>
          <cell r="L354" t="str">
            <v>OK</v>
          </cell>
        </row>
        <row r="355">
          <cell r="A355" t="str">
            <v>AHW-45095I19</v>
          </cell>
          <cell r="B355">
            <v>78087234</v>
          </cell>
          <cell r="C355" t="str">
            <v>Original</v>
          </cell>
          <cell r="D355" t="str">
            <v>CEVA</v>
          </cell>
          <cell r="E355" t="str">
            <v>Rodoimport</v>
          </cell>
          <cell r="F355">
            <v>43780</v>
          </cell>
          <cell r="G355">
            <v>43788</v>
          </cell>
          <cell r="H355">
            <v>43790</v>
          </cell>
          <cell r="I355" t="str">
            <v>18.11.2019</v>
          </cell>
          <cell r="J355" t="str">
            <v>20.11.2019</v>
          </cell>
          <cell r="K355" t="str">
            <v>-</v>
          </cell>
          <cell r="L355" t="str">
            <v>OK</v>
          </cell>
        </row>
        <row r="356">
          <cell r="A356" t="str">
            <v>SHW-44698I19</v>
          </cell>
          <cell r="B356">
            <v>585710212</v>
          </cell>
          <cell r="C356" t="str">
            <v>Original</v>
          </cell>
          <cell r="D356" t="str">
            <v>Panalpina</v>
          </cell>
          <cell r="E356" t="str">
            <v>TKT</v>
          </cell>
          <cell r="F356">
            <v>43782</v>
          </cell>
          <cell r="G356">
            <v>43790</v>
          </cell>
          <cell r="H356">
            <v>43792</v>
          </cell>
          <cell r="I356" t="str">
            <v>22.11.2019</v>
          </cell>
          <cell r="J356" t="str">
            <v>19.11.2019</v>
          </cell>
          <cell r="K356" t="str">
            <v>-</v>
          </cell>
          <cell r="L356" t="str">
            <v>OK</v>
          </cell>
        </row>
        <row r="357">
          <cell r="A357" t="str">
            <v>AHW-45150I19</v>
          </cell>
          <cell r="B357">
            <v>78087237</v>
          </cell>
          <cell r="C357" t="str">
            <v>Original</v>
          </cell>
          <cell r="D357" t="str">
            <v>CEVA</v>
          </cell>
          <cell r="E357" t="str">
            <v>Rodoimport</v>
          </cell>
          <cell r="F357">
            <v>43782</v>
          </cell>
          <cell r="G357">
            <v>43790</v>
          </cell>
          <cell r="H357">
            <v>43792</v>
          </cell>
          <cell r="I357" t="str">
            <v>21.11.2019</v>
          </cell>
          <cell r="J357" t="str">
            <v>20.11.2019</v>
          </cell>
          <cell r="K357" t="str">
            <v>-</v>
          </cell>
          <cell r="L357" t="str">
            <v>OK</v>
          </cell>
        </row>
        <row r="358">
          <cell r="A358" t="str">
            <v>AHW-45093I19</v>
          </cell>
          <cell r="B358">
            <v>78087193</v>
          </cell>
          <cell r="C358" t="str">
            <v>Original</v>
          </cell>
          <cell r="D358" t="str">
            <v>CEVA</v>
          </cell>
          <cell r="E358" t="str">
            <v>Rodoimport</v>
          </cell>
          <cell r="F358">
            <v>43782</v>
          </cell>
          <cell r="G358">
            <v>43790</v>
          </cell>
          <cell r="H358">
            <v>43792</v>
          </cell>
          <cell r="I358" t="str">
            <v>21.11.2019</v>
          </cell>
          <cell r="J358" t="str">
            <v>20.11.2019</v>
          </cell>
          <cell r="K358" t="str">
            <v>-</v>
          </cell>
          <cell r="L358" t="str">
            <v>OK</v>
          </cell>
        </row>
        <row r="359">
          <cell r="A359" t="str">
            <v>AHW-45096I19</v>
          </cell>
          <cell r="B359">
            <v>78087192</v>
          </cell>
          <cell r="C359" t="str">
            <v>Original</v>
          </cell>
          <cell r="D359" t="str">
            <v>CEVA</v>
          </cell>
          <cell r="E359" t="str">
            <v>Rodoimport</v>
          </cell>
          <cell r="F359">
            <v>43782</v>
          </cell>
          <cell r="G359">
            <v>43790</v>
          </cell>
          <cell r="H359">
            <v>43792</v>
          </cell>
          <cell r="I359" t="str">
            <v>21.11.2019</v>
          </cell>
          <cell r="J359" t="str">
            <v>20.11.2019</v>
          </cell>
          <cell r="K359" t="str">
            <v>-</v>
          </cell>
          <cell r="L359" t="str">
            <v>OK</v>
          </cell>
        </row>
        <row r="360">
          <cell r="A360" t="str">
            <v>AHW-45155I19</v>
          </cell>
          <cell r="B360">
            <v>78087238</v>
          </cell>
          <cell r="C360" t="str">
            <v>Original</v>
          </cell>
          <cell r="D360" t="str">
            <v>CEVA</v>
          </cell>
          <cell r="E360" t="str">
            <v>Rodoimport</v>
          </cell>
          <cell r="F360">
            <v>43783</v>
          </cell>
          <cell r="G360">
            <v>43791</v>
          </cell>
          <cell r="H360">
            <v>43793</v>
          </cell>
          <cell r="I360" t="str">
            <v>21.11.2019</v>
          </cell>
          <cell r="J360" t="str">
            <v>20.11.2019</v>
          </cell>
          <cell r="K360" t="str">
            <v>-</v>
          </cell>
          <cell r="L360" t="str">
            <v>OK</v>
          </cell>
        </row>
        <row r="361">
          <cell r="A361" t="str">
            <v>AHW-45175I19</v>
          </cell>
          <cell r="B361">
            <v>78087249</v>
          </cell>
          <cell r="C361" t="str">
            <v>Original</v>
          </cell>
          <cell r="D361" t="str">
            <v>CEVA</v>
          </cell>
          <cell r="E361" t="str">
            <v>Rodoimport</v>
          </cell>
          <cell r="F361">
            <v>43783</v>
          </cell>
          <cell r="G361">
            <v>43791</v>
          </cell>
          <cell r="H361">
            <v>43793</v>
          </cell>
          <cell r="I361" t="str">
            <v>21.11.2019</v>
          </cell>
          <cell r="J361" t="str">
            <v>20.11.2019</v>
          </cell>
          <cell r="K361" t="str">
            <v>-</v>
          </cell>
          <cell r="L361" t="str">
            <v>OK</v>
          </cell>
        </row>
        <row r="362">
          <cell r="A362" t="str">
            <v>AHW-45210I19</v>
          </cell>
          <cell r="B362">
            <v>78087283</v>
          </cell>
          <cell r="C362" t="str">
            <v>Original</v>
          </cell>
          <cell r="D362" t="str">
            <v>CEVA</v>
          </cell>
          <cell r="E362" t="str">
            <v>Rodoimport</v>
          </cell>
          <cell r="F362">
            <v>43783</v>
          </cell>
          <cell r="G362">
            <v>43791</v>
          </cell>
          <cell r="H362">
            <v>43793</v>
          </cell>
          <cell r="I362" t="str">
            <v>21.11.2019</v>
          </cell>
          <cell r="J362" t="str">
            <v>20.11.2019</v>
          </cell>
          <cell r="K362" t="str">
            <v>-</v>
          </cell>
          <cell r="L362" t="str">
            <v>OK</v>
          </cell>
        </row>
        <row r="363">
          <cell r="A363" t="str">
            <v>AHW-45104I19</v>
          </cell>
          <cell r="B363">
            <v>78087217</v>
          </cell>
          <cell r="C363" t="str">
            <v>Original</v>
          </cell>
          <cell r="D363" t="str">
            <v>CEVA</v>
          </cell>
          <cell r="E363" t="str">
            <v>Rodoimport</v>
          </cell>
          <cell r="F363">
            <v>43783</v>
          </cell>
          <cell r="G363">
            <v>43791</v>
          </cell>
          <cell r="H363">
            <v>43793</v>
          </cell>
          <cell r="I363" t="str">
            <v>21.11.2019</v>
          </cell>
          <cell r="J363" t="str">
            <v>20.11.2019</v>
          </cell>
          <cell r="K363" t="str">
            <v>-</v>
          </cell>
          <cell r="L363" t="str">
            <v>OK</v>
          </cell>
        </row>
        <row r="364">
          <cell r="A364" t="str">
            <v>AHW-45037I19</v>
          </cell>
          <cell r="B364">
            <v>78087233</v>
          </cell>
          <cell r="C364" t="str">
            <v>Original</v>
          </cell>
          <cell r="D364" t="str">
            <v>CEVA</v>
          </cell>
          <cell r="E364" t="str">
            <v>Rodoimport</v>
          </cell>
          <cell r="F364">
            <v>43783</v>
          </cell>
          <cell r="G364">
            <v>43791</v>
          </cell>
          <cell r="H364">
            <v>43793</v>
          </cell>
          <cell r="I364" t="str">
            <v>21.11.2019</v>
          </cell>
          <cell r="J364" t="str">
            <v>20.11.2019</v>
          </cell>
          <cell r="K364" t="str">
            <v>-</v>
          </cell>
          <cell r="L364" t="str">
            <v>OK</v>
          </cell>
        </row>
        <row r="365">
          <cell r="A365" t="str">
            <v>AHW-45281I19</v>
          </cell>
          <cell r="B365">
            <v>78087344</v>
          </cell>
          <cell r="C365" t="str">
            <v>Original</v>
          </cell>
          <cell r="D365" t="str">
            <v>CEVA</v>
          </cell>
          <cell r="E365" t="str">
            <v>Rodoimport</v>
          </cell>
          <cell r="F365">
            <v>43787</v>
          </cell>
          <cell r="G365">
            <v>43795</v>
          </cell>
          <cell r="H365">
            <v>43797</v>
          </cell>
          <cell r="I365" t="str">
            <v>25.11.2019</v>
          </cell>
          <cell r="J365" t="str">
            <v>27.11.2019</v>
          </cell>
          <cell r="K365" t="str">
            <v>-</v>
          </cell>
          <cell r="L365" t="str">
            <v>OK</v>
          </cell>
        </row>
        <row r="366">
          <cell r="A366" t="str">
            <v>AHW-45208I19</v>
          </cell>
          <cell r="B366">
            <v>78087284</v>
          </cell>
          <cell r="C366" t="str">
            <v>Original</v>
          </cell>
          <cell r="D366" t="str">
            <v>CEVA</v>
          </cell>
          <cell r="E366" t="str">
            <v>Rodoimport</v>
          </cell>
          <cell r="F366">
            <v>43787</v>
          </cell>
          <cell r="G366">
            <v>43795</v>
          </cell>
          <cell r="H366">
            <v>43797</v>
          </cell>
          <cell r="I366" t="str">
            <v>25.11.2019</v>
          </cell>
          <cell r="J366" t="str">
            <v>27.11.2019</v>
          </cell>
          <cell r="K366" t="str">
            <v>-</v>
          </cell>
          <cell r="L366" t="str">
            <v>OK</v>
          </cell>
        </row>
        <row r="367">
          <cell r="A367" t="str">
            <v>AHW-45276I19</v>
          </cell>
          <cell r="B367">
            <v>78087301</v>
          </cell>
          <cell r="C367" t="str">
            <v>Original</v>
          </cell>
          <cell r="D367" t="str">
            <v>CEVA</v>
          </cell>
          <cell r="E367" t="str">
            <v>Rodoimport</v>
          </cell>
          <cell r="F367">
            <v>43787</v>
          </cell>
          <cell r="G367">
            <v>43795</v>
          </cell>
          <cell r="H367">
            <v>43797</v>
          </cell>
          <cell r="I367" t="str">
            <v>25.11.2019</v>
          </cell>
          <cell r="J367" t="str">
            <v>27.11.2019</v>
          </cell>
          <cell r="K367" t="str">
            <v>-</v>
          </cell>
          <cell r="L367" t="str">
            <v>OK</v>
          </cell>
        </row>
        <row r="368">
          <cell r="A368" t="str">
            <v>AHW-45277I19</v>
          </cell>
          <cell r="B368">
            <v>78087300</v>
          </cell>
          <cell r="C368" t="str">
            <v>Original</v>
          </cell>
          <cell r="D368" t="str">
            <v>CEVA</v>
          </cell>
          <cell r="E368" t="str">
            <v>Rodoimport</v>
          </cell>
          <cell r="F368">
            <v>43787</v>
          </cell>
          <cell r="G368">
            <v>43795</v>
          </cell>
          <cell r="H368">
            <v>43797</v>
          </cell>
          <cell r="I368" t="str">
            <v>25.11.2019</v>
          </cell>
          <cell r="J368" t="str">
            <v>27.11.2019</v>
          </cell>
          <cell r="K368" t="str">
            <v>-</v>
          </cell>
          <cell r="L368" t="str">
            <v>OK</v>
          </cell>
        </row>
        <row r="369">
          <cell r="A369" t="str">
            <v>AHW-45293I19</v>
          </cell>
          <cell r="B369">
            <v>78087383</v>
          </cell>
          <cell r="C369" t="str">
            <v>Original</v>
          </cell>
          <cell r="D369" t="str">
            <v>CEVA</v>
          </cell>
          <cell r="E369" t="str">
            <v>Rodoimport</v>
          </cell>
          <cell r="F369">
            <v>43787</v>
          </cell>
          <cell r="G369">
            <v>43795</v>
          </cell>
          <cell r="H369">
            <v>43797</v>
          </cell>
          <cell r="I369" t="str">
            <v>25.11.2019</v>
          </cell>
          <cell r="J369" t="str">
            <v>27.11.2019</v>
          </cell>
          <cell r="K369" t="str">
            <v>-</v>
          </cell>
          <cell r="L369" t="str">
            <v>OK</v>
          </cell>
        </row>
        <row r="370">
          <cell r="A370" t="str">
            <v>AHW-45292I19</v>
          </cell>
          <cell r="B370">
            <v>78087382</v>
          </cell>
          <cell r="C370" t="str">
            <v>Original</v>
          </cell>
          <cell r="D370" t="str">
            <v>CEVA</v>
          </cell>
          <cell r="E370" t="str">
            <v>Rodoimport</v>
          </cell>
          <cell r="F370">
            <v>43787</v>
          </cell>
          <cell r="G370">
            <v>43795</v>
          </cell>
          <cell r="H370">
            <v>43797</v>
          </cell>
          <cell r="I370" t="str">
            <v>25.11.2019</v>
          </cell>
          <cell r="J370" t="str">
            <v>27.11.2019</v>
          </cell>
          <cell r="K370" t="str">
            <v>-</v>
          </cell>
          <cell r="L370" t="str">
            <v>OK</v>
          </cell>
        </row>
        <row r="371">
          <cell r="A371" t="str">
            <v>AHW-45338I19</v>
          </cell>
          <cell r="B371">
            <v>78087402</v>
          </cell>
          <cell r="C371" t="str">
            <v>Original</v>
          </cell>
          <cell r="D371" t="str">
            <v>CEVA</v>
          </cell>
          <cell r="E371" t="str">
            <v>Rodoimport</v>
          </cell>
          <cell r="F371">
            <v>43787</v>
          </cell>
          <cell r="G371">
            <v>43795</v>
          </cell>
          <cell r="H371">
            <v>43797</v>
          </cell>
          <cell r="I371" t="str">
            <v>25.11.2019</v>
          </cell>
          <cell r="J371" t="str">
            <v>27.11.2019</v>
          </cell>
          <cell r="K371" t="str">
            <v>-</v>
          </cell>
          <cell r="L371" t="str">
            <v>OK</v>
          </cell>
        </row>
        <row r="372">
          <cell r="A372" t="str">
            <v>AHW-45331I19</v>
          </cell>
          <cell r="B372">
            <v>78087345</v>
          </cell>
          <cell r="C372" t="str">
            <v>Original</v>
          </cell>
          <cell r="D372" t="str">
            <v>CEVA</v>
          </cell>
          <cell r="E372" t="str">
            <v>Rodoimport</v>
          </cell>
          <cell r="F372">
            <v>43787</v>
          </cell>
          <cell r="G372">
            <v>43795</v>
          </cell>
          <cell r="H372">
            <v>43797</v>
          </cell>
          <cell r="I372" t="str">
            <v>25.11.2019</v>
          </cell>
          <cell r="J372" t="str">
            <v>27.11.2019</v>
          </cell>
          <cell r="K372" t="str">
            <v>-</v>
          </cell>
          <cell r="L372" t="str">
            <v>OK</v>
          </cell>
        </row>
        <row r="373">
          <cell r="A373" t="str">
            <v>AHW-45350I19</v>
          </cell>
          <cell r="B373">
            <v>78087429</v>
          </cell>
          <cell r="C373" t="str">
            <v>Original</v>
          </cell>
          <cell r="D373" t="str">
            <v>CEVA</v>
          </cell>
          <cell r="E373" t="str">
            <v>Rodoimport</v>
          </cell>
          <cell r="F373">
            <v>43787</v>
          </cell>
          <cell r="G373">
            <v>43795</v>
          </cell>
          <cell r="H373">
            <v>43797</v>
          </cell>
          <cell r="I373" t="str">
            <v>25.11.2019</v>
          </cell>
          <cell r="J373" t="str">
            <v>27.11.2019</v>
          </cell>
          <cell r="K373" t="str">
            <v>-</v>
          </cell>
          <cell r="L373" t="str">
            <v>OK</v>
          </cell>
        </row>
        <row r="374">
          <cell r="A374" t="str">
            <v>AHW-45336I19</v>
          </cell>
          <cell r="B374">
            <v>78087384</v>
          </cell>
          <cell r="C374" t="str">
            <v>Original</v>
          </cell>
          <cell r="D374" t="str">
            <v>CEVA</v>
          </cell>
          <cell r="E374" t="str">
            <v>Rodoimport</v>
          </cell>
          <cell r="F374">
            <v>43788</v>
          </cell>
          <cell r="G374">
            <v>43796</v>
          </cell>
          <cell r="H374">
            <v>43798</v>
          </cell>
          <cell r="I374" t="str">
            <v>25.11.2019</v>
          </cell>
          <cell r="J374" t="str">
            <v>27.11.2019</v>
          </cell>
          <cell r="K374" t="str">
            <v>-</v>
          </cell>
          <cell r="L374" t="str">
            <v>OK</v>
          </cell>
        </row>
        <row r="375">
          <cell r="A375" t="str">
            <v>AHW-45342I19</v>
          </cell>
          <cell r="B375">
            <v>78087415</v>
          </cell>
          <cell r="C375" t="str">
            <v>Original</v>
          </cell>
          <cell r="D375" t="str">
            <v>CEVA</v>
          </cell>
          <cell r="E375" t="str">
            <v>Rodoimport</v>
          </cell>
          <cell r="F375">
            <v>43789</v>
          </cell>
          <cell r="G375">
            <v>43797</v>
          </cell>
          <cell r="H375">
            <v>43799</v>
          </cell>
          <cell r="I375" t="str">
            <v>25.11.2019</v>
          </cell>
          <cell r="J375" t="str">
            <v>27.11.2019</v>
          </cell>
          <cell r="K375" t="str">
            <v>-</v>
          </cell>
          <cell r="L375" t="str">
            <v>OK</v>
          </cell>
        </row>
        <row r="376">
          <cell r="A376" t="str">
            <v>AHW-45344I19</v>
          </cell>
          <cell r="B376">
            <v>78087443</v>
          </cell>
          <cell r="C376" t="str">
            <v>Original</v>
          </cell>
          <cell r="D376" t="str">
            <v>CEVA</v>
          </cell>
          <cell r="E376" t="str">
            <v>Rodoimport</v>
          </cell>
          <cell r="F376">
            <v>43789</v>
          </cell>
          <cell r="G376">
            <v>43797</v>
          </cell>
          <cell r="H376">
            <v>43799</v>
          </cell>
          <cell r="I376" t="str">
            <v>25.11.2019</v>
          </cell>
          <cell r="J376" t="str">
            <v>27.11.2019</v>
          </cell>
          <cell r="K376" t="str">
            <v>-</v>
          </cell>
          <cell r="L376" t="str">
            <v>OK</v>
          </cell>
        </row>
        <row r="377">
          <cell r="A377" t="str">
            <v>AHW-45384I19</v>
          </cell>
          <cell r="B377" t="str">
            <v>CTS122775</v>
          </cell>
          <cell r="C377" t="str">
            <v>Original</v>
          </cell>
          <cell r="D377" t="str">
            <v>CTS</v>
          </cell>
          <cell r="E377" t="str">
            <v>Rodoimport</v>
          </cell>
          <cell r="F377">
            <v>43790</v>
          </cell>
          <cell r="G377">
            <v>43798</v>
          </cell>
          <cell r="H377">
            <v>43800</v>
          </cell>
          <cell r="I377" t="str">
            <v>25.11.2019</v>
          </cell>
          <cell r="J377" t="str">
            <v>27.11.2019</v>
          </cell>
          <cell r="K377" t="str">
            <v>-</v>
          </cell>
          <cell r="L377" t="str">
            <v>OK</v>
          </cell>
        </row>
        <row r="378">
          <cell r="A378" t="str">
            <v>AHW-45412I19</v>
          </cell>
          <cell r="B378">
            <v>78087432</v>
          </cell>
          <cell r="C378" t="str">
            <v>Original</v>
          </cell>
          <cell r="D378" t="str">
            <v>CEVA</v>
          </cell>
          <cell r="E378" t="str">
            <v>Rodoimport</v>
          </cell>
          <cell r="F378">
            <v>43790</v>
          </cell>
          <cell r="G378">
            <v>43798</v>
          </cell>
          <cell r="H378">
            <v>43800</v>
          </cell>
          <cell r="I378" t="str">
            <v>25.11.2019</v>
          </cell>
          <cell r="J378" t="str">
            <v>27.11.2019</v>
          </cell>
          <cell r="K378" t="str">
            <v>-</v>
          </cell>
          <cell r="L378" t="str">
            <v>OK</v>
          </cell>
        </row>
        <row r="379">
          <cell r="A379" t="str">
            <v>AHW-45387I19</v>
          </cell>
          <cell r="B379">
            <v>78089201</v>
          </cell>
          <cell r="C379" t="str">
            <v>Original</v>
          </cell>
          <cell r="D379" t="str">
            <v>CEVA</v>
          </cell>
          <cell r="E379" t="str">
            <v>Rodoimport</v>
          </cell>
          <cell r="F379">
            <v>43791</v>
          </cell>
          <cell r="G379">
            <v>43799</v>
          </cell>
          <cell r="H379">
            <v>43801</v>
          </cell>
          <cell r="I379" t="str">
            <v>05.12.2019</v>
          </cell>
          <cell r="J379" t="str">
            <v>27.11.2019</v>
          </cell>
          <cell r="K379" t="str">
            <v>-</v>
          </cell>
          <cell r="L379" t="str">
            <v>OK</v>
          </cell>
        </row>
        <row r="380">
          <cell r="A380" t="str">
            <v>SHW-44803I19</v>
          </cell>
          <cell r="B380">
            <v>585709898</v>
          </cell>
          <cell r="C380" t="str">
            <v>Original</v>
          </cell>
          <cell r="D380" t="str">
            <v>Panalpina</v>
          </cell>
          <cell r="E380" t="str">
            <v>TKT</v>
          </cell>
          <cell r="F380">
            <v>43794</v>
          </cell>
          <cell r="G380">
            <v>43802</v>
          </cell>
          <cell r="H380">
            <v>43804</v>
          </cell>
          <cell r="I380" t="str">
            <v>10.12.2019</v>
          </cell>
          <cell r="J380" t="str">
            <v>27.11.2019</v>
          </cell>
          <cell r="K380" t="str">
            <v>-</v>
          </cell>
          <cell r="L380" t="str">
            <v>OK</v>
          </cell>
        </row>
        <row r="381">
          <cell r="A381" t="str">
            <v>AHW-45341I19</v>
          </cell>
          <cell r="B381">
            <v>78087442</v>
          </cell>
          <cell r="C381" t="str">
            <v>Original</v>
          </cell>
          <cell r="D381" t="str">
            <v>CEVA</v>
          </cell>
          <cell r="E381" t="str">
            <v>Rodoimport</v>
          </cell>
          <cell r="F381">
            <v>43794</v>
          </cell>
          <cell r="G381">
            <v>43802</v>
          </cell>
          <cell r="H381">
            <v>43804</v>
          </cell>
          <cell r="I381" t="str">
            <v>06.12.2019</v>
          </cell>
          <cell r="J381" t="str">
            <v>03.12.2019</v>
          </cell>
          <cell r="K381" t="str">
            <v>-</v>
          </cell>
          <cell r="L381" t="str">
            <v>OK</v>
          </cell>
        </row>
        <row r="382">
          <cell r="A382" t="str">
            <v>AHW-45343I19</v>
          </cell>
          <cell r="B382">
            <v>78087441</v>
          </cell>
          <cell r="C382" t="str">
            <v>Original</v>
          </cell>
          <cell r="D382" t="str">
            <v>CEVA</v>
          </cell>
          <cell r="E382" t="str">
            <v>Rodoimport</v>
          </cell>
          <cell r="F382">
            <v>43794</v>
          </cell>
          <cell r="G382">
            <v>43802</v>
          </cell>
          <cell r="H382">
            <v>43804</v>
          </cell>
          <cell r="I382" t="str">
            <v>06.12.2019</v>
          </cell>
          <cell r="J382" t="str">
            <v>03.12.2019</v>
          </cell>
          <cell r="K382" t="str">
            <v>-</v>
          </cell>
          <cell r="L382" t="str">
            <v>OK</v>
          </cell>
        </row>
        <row r="383">
          <cell r="A383" t="str">
            <v>AHW-45430I19</v>
          </cell>
          <cell r="B383" t="str">
            <v>CTS121419</v>
          </cell>
          <cell r="C383" t="str">
            <v>Original</v>
          </cell>
          <cell r="D383" t="str">
            <v>CTS</v>
          </cell>
          <cell r="E383" t="str">
            <v>Rodoimport</v>
          </cell>
          <cell r="F383">
            <v>43796</v>
          </cell>
          <cell r="G383">
            <v>43804</v>
          </cell>
          <cell r="H383">
            <v>43806</v>
          </cell>
          <cell r="I383" t="str">
            <v>05.12.2019</v>
          </cell>
          <cell r="J383" t="str">
            <v>03.12.2019</v>
          </cell>
          <cell r="K383" t="str">
            <v>-</v>
          </cell>
          <cell r="L383" t="str">
            <v>OK</v>
          </cell>
        </row>
        <row r="384">
          <cell r="A384" t="str">
            <v>AHW-45414I19</v>
          </cell>
          <cell r="B384">
            <v>78089306</v>
          </cell>
          <cell r="C384" t="str">
            <v>Original</v>
          </cell>
          <cell r="D384" t="str">
            <v>CEVA</v>
          </cell>
          <cell r="E384" t="str">
            <v>Rodoimport</v>
          </cell>
          <cell r="F384">
            <v>43796</v>
          </cell>
          <cell r="G384">
            <v>43804</v>
          </cell>
          <cell r="H384">
            <v>43806</v>
          </cell>
          <cell r="I384" t="str">
            <v>05.12.2019</v>
          </cell>
          <cell r="J384" t="str">
            <v>03.12.2019</v>
          </cell>
          <cell r="K384" t="str">
            <v>-</v>
          </cell>
          <cell r="L384" t="str">
            <v>OK</v>
          </cell>
        </row>
        <row r="385">
          <cell r="A385" t="str">
            <v>AHW-45417I19</v>
          </cell>
          <cell r="B385">
            <v>78089235</v>
          </cell>
          <cell r="C385" t="str">
            <v>Original</v>
          </cell>
          <cell r="D385" t="str">
            <v>CEVA</v>
          </cell>
          <cell r="E385" t="str">
            <v>Rodoimport</v>
          </cell>
          <cell r="F385">
            <v>43796</v>
          </cell>
          <cell r="G385">
            <v>43804</v>
          </cell>
          <cell r="H385">
            <v>43806</v>
          </cell>
          <cell r="I385" t="str">
            <v>05.12.2019</v>
          </cell>
          <cell r="J385" t="str">
            <v>03.12.2019</v>
          </cell>
          <cell r="K385" t="str">
            <v>-</v>
          </cell>
          <cell r="L385" t="str">
            <v>OK</v>
          </cell>
        </row>
        <row r="386">
          <cell r="A386" t="str">
            <v>AHW-45402I19</v>
          </cell>
          <cell r="B386">
            <v>78089238</v>
          </cell>
          <cell r="C386" t="str">
            <v>Original</v>
          </cell>
          <cell r="D386" t="str">
            <v>CEVA</v>
          </cell>
          <cell r="E386" t="str">
            <v>Rodoimport</v>
          </cell>
          <cell r="F386">
            <v>43797</v>
          </cell>
          <cell r="G386">
            <v>43805</v>
          </cell>
          <cell r="H386">
            <v>43807</v>
          </cell>
          <cell r="I386" t="str">
            <v>05.12.2019</v>
          </cell>
          <cell r="J386" t="str">
            <v>03.12.2019</v>
          </cell>
          <cell r="K386" t="str">
            <v>-</v>
          </cell>
          <cell r="L386" t="str">
            <v>OK</v>
          </cell>
        </row>
        <row r="387">
          <cell r="A387" t="str">
            <v>AHW-45404I19</v>
          </cell>
          <cell r="B387">
            <v>78089239</v>
          </cell>
          <cell r="C387" t="str">
            <v>Original</v>
          </cell>
          <cell r="D387" t="str">
            <v>CEVA</v>
          </cell>
          <cell r="E387" t="str">
            <v>Rodoimport</v>
          </cell>
          <cell r="F387">
            <v>43797</v>
          </cell>
          <cell r="G387">
            <v>43805</v>
          </cell>
          <cell r="H387">
            <v>43807</v>
          </cell>
          <cell r="I387" t="str">
            <v>05.12.2019</v>
          </cell>
          <cell r="J387" t="str">
            <v>03.12.2019</v>
          </cell>
          <cell r="K387" t="str">
            <v>-</v>
          </cell>
          <cell r="L387" t="str">
            <v>OK</v>
          </cell>
        </row>
        <row r="388">
          <cell r="A388" t="str">
            <v>AHW-45406I19</v>
          </cell>
          <cell r="B388">
            <v>78089240</v>
          </cell>
          <cell r="C388" t="str">
            <v>Original</v>
          </cell>
          <cell r="D388" t="str">
            <v>CEVA</v>
          </cell>
          <cell r="E388" t="str">
            <v>Rodoimport</v>
          </cell>
          <cell r="F388">
            <v>43797</v>
          </cell>
          <cell r="G388">
            <v>43805</v>
          </cell>
          <cell r="H388">
            <v>43807</v>
          </cell>
          <cell r="I388" t="str">
            <v>05.12.2019</v>
          </cell>
          <cell r="J388" t="str">
            <v>03.12.2019</v>
          </cell>
          <cell r="K388" t="str">
            <v>-</v>
          </cell>
          <cell r="L388" t="str">
            <v>OK</v>
          </cell>
        </row>
        <row r="389">
          <cell r="A389" t="str">
            <v>AHW-45407I19</v>
          </cell>
          <cell r="B389">
            <v>78089241</v>
          </cell>
          <cell r="C389" t="str">
            <v>Original</v>
          </cell>
          <cell r="D389" t="str">
            <v>CEVA</v>
          </cell>
          <cell r="E389" t="str">
            <v>Rodoimport</v>
          </cell>
          <cell r="F389">
            <v>43797</v>
          </cell>
          <cell r="G389">
            <v>43805</v>
          </cell>
          <cell r="H389">
            <v>43807</v>
          </cell>
          <cell r="I389" t="str">
            <v>06.12.2019</v>
          </cell>
          <cell r="J389" t="str">
            <v>03.12.2019</v>
          </cell>
          <cell r="K389" t="str">
            <v>-</v>
          </cell>
          <cell r="L389" t="str">
            <v>OK</v>
          </cell>
        </row>
        <row r="390">
          <cell r="A390" t="str">
            <v>AHW-45408I19</v>
          </cell>
          <cell r="B390">
            <v>78089242</v>
          </cell>
          <cell r="C390" t="str">
            <v>Original</v>
          </cell>
          <cell r="D390" t="str">
            <v>CEVA</v>
          </cell>
          <cell r="E390" t="str">
            <v>Rodoimport</v>
          </cell>
          <cell r="F390">
            <v>43797</v>
          </cell>
          <cell r="G390">
            <v>43805</v>
          </cell>
          <cell r="H390">
            <v>43807</v>
          </cell>
          <cell r="I390" t="str">
            <v>05.12.2019</v>
          </cell>
          <cell r="J390" t="str">
            <v>03.12.2019</v>
          </cell>
          <cell r="K390" t="str">
            <v>-</v>
          </cell>
          <cell r="L390" t="str">
            <v>OK</v>
          </cell>
        </row>
        <row r="391">
          <cell r="A391" t="str">
            <v>AHW-45492I19</v>
          </cell>
          <cell r="B391" t="str">
            <v>CTS122787</v>
          </cell>
          <cell r="C391" t="str">
            <v>Original</v>
          </cell>
          <cell r="D391" t="str">
            <v>CTS</v>
          </cell>
          <cell r="E391" t="str">
            <v>Rodoimport</v>
          </cell>
          <cell r="F391">
            <v>43798</v>
          </cell>
          <cell r="G391">
            <v>43806</v>
          </cell>
          <cell r="H391">
            <v>43808</v>
          </cell>
          <cell r="I391" t="str">
            <v>10.12.2019</v>
          </cell>
          <cell r="J391" t="str">
            <v>03.12.2019</v>
          </cell>
          <cell r="K391" t="str">
            <v>-</v>
          </cell>
          <cell r="L391" t="str">
            <v>OK</v>
          </cell>
        </row>
        <row r="392">
          <cell r="A392" t="str">
            <v>AHW-45436I19</v>
          </cell>
          <cell r="B392" t="str">
            <v>CTS122788</v>
          </cell>
          <cell r="C392" t="str">
            <v>Original</v>
          </cell>
          <cell r="D392" t="str">
            <v>CTS</v>
          </cell>
          <cell r="E392" t="str">
            <v>Rodoimport</v>
          </cell>
          <cell r="F392">
            <v>43798</v>
          </cell>
          <cell r="G392">
            <v>43806</v>
          </cell>
          <cell r="H392">
            <v>43808</v>
          </cell>
          <cell r="I392" t="str">
            <v>10.12.2019</v>
          </cell>
          <cell r="J392" t="str">
            <v>03.12.2019</v>
          </cell>
          <cell r="K392" t="str">
            <v>-</v>
          </cell>
          <cell r="L392" t="str">
            <v>OK</v>
          </cell>
        </row>
        <row r="393">
          <cell r="A393" t="str">
            <v>AHW-45443I19</v>
          </cell>
          <cell r="B393">
            <v>78089350</v>
          </cell>
          <cell r="C393" t="str">
            <v>Original</v>
          </cell>
          <cell r="D393" t="str">
            <v>CEVA</v>
          </cell>
          <cell r="E393" t="str">
            <v>Rodoimport</v>
          </cell>
          <cell r="F393">
            <v>43798</v>
          </cell>
          <cell r="G393">
            <v>43806</v>
          </cell>
          <cell r="H393">
            <v>43808</v>
          </cell>
          <cell r="I393" t="str">
            <v>06.12.2019</v>
          </cell>
          <cell r="J393" t="str">
            <v>03.12.2019</v>
          </cell>
          <cell r="K393" t="str">
            <v>-</v>
          </cell>
          <cell r="L393" t="str">
            <v>OK</v>
          </cell>
        </row>
        <row r="394">
          <cell r="A394" t="str">
            <v>AHW-45418I19</v>
          </cell>
          <cell r="B394">
            <v>78089336</v>
          </cell>
          <cell r="C394" t="str">
            <v>Original</v>
          </cell>
          <cell r="D394" t="str">
            <v>CEVA</v>
          </cell>
          <cell r="E394" t="str">
            <v>Rodoimport</v>
          </cell>
          <cell r="F394">
            <v>43801</v>
          </cell>
          <cell r="G394">
            <v>43809</v>
          </cell>
          <cell r="H394">
            <v>43811</v>
          </cell>
          <cell r="I394" t="str">
            <v>06.12.2019</v>
          </cell>
          <cell r="J394" t="str">
            <v>10.12.2019</v>
          </cell>
          <cell r="K394" t="str">
            <v>-</v>
          </cell>
          <cell r="L394" t="str">
            <v>OK</v>
          </cell>
        </row>
        <row r="395">
          <cell r="A395" t="str">
            <v>AHW-45496I19</v>
          </cell>
          <cell r="B395" t="str">
            <v>CTS122796</v>
          </cell>
          <cell r="C395" t="str">
            <v>Original</v>
          </cell>
          <cell r="D395" t="str">
            <v>CTS</v>
          </cell>
          <cell r="E395" t="str">
            <v>Rodoimport</v>
          </cell>
          <cell r="F395">
            <v>43802</v>
          </cell>
          <cell r="G395">
            <v>43810</v>
          </cell>
          <cell r="H395">
            <v>43812</v>
          </cell>
          <cell r="I395" t="str">
            <v>10.12.2019</v>
          </cell>
          <cell r="J395" t="str">
            <v>10.12.2019</v>
          </cell>
          <cell r="K395" t="str">
            <v>-</v>
          </cell>
          <cell r="L395" t="str">
            <v>OK</v>
          </cell>
        </row>
        <row r="396">
          <cell r="A396" t="str">
            <v>AHW-42401I19</v>
          </cell>
          <cell r="B396" t="str">
            <v>CTS121429</v>
          </cell>
          <cell r="C396" t="str">
            <v>Original</v>
          </cell>
          <cell r="D396" t="str">
            <v>CTS</v>
          </cell>
          <cell r="E396" t="str">
            <v>Rodoimport</v>
          </cell>
          <cell r="F396">
            <v>43802</v>
          </cell>
          <cell r="G396">
            <v>43810</v>
          </cell>
          <cell r="H396">
            <v>43812</v>
          </cell>
          <cell r="I396" t="str">
            <v>10.12.2019</v>
          </cell>
          <cell r="J396" t="str">
            <v>10.12.2019</v>
          </cell>
          <cell r="K396" t="str">
            <v>-</v>
          </cell>
          <cell r="L396" t="str">
            <v>OK</v>
          </cell>
        </row>
        <row r="397">
          <cell r="A397" t="str">
            <v>AHW-41784I19</v>
          </cell>
          <cell r="B397" t="str">
            <v>CTS121432</v>
          </cell>
          <cell r="C397" t="str">
            <v>Original</v>
          </cell>
          <cell r="D397" t="str">
            <v>CTS</v>
          </cell>
          <cell r="E397" t="str">
            <v>Rodoimport</v>
          </cell>
          <cell r="F397">
            <v>43802</v>
          </cell>
          <cell r="G397">
            <v>43810</v>
          </cell>
          <cell r="H397">
            <v>43812</v>
          </cell>
          <cell r="I397" t="str">
            <v>10.12.2019</v>
          </cell>
          <cell r="J397" t="str">
            <v>10.12.2019</v>
          </cell>
          <cell r="K397" t="str">
            <v>-</v>
          </cell>
          <cell r="L397" t="str">
            <v>OK</v>
          </cell>
        </row>
        <row r="398">
          <cell r="A398" t="str">
            <v>AHW-45497I19</v>
          </cell>
          <cell r="B398" t="str">
            <v>CTS122798</v>
          </cell>
          <cell r="C398" t="str">
            <v>Original</v>
          </cell>
          <cell r="D398" t="str">
            <v>CTS</v>
          </cell>
          <cell r="E398" t="str">
            <v>Rodoimport</v>
          </cell>
          <cell r="F398">
            <v>43802</v>
          </cell>
          <cell r="G398">
            <v>43810</v>
          </cell>
          <cell r="H398">
            <v>43812</v>
          </cell>
          <cell r="I398" t="str">
            <v>10.12.2019</v>
          </cell>
          <cell r="J398" t="str">
            <v>10.12.2019</v>
          </cell>
          <cell r="K398" t="str">
            <v>-</v>
          </cell>
          <cell r="L398" t="str">
            <v>OK</v>
          </cell>
        </row>
        <row r="399">
          <cell r="A399" t="str">
            <v>AHW-45491I19</v>
          </cell>
          <cell r="B399" t="str">
            <v>CTS121431</v>
          </cell>
          <cell r="C399" t="str">
            <v>Original</v>
          </cell>
          <cell r="D399" t="str">
            <v>CTS</v>
          </cell>
          <cell r="E399" t="str">
            <v>Rodoimport</v>
          </cell>
          <cell r="F399">
            <v>43802</v>
          </cell>
          <cell r="G399">
            <v>43810</v>
          </cell>
          <cell r="H399">
            <v>43812</v>
          </cell>
          <cell r="I399" t="str">
            <v>10.12.2019</v>
          </cell>
          <cell r="J399" t="str">
            <v>10.12.2019</v>
          </cell>
          <cell r="K399" t="str">
            <v>-</v>
          </cell>
          <cell r="L399" t="str">
            <v>OK</v>
          </cell>
        </row>
        <row r="400">
          <cell r="A400" t="str">
            <v>AHW-45494I19</v>
          </cell>
          <cell r="B400" t="str">
            <v>CTS122799</v>
          </cell>
          <cell r="C400" t="str">
            <v>Original</v>
          </cell>
          <cell r="D400" t="str">
            <v>CTS</v>
          </cell>
          <cell r="E400" t="str">
            <v>Rodoimport</v>
          </cell>
          <cell r="F400">
            <v>43802</v>
          </cell>
          <cell r="G400">
            <v>43810</v>
          </cell>
          <cell r="H400">
            <v>43812</v>
          </cell>
          <cell r="I400" t="str">
            <v>10.12.2019</v>
          </cell>
          <cell r="J400" t="str">
            <v>10.12.2019</v>
          </cell>
          <cell r="K400" t="str">
            <v>-</v>
          </cell>
          <cell r="L400" t="str">
            <v>OK</v>
          </cell>
        </row>
        <row r="401">
          <cell r="A401" t="str">
            <v>AHW-45495I19</v>
          </cell>
          <cell r="B401" t="str">
            <v>CTS122797</v>
          </cell>
          <cell r="C401" t="str">
            <v>Original</v>
          </cell>
          <cell r="D401" t="str">
            <v>CTS</v>
          </cell>
          <cell r="E401" t="str">
            <v>Rodoimport</v>
          </cell>
          <cell r="F401">
            <v>43802</v>
          </cell>
          <cell r="G401">
            <v>43810</v>
          </cell>
          <cell r="H401">
            <v>43812</v>
          </cell>
          <cell r="I401" t="str">
            <v>10.12.2019</v>
          </cell>
          <cell r="J401" t="str">
            <v>10.12.2019</v>
          </cell>
          <cell r="K401" t="str">
            <v>-</v>
          </cell>
          <cell r="L401" t="str">
            <v>OK</v>
          </cell>
        </row>
        <row r="402">
          <cell r="A402" t="str">
            <v>AHW-45488I19</v>
          </cell>
          <cell r="B402" t="str">
            <v>CTS122800</v>
          </cell>
          <cell r="C402" t="str">
            <v>Original</v>
          </cell>
          <cell r="D402" t="str">
            <v>CTS</v>
          </cell>
          <cell r="E402" t="str">
            <v>Rodoimport</v>
          </cell>
          <cell r="F402">
            <v>43802</v>
          </cell>
          <cell r="G402">
            <v>43810</v>
          </cell>
          <cell r="H402">
            <v>43812</v>
          </cell>
          <cell r="I402" t="str">
            <v>10.12.2019</v>
          </cell>
          <cell r="J402" t="str">
            <v>10.12.2019</v>
          </cell>
          <cell r="K402" t="str">
            <v>-</v>
          </cell>
          <cell r="L402" t="str">
            <v>OK</v>
          </cell>
        </row>
        <row r="403">
          <cell r="A403" t="str">
            <v>AHW-45651I19</v>
          </cell>
          <cell r="B403" t="str">
            <v>CTS121455</v>
          </cell>
          <cell r="C403" t="str">
            <v>Original</v>
          </cell>
          <cell r="D403" t="str">
            <v>CTS</v>
          </cell>
          <cell r="E403" t="str">
            <v>Rodoimport</v>
          </cell>
          <cell r="F403">
            <v>43803</v>
          </cell>
          <cell r="G403">
            <v>43811</v>
          </cell>
          <cell r="H403">
            <v>43813</v>
          </cell>
          <cell r="I403" t="str">
            <v>10.12.2019</v>
          </cell>
          <cell r="J403" t="str">
            <v>10.12.2019</v>
          </cell>
          <cell r="K403" t="str">
            <v>-</v>
          </cell>
          <cell r="L403" t="str">
            <v>OK</v>
          </cell>
        </row>
        <row r="404">
          <cell r="A404" t="str">
            <v>AHW-45486I19</v>
          </cell>
          <cell r="B404">
            <v>78089407</v>
          </cell>
          <cell r="C404" t="str">
            <v>Original</v>
          </cell>
          <cell r="D404" t="str">
            <v>CTS</v>
          </cell>
          <cell r="E404" t="str">
            <v>Rodoimport</v>
          </cell>
          <cell r="F404">
            <v>43805</v>
          </cell>
          <cell r="G404">
            <v>43813</v>
          </cell>
          <cell r="H404">
            <v>43815</v>
          </cell>
          <cell r="I404" t="str">
            <v>11.12.2019</v>
          </cell>
          <cell r="J404" t="str">
            <v>10.12.2019</v>
          </cell>
          <cell r="K404" t="str">
            <v>-</v>
          </cell>
          <cell r="L404" t="str">
            <v>OK</v>
          </cell>
        </row>
        <row r="405">
          <cell r="A405" t="str">
            <v>AHW-45541I19</v>
          </cell>
          <cell r="B405">
            <v>78089243</v>
          </cell>
          <cell r="C405" t="str">
            <v>Original</v>
          </cell>
          <cell r="D405" t="str">
            <v>CTS</v>
          </cell>
          <cell r="E405" t="str">
            <v>Rodoimport</v>
          </cell>
          <cell r="F405">
            <v>43805</v>
          </cell>
          <cell r="G405">
            <v>43813</v>
          </cell>
          <cell r="H405">
            <v>43815</v>
          </cell>
          <cell r="I405" t="str">
            <v>11.12.2019</v>
          </cell>
          <cell r="J405" t="str">
            <v>10.12.2019</v>
          </cell>
          <cell r="K405" t="str">
            <v>-</v>
          </cell>
          <cell r="L405" t="str">
            <v>OK</v>
          </cell>
        </row>
        <row r="406">
          <cell r="A406" t="str">
            <v>AHW-45568I19</v>
          </cell>
          <cell r="B406">
            <v>80492013</v>
          </cell>
          <cell r="C406" t="str">
            <v>Original</v>
          </cell>
          <cell r="D406" t="str">
            <v>CTS</v>
          </cell>
          <cell r="E406" t="str">
            <v>Rodoimport</v>
          </cell>
          <cell r="F406">
            <v>43805</v>
          </cell>
          <cell r="G406">
            <v>43813</v>
          </cell>
          <cell r="H406">
            <v>43815</v>
          </cell>
          <cell r="I406" t="str">
            <v>11.12.2019</v>
          </cell>
          <cell r="J406" t="str">
            <v>10.12.2019</v>
          </cell>
          <cell r="K406" t="str">
            <v>-</v>
          </cell>
          <cell r="L406" t="str">
            <v>OK</v>
          </cell>
        </row>
        <row r="407">
          <cell r="A407" t="str">
            <v>SHW-45041I19</v>
          </cell>
          <cell r="B407">
            <v>587343866</v>
          </cell>
          <cell r="C407" t="str">
            <v>Original</v>
          </cell>
          <cell r="D407" t="str">
            <v>Panalpina</v>
          </cell>
          <cell r="E407" t="str">
            <v>TKT</v>
          </cell>
          <cell r="F407">
            <v>43805</v>
          </cell>
          <cell r="G407">
            <v>43813</v>
          </cell>
          <cell r="H407">
            <v>43815</v>
          </cell>
          <cell r="I407" t="str">
            <v>11.12.2019</v>
          </cell>
          <cell r="J407" t="str">
            <v>10.12.2019</v>
          </cell>
          <cell r="K407" t="str">
            <v>-</v>
          </cell>
          <cell r="L407" t="str">
            <v>OK</v>
          </cell>
        </row>
        <row r="408">
          <cell r="A408" t="str">
            <v>AHW-45547I19</v>
          </cell>
          <cell r="B408">
            <v>78089473</v>
          </cell>
          <cell r="C408" t="str">
            <v>Original</v>
          </cell>
          <cell r="D408" t="str">
            <v>CEVA</v>
          </cell>
          <cell r="E408" t="str">
            <v>Rodoimport</v>
          </cell>
          <cell r="F408">
            <v>43808</v>
          </cell>
          <cell r="G408">
            <v>43816</v>
          </cell>
          <cell r="H408">
            <v>43818</v>
          </cell>
          <cell r="I408" t="str">
            <v>13.12.2019</v>
          </cell>
          <cell r="J408" t="str">
            <v>17.12.2019</v>
          </cell>
          <cell r="K408" t="str">
            <v>-</v>
          </cell>
          <cell r="L408" t="str">
            <v>OK</v>
          </cell>
        </row>
        <row r="409">
          <cell r="A409" t="str">
            <v>AHW-45428I19</v>
          </cell>
          <cell r="B409">
            <v>78089349</v>
          </cell>
          <cell r="C409" t="str">
            <v>Original</v>
          </cell>
          <cell r="D409" t="str">
            <v>CEVA</v>
          </cell>
          <cell r="E409" t="str">
            <v>Rodoimport</v>
          </cell>
          <cell r="F409">
            <v>43808</v>
          </cell>
          <cell r="G409">
            <v>43816</v>
          </cell>
          <cell r="H409">
            <v>43818</v>
          </cell>
          <cell r="I409" t="str">
            <v>14.01.2020</v>
          </cell>
          <cell r="J409" t="str">
            <v>17.12.2019</v>
          </cell>
          <cell r="K409" t="str">
            <v>-</v>
          </cell>
          <cell r="L409" t="str">
            <v>OK</v>
          </cell>
        </row>
        <row r="410">
          <cell r="A410" t="str">
            <v>AHW-45490I19</v>
          </cell>
          <cell r="B410">
            <v>78089457</v>
          </cell>
          <cell r="C410" t="str">
            <v>Original</v>
          </cell>
          <cell r="D410" t="str">
            <v>CEVA</v>
          </cell>
          <cell r="E410" t="str">
            <v>Rodoimport</v>
          </cell>
          <cell r="F410">
            <v>43808</v>
          </cell>
          <cell r="G410">
            <v>43816</v>
          </cell>
          <cell r="H410">
            <v>43818</v>
          </cell>
          <cell r="I410" t="str">
            <v>13.12.2019</v>
          </cell>
          <cell r="J410" t="str">
            <v>17.12.2019</v>
          </cell>
          <cell r="K410" t="str">
            <v>-</v>
          </cell>
          <cell r="L410" t="str">
            <v>OK</v>
          </cell>
        </row>
        <row r="411">
          <cell r="A411" t="str">
            <v>AHW-45583I19</v>
          </cell>
          <cell r="B411" t="str">
            <v>CTS121449</v>
          </cell>
          <cell r="C411" t="str">
            <v>Original</v>
          </cell>
          <cell r="D411" t="str">
            <v>CTS</v>
          </cell>
          <cell r="E411" t="str">
            <v>Rodoimport</v>
          </cell>
          <cell r="F411">
            <v>43808</v>
          </cell>
          <cell r="G411">
            <v>43816</v>
          </cell>
          <cell r="H411">
            <v>43818</v>
          </cell>
          <cell r="I411" t="str">
            <v>13.12.2019</v>
          </cell>
          <cell r="J411" t="str">
            <v>17.12.2019</v>
          </cell>
          <cell r="K411" t="str">
            <v>-</v>
          </cell>
          <cell r="L411" t="str">
            <v>OK</v>
          </cell>
        </row>
        <row r="412">
          <cell r="A412" t="str">
            <v>AHW-45638I19</v>
          </cell>
          <cell r="B412" t="str">
            <v>CTS121465</v>
          </cell>
          <cell r="C412" t="str">
            <v>Original</v>
          </cell>
          <cell r="D412" t="str">
            <v>CTS</v>
          </cell>
          <cell r="E412" t="str">
            <v>Rodoimport</v>
          </cell>
          <cell r="F412">
            <v>43808</v>
          </cell>
          <cell r="G412">
            <v>43816</v>
          </cell>
          <cell r="H412">
            <v>43818</v>
          </cell>
          <cell r="I412" t="str">
            <v>13.12.2019</v>
          </cell>
          <cell r="J412" t="str">
            <v>17.12.2019</v>
          </cell>
          <cell r="K412" t="str">
            <v>-</v>
          </cell>
          <cell r="L412" t="str">
            <v>OK</v>
          </cell>
        </row>
        <row r="413">
          <cell r="A413" t="str">
            <v>AHW-45666I19</v>
          </cell>
          <cell r="B413" t="str">
            <v>CTS121461</v>
          </cell>
          <cell r="C413" t="str">
            <v>Original</v>
          </cell>
          <cell r="D413" t="str">
            <v>CTS</v>
          </cell>
          <cell r="E413" t="str">
            <v>Rodoimport</v>
          </cell>
          <cell r="F413">
            <v>43808</v>
          </cell>
          <cell r="G413">
            <v>43816</v>
          </cell>
          <cell r="H413">
            <v>43818</v>
          </cell>
          <cell r="I413" t="str">
            <v>13.12.2019</v>
          </cell>
          <cell r="J413" t="str">
            <v>17.12.2019</v>
          </cell>
          <cell r="K413" t="str">
            <v>-</v>
          </cell>
          <cell r="L413" t="str">
            <v>OK</v>
          </cell>
        </row>
        <row r="414">
          <cell r="A414" t="str">
            <v>AHW-45674I19</v>
          </cell>
          <cell r="B414" t="str">
            <v>CTS121470</v>
          </cell>
          <cell r="C414" t="str">
            <v>Original</v>
          </cell>
          <cell r="D414" t="str">
            <v>CTS</v>
          </cell>
          <cell r="E414" t="str">
            <v>Rodoimport</v>
          </cell>
          <cell r="F414">
            <v>43809</v>
          </cell>
          <cell r="G414">
            <v>43817</v>
          </cell>
          <cell r="H414">
            <v>43819</v>
          </cell>
          <cell r="I414" t="str">
            <v>13.12.2019</v>
          </cell>
          <cell r="J414" t="str">
            <v>17.12.2019</v>
          </cell>
          <cell r="K414" t="str">
            <v>-</v>
          </cell>
          <cell r="L414" t="str">
            <v>OK</v>
          </cell>
        </row>
        <row r="415">
          <cell r="A415" t="str">
            <v>AHW-45608I19</v>
          </cell>
          <cell r="B415" t="str">
            <v>CTS121462</v>
          </cell>
          <cell r="C415" t="str">
            <v>Original</v>
          </cell>
          <cell r="D415" t="str">
            <v>CTS</v>
          </cell>
          <cell r="E415" t="str">
            <v>Rodoimport</v>
          </cell>
          <cell r="F415">
            <v>43809</v>
          </cell>
          <cell r="G415">
            <v>43817</v>
          </cell>
          <cell r="H415">
            <v>43819</v>
          </cell>
          <cell r="I415" t="str">
            <v>13.12.2019</v>
          </cell>
          <cell r="J415" t="str">
            <v>17.12.2019</v>
          </cell>
          <cell r="K415" t="str">
            <v>-</v>
          </cell>
          <cell r="L415" t="str">
            <v>OK</v>
          </cell>
        </row>
        <row r="416">
          <cell r="A416" t="str">
            <v>AHW-45546I19</v>
          </cell>
          <cell r="B416">
            <v>78089495</v>
          </cell>
          <cell r="C416" t="str">
            <v>Original</v>
          </cell>
          <cell r="D416" t="str">
            <v>CEVA</v>
          </cell>
          <cell r="E416" t="str">
            <v>Rodoimport</v>
          </cell>
          <cell r="F416">
            <v>43809</v>
          </cell>
          <cell r="G416">
            <v>43817</v>
          </cell>
          <cell r="H416">
            <v>43819</v>
          </cell>
          <cell r="I416" t="str">
            <v>13.12.2019</v>
          </cell>
          <cell r="J416" t="str">
            <v>17.12.2019</v>
          </cell>
          <cell r="K416" t="str">
            <v>-</v>
          </cell>
          <cell r="L416" t="str">
            <v>OK</v>
          </cell>
        </row>
        <row r="417">
          <cell r="A417" t="str">
            <v>AHW-45548I19</v>
          </cell>
          <cell r="B417" t="str">
            <v>CTS121401</v>
          </cell>
          <cell r="C417" t="str">
            <v>Original</v>
          </cell>
          <cell r="D417" t="str">
            <v>CTS</v>
          </cell>
          <cell r="E417" t="str">
            <v>Rodoimport</v>
          </cell>
          <cell r="F417">
            <v>43809</v>
          </cell>
          <cell r="G417">
            <v>43817</v>
          </cell>
          <cell r="H417">
            <v>43819</v>
          </cell>
          <cell r="I417" t="str">
            <v>13.12.2019</v>
          </cell>
          <cell r="J417" t="str">
            <v>17.12.2019</v>
          </cell>
          <cell r="K417" t="str">
            <v>-</v>
          </cell>
          <cell r="L417" t="str">
            <v>OK</v>
          </cell>
        </row>
        <row r="418">
          <cell r="A418" t="str">
            <v>AHW-45689I19</v>
          </cell>
          <cell r="B418">
            <v>80492141</v>
          </cell>
          <cell r="C418" t="str">
            <v>Original</v>
          </cell>
          <cell r="D418" t="str">
            <v>CEVA</v>
          </cell>
          <cell r="E418" t="str">
            <v>Rodoimport</v>
          </cell>
          <cell r="F418">
            <v>43812</v>
          </cell>
          <cell r="G418">
            <v>43820</v>
          </cell>
          <cell r="H418">
            <v>43822</v>
          </cell>
          <cell r="I418" t="str">
            <v>17.12.2019</v>
          </cell>
          <cell r="J418" t="str">
            <v>17.12.2019</v>
          </cell>
          <cell r="K418" t="str">
            <v>-</v>
          </cell>
          <cell r="L418" t="str">
            <v>OK</v>
          </cell>
        </row>
        <row r="419">
          <cell r="A419" t="str">
            <v>SHW-45222I19</v>
          </cell>
          <cell r="B419" t="str">
            <v>EGLV149905336932</v>
          </cell>
          <cell r="C419" t="str">
            <v>Original</v>
          </cell>
          <cell r="D419" t="str">
            <v>Panalpina</v>
          </cell>
          <cell r="E419" t="str">
            <v>TKT</v>
          </cell>
          <cell r="F419">
            <v>43812</v>
          </cell>
          <cell r="G419">
            <v>43820</v>
          </cell>
          <cell r="H419">
            <v>43822</v>
          </cell>
          <cell r="I419" t="str">
            <v>17.12.2019</v>
          </cell>
          <cell r="J419" t="str">
            <v>16.12.2019</v>
          </cell>
          <cell r="K419" t="str">
            <v>-</v>
          </cell>
          <cell r="L419" t="str">
            <v>OK</v>
          </cell>
        </row>
        <row r="420">
          <cell r="A420" t="str">
            <v>AHW-45690I19</v>
          </cell>
          <cell r="B420" t="str">
            <v>CTS121473</v>
          </cell>
          <cell r="C420" t="str">
            <v>Original</v>
          </cell>
          <cell r="D420" t="str">
            <v>CTS</v>
          </cell>
          <cell r="E420" t="str">
            <v>Rodoimport</v>
          </cell>
          <cell r="F420">
            <v>43813</v>
          </cell>
          <cell r="G420">
            <v>43821</v>
          </cell>
          <cell r="H420">
            <v>43823</v>
          </cell>
          <cell r="I420" t="str">
            <v>14.01.2020</v>
          </cell>
          <cell r="J420" t="str">
            <v>17.12.2019</v>
          </cell>
          <cell r="K420" t="str">
            <v>-</v>
          </cell>
          <cell r="L420" t="str">
            <v>OK</v>
          </cell>
        </row>
        <row r="421">
          <cell r="A421" t="str">
            <v>AHW-45692I19</v>
          </cell>
          <cell r="B421">
            <v>80492181</v>
          </cell>
          <cell r="C421" t="str">
            <v>Original</v>
          </cell>
          <cell r="D421" t="str">
            <v>CEVA</v>
          </cell>
          <cell r="E421" t="str">
            <v>Rodoimport</v>
          </cell>
          <cell r="F421">
            <v>43815</v>
          </cell>
          <cell r="G421">
            <v>43823</v>
          </cell>
          <cell r="H421">
            <v>43825</v>
          </cell>
          <cell r="I421" t="str">
            <v>14.01.2020</v>
          </cell>
          <cell r="J421" t="str">
            <v>07.01.2020</v>
          </cell>
          <cell r="K421" t="str">
            <v>-</v>
          </cell>
          <cell r="L421" t="str">
            <v>OK</v>
          </cell>
        </row>
        <row r="422">
          <cell r="A422" t="str">
            <v>AHW-45699I19</v>
          </cell>
          <cell r="B422" t="str">
            <v>CTS121477</v>
          </cell>
          <cell r="C422" t="str">
            <v>Original</v>
          </cell>
          <cell r="D422" t="str">
            <v>CTS</v>
          </cell>
          <cell r="E422" t="str">
            <v>Rodoimport</v>
          </cell>
          <cell r="F422">
            <v>43815</v>
          </cell>
          <cell r="G422">
            <v>43823</v>
          </cell>
          <cell r="H422">
            <v>43825</v>
          </cell>
          <cell r="I422" t="str">
            <v>14.01.2020</v>
          </cell>
          <cell r="J422" t="str">
            <v>07.01.2020</v>
          </cell>
          <cell r="K422" t="str">
            <v>-</v>
          </cell>
          <cell r="L422" t="str">
            <v>OK</v>
          </cell>
        </row>
        <row r="423">
          <cell r="A423" t="str">
            <v>AHW-43155I19</v>
          </cell>
          <cell r="B423" t="str">
            <v>CTS121482</v>
          </cell>
          <cell r="C423" t="str">
            <v>Original</v>
          </cell>
          <cell r="D423" t="str">
            <v>CTS</v>
          </cell>
          <cell r="E423" t="str">
            <v>Rodoimport</v>
          </cell>
          <cell r="F423">
            <v>43815</v>
          </cell>
          <cell r="G423">
            <v>43823</v>
          </cell>
          <cell r="H423">
            <v>43825</v>
          </cell>
          <cell r="I423" t="str">
            <v>14.01.2020</v>
          </cell>
          <cell r="J423" t="str">
            <v>07.01.2020</v>
          </cell>
          <cell r="K423" t="str">
            <v>-</v>
          </cell>
          <cell r="L423" t="str">
            <v>OK</v>
          </cell>
        </row>
        <row r="424">
          <cell r="A424" t="str">
            <v>AHW-42999I19</v>
          </cell>
          <cell r="B424">
            <v>80492225</v>
          </cell>
          <cell r="C424" t="str">
            <v>Original</v>
          </cell>
          <cell r="D424" t="str">
            <v>CEVA</v>
          </cell>
          <cell r="E424" t="str">
            <v>Rodoimport</v>
          </cell>
          <cell r="F424">
            <v>43817</v>
          </cell>
          <cell r="G424">
            <v>43825</v>
          </cell>
          <cell r="H424">
            <v>43827</v>
          </cell>
          <cell r="I424" t="str">
            <v>14.01.2020</v>
          </cell>
          <cell r="J424" t="str">
            <v>07.01.2020</v>
          </cell>
          <cell r="K424" t="str">
            <v>-</v>
          </cell>
          <cell r="L424" t="str">
            <v>OK</v>
          </cell>
        </row>
        <row r="425">
          <cell r="A425" t="str">
            <v>AHW-43156I19</v>
          </cell>
          <cell r="B425" t="str">
            <v>CTS121487</v>
          </cell>
          <cell r="C425" t="str">
            <v>Original</v>
          </cell>
          <cell r="D425" t="str">
            <v>CTS</v>
          </cell>
          <cell r="E425" t="str">
            <v>Rodoimport</v>
          </cell>
          <cell r="F425">
            <v>43817</v>
          </cell>
          <cell r="G425">
            <v>43825</v>
          </cell>
          <cell r="H425">
            <v>43827</v>
          </cell>
          <cell r="I425" t="str">
            <v>14.01.2020</v>
          </cell>
          <cell r="J425" t="str">
            <v>07.01.2020</v>
          </cell>
          <cell r="K425" t="str">
            <v>-</v>
          </cell>
          <cell r="L425" t="str">
            <v>OK</v>
          </cell>
        </row>
        <row r="426">
          <cell r="A426" t="str">
            <v>SHW-45381I19</v>
          </cell>
          <cell r="B426" t="str">
            <v>EGLV149905443178</v>
          </cell>
          <cell r="C426" t="str">
            <v>Original</v>
          </cell>
          <cell r="D426" t="str">
            <v>Panalpina</v>
          </cell>
          <cell r="E426" t="str">
            <v>TKT</v>
          </cell>
          <cell r="F426">
            <v>43818</v>
          </cell>
          <cell r="G426">
            <v>43826</v>
          </cell>
          <cell r="H426">
            <v>43828</v>
          </cell>
          <cell r="I426" t="str">
            <v>15.01.2020</v>
          </cell>
          <cell r="J426" t="str">
            <v>06.01.2020</v>
          </cell>
          <cell r="K426" t="str">
            <v>-</v>
          </cell>
          <cell r="L426" t="str">
            <v>OK</v>
          </cell>
        </row>
        <row r="427">
          <cell r="A427" t="str">
            <v>SHW-45385I19</v>
          </cell>
          <cell r="B427" t="str">
            <v>EGLV149905443399</v>
          </cell>
          <cell r="C427" t="str">
            <v>Original</v>
          </cell>
          <cell r="D427" t="str">
            <v>Panalpina</v>
          </cell>
          <cell r="E427" t="str">
            <v>TKT</v>
          </cell>
          <cell r="F427">
            <v>43818</v>
          </cell>
          <cell r="G427">
            <v>43826</v>
          </cell>
          <cell r="H427">
            <v>43828</v>
          </cell>
          <cell r="I427" t="str">
            <v>15.01.2020</v>
          </cell>
          <cell r="J427" t="str">
            <v>06.01.2020</v>
          </cell>
          <cell r="K427" t="str">
            <v>-</v>
          </cell>
          <cell r="L427" t="str">
            <v>OK</v>
          </cell>
        </row>
        <row r="428">
          <cell r="A428" t="str">
            <v>SHW-45424I19</v>
          </cell>
          <cell r="B428" t="str">
            <v>EGLV149904754552</v>
          </cell>
          <cell r="C428" t="str">
            <v>Original</v>
          </cell>
          <cell r="D428" t="str">
            <v>Panalpina</v>
          </cell>
          <cell r="E428" t="str">
            <v>TKT</v>
          </cell>
          <cell r="F428">
            <v>43837</v>
          </cell>
          <cell r="G428">
            <v>43845</v>
          </cell>
          <cell r="H428">
            <v>43847</v>
          </cell>
          <cell r="I428" t="str">
            <v>15.01.2020</v>
          </cell>
          <cell r="J428" t="str">
            <v>10.01.2020</v>
          </cell>
          <cell r="K428" t="str">
            <v>-</v>
          </cell>
          <cell r="L428" t="str">
            <v>OK</v>
          </cell>
        </row>
        <row r="429">
          <cell r="A429" t="str">
            <v>SHW-45409I19</v>
          </cell>
          <cell r="B429" t="str">
            <v>EGLV149904757527</v>
          </cell>
          <cell r="C429" t="str">
            <v>Original</v>
          </cell>
          <cell r="D429" t="str">
            <v>Panalpina</v>
          </cell>
          <cell r="E429" t="str">
            <v>TKT</v>
          </cell>
          <cell r="F429">
            <v>43837</v>
          </cell>
          <cell r="G429">
            <v>43845</v>
          </cell>
          <cell r="H429">
            <v>43847</v>
          </cell>
          <cell r="I429" t="str">
            <v>15.01.2020</v>
          </cell>
          <cell r="J429" t="str">
            <v>08.01.2020</v>
          </cell>
          <cell r="K429" t="str">
            <v>-</v>
          </cell>
          <cell r="L429" t="str">
            <v>OK</v>
          </cell>
        </row>
        <row r="430">
          <cell r="A430" t="str">
            <v>SHW-45549I19</v>
          </cell>
          <cell r="B430" t="str">
            <v>EGLV149905702432</v>
          </cell>
          <cell r="C430" t="str">
            <v>Original</v>
          </cell>
          <cell r="D430" t="str">
            <v>Panalpina</v>
          </cell>
          <cell r="E430" t="str">
            <v>TKT</v>
          </cell>
          <cell r="F430">
            <v>43837</v>
          </cell>
          <cell r="G430">
            <v>43845</v>
          </cell>
          <cell r="H430">
            <v>43847</v>
          </cell>
          <cell r="I430" t="str">
            <v>15.01.2020</v>
          </cell>
          <cell r="J430" t="str">
            <v>10.01.2020</v>
          </cell>
          <cell r="K430" t="str">
            <v>-</v>
          </cell>
          <cell r="L430" t="str">
            <v>OK</v>
          </cell>
        </row>
        <row r="431">
          <cell r="A431" t="str">
            <v>AHW-43172I19</v>
          </cell>
          <cell r="B431" t="str">
            <v>CTS123326</v>
          </cell>
          <cell r="C431" t="str">
            <v>Original</v>
          </cell>
          <cell r="D431" t="str">
            <v>CTS</v>
          </cell>
          <cell r="E431" t="str">
            <v>Rodoimport</v>
          </cell>
          <cell r="F431">
            <v>43837</v>
          </cell>
          <cell r="G431">
            <v>43845</v>
          </cell>
          <cell r="H431">
            <v>43847</v>
          </cell>
          <cell r="I431" t="str">
            <v>15.01.2020</v>
          </cell>
          <cell r="J431" t="str">
            <v>15.01.2020</v>
          </cell>
          <cell r="K431" t="str">
            <v>-</v>
          </cell>
          <cell r="L431" t="str">
            <v>OK</v>
          </cell>
        </row>
        <row r="432">
          <cell r="A432" t="str">
            <v>SHW-45665I19</v>
          </cell>
          <cell r="B432" t="str">
            <v>EGLV149905837028</v>
          </cell>
          <cell r="C432" t="str">
            <v>Original</v>
          </cell>
          <cell r="D432" t="str">
            <v>Panalpina</v>
          </cell>
          <cell r="E432" t="str">
            <v>TKT</v>
          </cell>
          <cell r="F432">
            <v>43840</v>
          </cell>
          <cell r="G432">
            <v>43848</v>
          </cell>
          <cell r="H432">
            <v>43850</v>
          </cell>
          <cell r="I432" t="str">
            <v>15.01.2020</v>
          </cell>
          <cell r="J432" t="str">
            <v>13.01.2020</v>
          </cell>
          <cell r="K432" t="str">
            <v>-</v>
          </cell>
          <cell r="L432" t="str">
            <v>OK</v>
          </cell>
        </row>
        <row r="433">
          <cell r="A433" t="str">
            <v>SHW-45780I19</v>
          </cell>
          <cell r="B433" t="str">
            <v>EGLV149905568418</v>
          </cell>
          <cell r="C433" t="str">
            <v>Original</v>
          </cell>
          <cell r="D433" t="str">
            <v>Panalpina</v>
          </cell>
          <cell r="E433" t="str">
            <v>TKT</v>
          </cell>
          <cell r="F433">
            <v>43844</v>
          </cell>
          <cell r="G433">
            <v>43852</v>
          </cell>
          <cell r="H433">
            <v>43854</v>
          </cell>
          <cell r="I433" t="str">
            <v>21.01.2020</v>
          </cell>
          <cell r="J433" t="str">
            <v>16.01.2020</v>
          </cell>
          <cell r="K433" t="str">
            <v>-</v>
          </cell>
          <cell r="L433" t="str">
            <v>OK</v>
          </cell>
        </row>
        <row r="434">
          <cell r="A434" t="str">
            <v>AHW-40103I20</v>
          </cell>
          <cell r="B434">
            <v>80493622</v>
          </cell>
          <cell r="C434" t="str">
            <v>Original</v>
          </cell>
          <cell r="D434" t="str">
            <v>CEVA</v>
          </cell>
          <cell r="E434" t="str">
            <v>Rodoimport</v>
          </cell>
          <cell r="F434">
            <v>43845</v>
          </cell>
          <cell r="G434">
            <v>43853</v>
          </cell>
          <cell r="H434">
            <v>43855</v>
          </cell>
          <cell r="I434" t="str">
            <v>22.01.2020</v>
          </cell>
          <cell r="J434" t="str">
            <v>23.01.2020</v>
          </cell>
          <cell r="K434" t="str">
            <v>-</v>
          </cell>
          <cell r="L434" t="str">
            <v>OK</v>
          </cell>
        </row>
        <row r="435">
          <cell r="A435" t="str">
            <v>AHW-40164I20</v>
          </cell>
          <cell r="B435">
            <v>80493665</v>
          </cell>
          <cell r="C435" t="str">
            <v>Original</v>
          </cell>
          <cell r="D435" t="str">
            <v>CEVA</v>
          </cell>
          <cell r="E435" t="str">
            <v>Rodoimport</v>
          </cell>
          <cell r="F435">
            <v>43845</v>
          </cell>
          <cell r="G435">
            <v>43853</v>
          </cell>
          <cell r="H435">
            <v>43855</v>
          </cell>
          <cell r="I435" t="str">
            <v>22.01.2020</v>
          </cell>
          <cell r="J435" t="str">
            <v>23.01.2020</v>
          </cell>
          <cell r="K435" t="str">
            <v>-</v>
          </cell>
          <cell r="L435" t="str">
            <v>OK</v>
          </cell>
        </row>
        <row r="436">
          <cell r="A436" t="str">
            <v>AHW-40173I20</v>
          </cell>
          <cell r="B436" t="str">
            <v>SAME2000038</v>
          </cell>
          <cell r="C436" t="str">
            <v>Original</v>
          </cell>
          <cell r="D436" t="str">
            <v>CTS</v>
          </cell>
          <cell r="E436" t="str">
            <v>Rodoimport</v>
          </cell>
          <cell r="F436">
            <v>43847</v>
          </cell>
          <cell r="G436">
            <v>43855</v>
          </cell>
          <cell r="H436">
            <v>43857</v>
          </cell>
          <cell r="I436" t="str">
            <v>22.01.2020</v>
          </cell>
          <cell r="J436" t="str">
            <v>23.01.2020</v>
          </cell>
          <cell r="K436" t="str">
            <v>-</v>
          </cell>
          <cell r="L436" t="str">
            <v>OK</v>
          </cell>
        </row>
        <row r="437">
          <cell r="A437" t="str">
            <v>AHW-40189I20</v>
          </cell>
          <cell r="B437" t="str">
            <v>SAME2000041</v>
          </cell>
          <cell r="C437" t="str">
            <v>Original</v>
          </cell>
          <cell r="D437" t="str">
            <v>CTS</v>
          </cell>
          <cell r="E437" t="str">
            <v>Rodoimport</v>
          </cell>
          <cell r="F437">
            <v>43847</v>
          </cell>
          <cell r="G437">
            <v>43855</v>
          </cell>
          <cell r="H437">
            <v>43857</v>
          </cell>
          <cell r="I437" t="str">
            <v>22.01.2020</v>
          </cell>
          <cell r="J437" t="str">
            <v>23.01.2020</v>
          </cell>
          <cell r="K437" t="str">
            <v>-</v>
          </cell>
          <cell r="L437" t="str">
            <v>OK</v>
          </cell>
        </row>
        <row r="438">
          <cell r="A438" t="str">
            <v>AHW-45824I19</v>
          </cell>
          <cell r="B438">
            <v>80493703</v>
          </cell>
          <cell r="C438" t="str">
            <v>Original</v>
          </cell>
          <cell r="D438" t="str">
            <v>CEVA</v>
          </cell>
          <cell r="E438" t="str">
            <v>Rodoimport</v>
          </cell>
          <cell r="F438">
            <v>43847</v>
          </cell>
          <cell r="G438">
            <v>43855</v>
          </cell>
          <cell r="H438">
            <v>43857</v>
          </cell>
          <cell r="I438" t="str">
            <v>22.01.2020</v>
          </cell>
          <cell r="J438" t="str">
            <v>23.01.2020</v>
          </cell>
          <cell r="K438" t="str">
            <v>-</v>
          </cell>
          <cell r="L438" t="str">
            <v>OK</v>
          </cell>
        </row>
        <row r="439">
          <cell r="A439" t="str">
            <v>AHW-40162I20</v>
          </cell>
          <cell r="B439" t="str">
            <v>SZX245947</v>
          </cell>
          <cell r="C439" t="str">
            <v>Original</v>
          </cell>
          <cell r="D439" t="str">
            <v>PANALPINA</v>
          </cell>
          <cell r="E439" t="str">
            <v>Rodoimport</v>
          </cell>
          <cell r="F439">
            <v>43847</v>
          </cell>
          <cell r="G439">
            <v>43855</v>
          </cell>
          <cell r="H439">
            <v>43857</v>
          </cell>
          <cell r="I439" t="str">
            <v>22.01.2020</v>
          </cell>
          <cell r="J439" t="str">
            <v>23.01.2020</v>
          </cell>
          <cell r="K439" t="str">
            <v>-</v>
          </cell>
          <cell r="L439" t="str">
            <v>OK</v>
          </cell>
        </row>
        <row r="440">
          <cell r="A440" t="str">
            <v>AHW-40167I20</v>
          </cell>
          <cell r="B440" t="str">
            <v>SAME2000039</v>
          </cell>
          <cell r="C440" t="str">
            <v>Original</v>
          </cell>
          <cell r="D440" t="str">
            <v>CTS</v>
          </cell>
          <cell r="E440" t="str">
            <v>Rodoimport</v>
          </cell>
          <cell r="F440">
            <v>43847</v>
          </cell>
          <cell r="G440">
            <v>43855</v>
          </cell>
          <cell r="H440">
            <v>43857</v>
          </cell>
          <cell r="I440" t="str">
            <v>22.01.2020</v>
          </cell>
          <cell r="J440" t="str">
            <v>23.01.2020</v>
          </cell>
          <cell r="K440" t="str">
            <v>-</v>
          </cell>
          <cell r="L440" t="str">
            <v>OK</v>
          </cell>
        </row>
        <row r="441">
          <cell r="A441" t="str">
            <v>AHW-40175I20</v>
          </cell>
          <cell r="B441">
            <v>80493727</v>
          </cell>
          <cell r="C441" t="str">
            <v>Original</v>
          </cell>
          <cell r="D441" t="str">
            <v>CEVA</v>
          </cell>
          <cell r="E441" t="str">
            <v>Rodoimport</v>
          </cell>
          <cell r="F441">
            <v>43847</v>
          </cell>
          <cell r="G441">
            <v>43855</v>
          </cell>
          <cell r="H441">
            <v>43857</v>
          </cell>
          <cell r="I441" t="str">
            <v>23.01.2020</v>
          </cell>
          <cell r="J441" t="str">
            <v>23.01.2020</v>
          </cell>
          <cell r="K441" t="str">
            <v>-</v>
          </cell>
          <cell r="L441" t="str">
            <v>OK</v>
          </cell>
        </row>
        <row r="442">
          <cell r="A442" t="str">
            <v>AHW-40190I20</v>
          </cell>
          <cell r="B442">
            <v>80493759</v>
          </cell>
          <cell r="C442" t="str">
            <v>Original</v>
          </cell>
          <cell r="D442" t="str">
            <v>CEVA</v>
          </cell>
          <cell r="E442" t="str">
            <v>Rodoimport</v>
          </cell>
          <cell r="F442">
            <v>43847</v>
          </cell>
          <cell r="G442">
            <v>43855</v>
          </cell>
          <cell r="H442">
            <v>43857</v>
          </cell>
          <cell r="I442" t="str">
            <v>23.01.2020</v>
          </cell>
          <cell r="J442" t="str">
            <v>23.01.2020</v>
          </cell>
          <cell r="K442" t="str">
            <v>-</v>
          </cell>
          <cell r="L442" t="str">
            <v>OK</v>
          </cell>
        </row>
        <row r="443">
          <cell r="A443" t="str">
            <v>AHW-40197I20</v>
          </cell>
          <cell r="B443" t="str">
            <v>CTS123379</v>
          </cell>
          <cell r="C443" t="str">
            <v>Original</v>
          </cell>
          <cell r="D443" t="str">
            <v>CTS</v>
          </cell>
          <cell r="E443" t="str">
            <v>Rodoimport</v>
          </cell>
          <cell r="F443">
            <v>43847</v>
          </cell>
          <cell r="G443">
            <v>43855</v>
          </cell>
          <cell r="H443">
            <v>43857</v>
          </cell>
          <cell r="I443" t="str">
            <v>23.01.2020</v>
          </cell>
          <cell r="J443" t="str">
            <v>23.01.2020</v>
          </cell>
          <cell r="K443" t="str">
            <v>-</v>
          </cell>
          <cell r="L443" t="str">
            <v>OK</v>
          </cell>
        </row>
        <row r="444">
          <cell r="A444" t="str">
            <v>AHW-40272I20</v>
          </cell>
          <cell r="B444" t="str">
            <v>CTS122874</v>
          </cell>
          <cell r="C444" t="str">
            <v>Original</v>
          </cell>
          <cell r="D444" t="str">
            <v>CTS</v>
          </cell>
          <cell r="E444" t="str">
            <v>Rodoimport</v>
          </cell>
          <cell r="F444">
            <v>43852</v>
          </cell>
          <cell r="G444">
            <v>43860</v>
          </cell>
          <cell r="H444">
            <v>43862</v>
          </cell>
          <cell r="I444" t="str">
            <v>06.02.2020</v>
          </cell>
          <cell r="J444" t="str">
            <v>28.01.2020</v>
          </cell>
          <cell r="K444" t="str">
            <v>-</v>
          </cell>
          <cell r="L444" t="str">
            <v>OK</v>
          </cell>
        </row>
        <row r="445">
          <cell r="A445" t="str">
            <v>SHW-45827I19</v>
          </cell>
          <cell r="B445" t="str">
            <v>EGLV149906203481</v>
          </cell>
          <cell r="C445" t="str">
            <v>Original</v>
          </cell>
          <cell r="D445" t="str">
            <v>Panalpina</v>
          </cell>
          <cell r="E445" t="str">
            <v>TKT</v>
          </cell>
          <cell r="F445">
            <v>43852</v>
          </cell>
          <cell r="G445">
            <v>43860</v>
          </cell>
          <cell r="H445">
            <v>43862</v>
          </cell>
          <cell r="I445" t="str">
            <v>10.02.2020</v>
          </cell>
          <cell r="J445" t="str">
            <v>28.01.2020</v>
          </cell>
          <cell r="K445" t="str">
            <v>-</v>
          </cell>
          <cell r="L445" t="str">
            <v>OK</v>
          </cell>
        </row>
        <row r="446">
          <cell r="A446" t="str">
            <v>AHW-40276I20</v>
          </cell>
          <cell r="B446">
            <v>80493837</v>
          </cell>
          <cell r="C446" t="str">
            <v>Original</v>
          </cell>
          <cell r="D446" t="str">
            <v>CEVA</v>
          </cell>
          <cell r="E446" t="str">
            <v>Rodoimport</v>
          </cell>
          <cell r="F446">
            <v>43854</v>
          </cell>
          <cell r="G446">
            <v>43862</v>
          </cell>
          <cell r="H446">
            <v>43864</v>
          </cell>
          <cell r="I446" t="str">
            <v>07.02.2020</v>
          </cell>
          <cell r="J446" t="str">
            <v>28.01.2020</v>
          </cell>
          <cell r="K446" t="str">
            <v>-</v>
          </cell>
          <cell r="L446" t="str">
            <v>OK</v>
          </cell>
        </row>
        <row r="447">
          <cell r="A447" t="str">
            <v>AHW-40277I20</v>
          </cell>
          <cell r="B447" t="str">
            <v>CTS123401</v>
          </cell>
          <cell r="C447" t="str">
            <v>Original</v>
          </cell>
          <cell r="D447" t="str">
            <v>CTS</v>
          </cell>
          <cell r="E447" t="str">
            <v>Rodoimport</v>
          </cell>
          <cell r="F447">
            <v>43854</v>
          </cell>
          <cell r="G447">
            <v>43862</v>
          </cell>
          <cell r="H447">
            <v>43864</v>
          </cell>
          <cell r="I447" t="str">
            <v>07.02.2020</v>
          </cell>
          <cell r="J447" t="str">
            <v>28.01.2020</v>
          </cell>
          <cell r="K447" t="str">
            <v>-</v>
          </cell>
          <cell r="L447" t="str">
            <v>OK</v>
          </cell>
        </row>
        <row r="448">
          <cell r="A448" t="str">
            <v>AHW-40319I20</v>
          </cell>
          <cell r="B448" t="str">
            <v>CTS123407</v>
          </cell>
          <cell r="C448" t="str">
            <v>Original</v>
          </cell>
          <cell r="D448" t="str">
            <v>CTS</v>
          </cell>
          <cell r="E448" t="str">
            <v>Rodoimport</v>
          </cell>
          <cell r="F448">
            <v>43854</v>
          </cell>
          <cell r="G448">
            <v>43862</v>
          </cell>
          <cell r="H448">
            <v>43864</v>
          </cell>
          <cell r="I448" t="str">
            <v>07.02.2020</v>
          </cell>
          <cell r="J448" t="str">
            <v>28.01.2020</v>
          </cell>
          <cell r="K448" t="str">
            <v>-</v>
          </cell>
          <cell r="L448" t="str">
            <v>OK</v>
          </cell>
        </row>
        <row r="449">
          <cell r="A449" t="str">
            <v>SHW-40119I20</v>
          </cell>
          <cell r="B449" t="str">
            <v>EGLV149906393662</v>
          </cell>
          <cell r="C449" t="str">
            <v>Original</v>
          </cell>
          <cell r="D449" t="str">
            <v>Panalpina</v>
          </cell>
          <cell r="E449" t="str">
            <v>TKT</v>
          </cell>
          <cell r="F449">
            <v>43859</v>
          </cell>
          <cell r="G449">
            <v>43867</v>
          </cell>
          <cell r="H449">
            <v>43869</v>
          </cell>
          <cell r="I449" t="str">
            <v>10.02.2020</v>
          </cell>
          <cell r="J449" t="str">
            <v>31.01.2020</v>
          </cell>
          <cell r="K449" t="str">
            <v>-</v>
          </cell>
          <cell r="L449" t="str">
            <v>OK</v>
          </cell>
        </row>
        <row r="450">
          <cell r="A450" t="str">
            <v>AHW-40450I20</v>
          </cell>
          <cell r="B450" t="str">
            <v>CTS123427</v>
          </cell>
          <cell r="C450" t="str">
            <v>Original</v>
          </cell>
          <cell r="D450" t="str">
            <v>CTS</v>
          </cell>
          <cell r="E450" t="str">
            <v>Rodoimport</v>
          </cell>
          <cell r="F450">
            <v>43860</v>
          </cell>
          <cell r="G450">
            <v>43868</v>
          </cell>
          <cell r="H450">
            <v>43870</v>
          </cell>
          <cell r="I450" t="str">
            <v>10.02.2020</v>
          </cell>
          <cell r="J450" t="str">
            <v>07.02.2020</v>
          </cell>
          <cell r="K450" t="str">
            <v>-</v>
          </cell>
          <cell r="L450" t="str">
            <v>OK</v>
          </cell>
        </row>
        <row r="451">
          <cell r="A451" t="str">
            <v>AHW-40366I20</v>
          </cell>
          <cell r="B451" t="str">
            <v>CTS123412</v>
          </cell>
          <cell r="C451" t="str">
            <v>Original</v>
          </cell>
          <cell r="D451" t="str">
            <v>CTS</v>
          </cell>
          <cell r="E451" t="str">
            <v>Rodoimport</v>
          </cell>
          <cell r="F451">
            <v>43865</v>
          </cell>
          <cell r="G451">
            <v>43873</v>
          </cell>
          <cell r="H451">
            <v>43875</v>
          </cell>
          <cell r="I451" t="str">
            <v>12.02.2020</v>
          </cell>
          <cell r="J451" t="str">
            <v>11.02.2020</v>
          </cell>
          <cell r="K451" t="str">
            <v>-</v>
          </cell>
          <cell r="L451" t="str">
            <v>OK</v>
          </cell>
        </row>
        <row r="452">
          <cell r="A452" t="str">
            <v>AHW-40411I20</v>
          </cell>
          <cell r="B452" t="str">
            <v>CTS123423</v>
          </cell>
          <cell r="C452" t="str">
            <v>Original</v>
          </cell>
          <cell r="D452" t="str">
            <v>CTS</v>
          </cell>
          <cell r="E452" t="str">
            <v>Rodoimport</v>
          </cell>
          <cell r="F452">
            <v>43865</v>
          </cell>
          <cell r="G452">
            <v>43873</v>
          </cell>
          <cell r="H452">
            <v>43875</v>
          </cell>
          <cell r="I452" t="str">
            <v>12.02.2020</v>
          </cell>
          <cell r="J452" t="str">
            <v>11.02.2020</v>
          </cell>
          <cell r="K452" t="str">
            <v>-</v>
          </cell>
          <cell r="L452" t="str">
            <v>OK</v>
          </cell>
        </row>
        <row r="453">
          <cell r="A453" t="str">
            <v>AHW-40414I20</v>
          </cell>
          <cell r="B453" t="str">
            <v>CTS123420</v>
          </cell>
          <cell r="C453" t="str">
            <v>Original</v>
          </cell>
          <cell r="D453" t="str">
            <v>CTS</v>
          </cell>
          <cell r="E453" t="str">
            <v>Rodoimport</v>
          </cell>
          <cell r="F453">
            <v>43866</v>
          </cell>
          <cell r="G453">
            <v>43874</v>
          </cell>
          <cell r="H453">
            <v>43876</v>
          </cell>
          <cell r="I453" t="str">
            <v>10.02.2020</v>
          </cell>
          <cell r="J453" t="str">
            <v>11.02.2020</v>
          </cell>
          <cell r="K453" t="str">
            <v>-</v>
          </cell>
          <cell r="L453" t="str">
            <v>OK</v>
          </cell>
        </row>
        <row r="454">
          <cell r="A454" t="str">
            <v>AHW-40532I20</v>
          </cell>
          <cell r="B454" t="str">
            <v>CTS123554</v>
          </cell>
          <cell r="C454" t="str">
            <v>Original</v>
          </cell>
          <cell r="D454" t="str">
            <v>CTS</v>
          </cell>
          <cell r="E454" t="str">
            <v>Rodoimport</v>
          </cell>
          <cell r="F454">
            <v>43866</v>
          </cell>
          <cell r="G454">
            <v>43874</v>
          </cell>
          <cell r="H454">
            <v>43876</v>
          </cell>
          <cell r="I454" t="str">
            <v>10.02.2020</v>
          </cell>
          <cell r="J454" t="str">
            <v>11.02.2020</v>
          </cell>
          <cell r="K454" t="str">
            <v>-</v>
          </cell>
          <cell r="L454" t="str">
            <v>OK</v>
          </cell>
        </row>
        <row r="455">
          <cell r="A455" t="str">
            <v>AHW-40533I20</v>
          </cell>
          <cell r="B455" t="str">
            <v>CTS123555</v>
          </cell>
          <cell r="C455" t="str">
            <v>Original</v>
          </cell>
          <cell r="D455" t="str">
            <v>CTS</v>
          </cell>
          <cell r="E455" t="str">
            <v>Rodoimport</v>
          </cell>
          <cell r="F455">
            <v>43866</v>
          </cell>
          <cell r="G455">
            <v>43874</v>
          </cell>
          <cell r="H455">
            <v>43876</v>
          </cell>
          <cell r="I455" t="str">
            <v>10.02.2020</v>
          </cell>
          <cell r="J455" t="str">
            <v>11.02.2020</v>
          </cell>
          <cell r="K455" t="str">
            <v>-</v>
          </cell>
          <cell r="L455" t="str">
            <v>OK</v>
          </cell>
        </row>
        <row r="456">
          <cell r="A456" t="str">
            <v>AHW-40404I20</v>
          </cell>
          <cell r="B456" t="str">
            <v>CTS123566</v>
          </cell>
          <cell r="C456" t="str">
            <v>Original</v>
          </cell>
          <cell r="D456" t="str">
            <v>CTS</v>
          </cell>
          <cell r="E456" t="str">
            <v>Rodoimport</v>
          </cell>
          <cell r="F456">
            <v>43871</v>
          </cell>
          <cell r="G456">
            <v>43879</v>
          </cell>
          <cell r="H456">
            <v>43881</v>
          </cell>
          <cell r="I456" t="str">
            <v>14.02.2020</v>
          </cell>
          <cell r="J456" t="str">
            <v>19.02.2020</v>
          </cell>
          <cell r="K456" t="str">
            <v>-</v>
          </cell>
          <cell r="L456" t="str">
            <v>OK</v>
          </cell>
        </row>
        <row r="457">
          <cell r="A457" t="str">
            <v>AHW-40410I20</v>
          </cell>
          <cell r="B457" t="str">
            <v>CTS123575</v>
          </cell>
          <cell r="C457" t="str">
            <v>Original</v>
          </cell>
          <cell r="D457" t="str">
            <v>CTS</v>
          </cell>
          <cell r="E457" t="str">
            <v>Rodoimport</v>
          </cell>
          <cell r="F457">
            <v>43871</v>
          </cell>
          <cell r="G457">
            <v>43879</v>
          </cell>
          <cell r="H457">
            <v>43881</v>
          </cell>
          <cell r="I457" t="str">
            <v>14.02.2020</v>
          </cell>
          <cell r="J457" t="str">
            <v>19.02.2020</v>
          </cell>
          <cell r="K457" t="str">
            <v>-</v>
          </cell>
          <cell r="L457" t="str">
            <v>OK</v>
          </cell>
        </row>
        <row r="458">
          <cell r="A458" t="str">
            <v>SHW-40113I20</v>
          </cell>
          <cell r="B458" t="str">
            <v>EGLV149000165858</v>
          </cell>
          <cell r="C458" t="str">
            <v>Original</v>
          </cell>
          <cell r="D458" t="str">
            <v>Panalpina</v>
          </cell>
          <cell r="E458" t="str">
            <v>TKT</v>
          </cell>
          <cell r="F458">
            <v>43873</v>
          </cell>
          <cell r="G458">
            <v>43881</v>
          </cell>
          <cell r="H458">
            <v>43883</v>
          </cell>
          <cell r="I458" t="str">
            <v>17.02.2020</v>
          </cell>
          <cell r="J458" t="str">
            <v>12.02.2020</v>
          </cell>
          <cell r="K458" t="str">
            <v>-</v>
          </cell>
          <cell r="L458" t="str">
            <v>OK</v>
          </cell>
        </row>
        <row r="459">
          <cell r="A459" t="str">
            <v>AHW-40559I20</v>
          </cell>
          <cell r="B459" t="str">
            <v>CTS123581</v>
          </cell>
          <cell r="C459" t="str">
            <v>Original</v>
          </cell>
          <cell r="D459" t="str">
            <v>CTS</v>
          </cell>
          <cell r="E459" t="str">
            <v>Rodoimport</v>
          </cell>
          <cell r="F459">
            <v>43875</v>
          </cell>
          <cell r="G459">
            <v>43883</v>
          </cell>
          <cell r="H459">
            <v>43885</v>
          </cell>
          <cell r="I459" t="str">
            <v>21.02.2020</v>
          </cell>
          <cell r="J459" t="str">
            <v>19.02.2020</v>
          </cell>
          <cell r="K459" t="str">
            <v>-</v>
          </cell>
          <cell r="L459" t="str">
            <v>OK</v>
          </cell>
        </row>
        <row r="460">
          <cell r="A460" t="str">
            <v>AHW-40560I20</v>
          </cell>
          <cell r="B460" t="str">
            <v>CTS126225</v>
          </cell>
          <cell r="C460" t="str">
            <v>Original</v>
          </cell>
          <cell r="D460" t="str">
            <v>CTS</v>
          </cell>
          <cell r="E460" t="str">
            <v>Rodoimport</v>
          </cell>
          <cell r="F460">
            <v>43875</v>
          </cell>
          <cell r="G460">
            <v>43883</v>
          </cell>
          <cell r="H460">
            <v>43885</v>
          </cell>
          <cell r="I460" t="str">
            <v>21.02.2020</v>
          </cell>
          <cell r="J460" t="str">
            <v>19.02.2020</v>
          </cell>
          <cell r="K460" t="str">
            <v>-</v>
          </cell>
          <cell r="L460" t="str">
            <v>OK</v>
          </cell>
        </row>
        <row r="461">
          <cell r="A461" t="str">
            <v>AHW-40664I20</v>
          </cell>
          <cell r="B461" t="str">
            <v>CTS126248</v>
          </cell>
          <cell r="C461" t="str">
            <v>Original</v>
          </cell>
          <cell r="D461" t="str">
            <v>CTS</v>
          </cell>
          <cell r="E461" t="str">
            <v>Rodoimport</v>
          </cell>
          <cell r="F461">
            <v>43878</v>
          </cell>
          <cell r="G461">
            <v>43886</v>
          </cell>
          <cell r="H461">
            <v>43888</v>
          </cell>
          <cell r="I461" t="str">
            <v>21.02.2020</v>
          </cell>
          <cell r="J461" t="str">
            <v>19.02.2020</v>
          </cell>
          <cell r="K461" t="str">
            <v>-</v>
          </cell>
          <cell r="L461" t="str">
            <v>OK</v>
          </cell>
        </row>
        <row r="462">
          <cell r="A462" t="str">
            <v>AHW-40667I20</v>
          </cell>
          <cell r="B462" t="str">
            <v>CTS126247</v>
          </cell>
          <cell r="C462" t="str">
            <v>Original</v>
          </cell>
          <cell r="D462" t="str">
            <v>CTS</v>
          </cell>
          <cell r="E462" t="str">
            <v>Rodoimport</v>
          </cell>
          <cell r="F462">
            <v>43878</v>
          </cell>
          <cell r="G462">
            <v>43886</v>
          </cell>
          <cell r="H462">
            <v>43888</v>
          </cell>
          <cell r="I462" t="str">
            <v>21.02.2020</v>
          </cell>
          <cell r="J462" t="str">
            <v>19.02.2020</v>
          </cell>
          <cell r="K462" t="str">
            <v>-</v>
          </cell>
          <cell r="L462" t="str">
            <v>OK</v>
          </cell>
        </row>
        <row r="463">
          <cell r="A463" t="str">
            <v>AHW-40675I20</v>
          </cell>
          <cell r="B463" t="str">
            <v>CTS126261</v>
          </cell>
          <cell r="C463" t="str">
            <v>Original</v>
          </cell>
          <cell r="D463" t="str">
            <v>CTS</v>
          </cell>
          <cell r="E463" t="str">
            <v>Rodoimport</v>
          </cell>
          <cell r="F463">
            <v>43878</v>
          </cell>
          <cell r="G463">
            <v>43886</v>
          </cell>
          <cell r="H463">
            <v>43888</v>
          </cell>
          <cell r="I463" t="str">
            <v>21.02.2020</v>
          </cell>
          <cell r="J463" t="str">
            <v>19.02.2020</v>
          </cell>
          <cell r="K463" t="str">
            <v>-</v>
          </cell>
          <cell r="L463" t="str">
            <v>OK</v>
          </cell>
        </row>
        <row r="464">
          <cell r="A464" t="str">
            <v>AHW-40684I20</v>
          </cell>
          <cell r="B464" t="str">
            <v>CTS126298</v>
          </cell>
          <cell r="C464" t="str">
            <v>Original</v>
          </cell>
          <cell r="D464" t="str">
            <v>CTS</v>
          </cell>
          <cell r="E464" t="str">
            <v>Rodoimport</v>
          </cell>
          <cell r="F464">
            <v>43880</v>
          </cell>
          <cell r="G464">
            <v>43888</v>
          </cell>
          <cell r="H464">
            <v>43890</v>
          </cell>
          <cell r="I464" t="str">
            <v>06.03.2020</v>
          </cell>
          <cell r="J464" t="str">
            <v>03.03.2020</v>
          </cell>
          <cell r="K464" t="str">
            <v>-</v>
          </cell>
          <cell r="L464" t="str">
            <v>OK</v>
          </cell>
        </row>
        <row r="465">
          <cell r="A465" t="str">
            <v>SHW-40271I20</v>
          </cell>
          <cell r="B465" t="str">
            <v>EGLV149000176060</v>
          </cell>
          <cell r="C465" t="str">
            <v>Original</v>
          </cell>
          <cell r="D465" t="str">
            <v>Panalpina</v>
          </cell>
          <cell r="E465" t="str">
            <v>TKT</v>
          </cell>
          <cell r="F465">
            <v>43880</v>
          </cell>
          <cell r="G465">
            <v>43888</v>
          </cell>
          <cell r="H465">
            <v>43890</v>
          </cell>
          <cell r="I465" t="str">
            <v>13.03.2020</v>
          </cell>
          <cell r="J465" t="str">
            <v>26.02.2020</v>
          </cell>
          <cell r="K465" t="str">
            <v>-</v>
          </cell>
          <cell r="L465" t="str">
            <v>OK</v>
          </cell>
        </row>
        <row r="466">
          <cell r="A466" t="str">
            <v>SHW-40116I20</v>
          </cell>
          <cell r="B466" t="str">
            <v>EGLV149000195986</v>
          </cell>
          <cell r="C466" t="str">
            <v>Original</v>
          </cell>
          <cell r="D466" t="str">
            <v>Panalpina</v>
          </cell>
          <cell r="E466" t="str">
            <v>TKT</v>
          </cell>
          <cell r="F466">
            <v>43880</v>
          </cell>
          <cell r="G466">
            <v>43888</v>
          </cell>
          <cell r="H466">
            <v>43890</v>
          </cell>
          <cell r="I466" t="str">
            <v>13.03.2020</v>
          </cell>
          <cell r="J466" t="str">
            <v>26.02.2020</v>
          </cell>
          <cell r="K466" t="str">
            <v>-</v>
          </cell>
          <cell r="L466" t="str">
            <v>OK</v>
          </cell>
        </row>
        <row r="467">
          <cell r="A467" t="str">
            <v>SHW-40191I20</v>
          </cell>
          <cell r="B467" t="str">
            <v>EGLV149000195391</v>
          </cell>
          <cell r="C467" t="str">
            <v>Original</v>
          </cell>
          <cell r="D467" t="str">
            <v>Panalpina</v>
          </cell>
          <cell r="E467" t="str">
            <v>TKT</v>
          </cell>
          <cell r="F467">
            <v>43880</v>
          </cell>
          <cell r="G467">
            <v>43888</v>
          </cell>
          <cell r="H467">
            <v>43890</v>
          </cell>
          <cell r="I467" t="str">
            <v>13.03.2020</v>
          </cell>
          <cell r="J467" t="str">
            <v>26.02.2020</v>
          </cell>
          <cell r="K467" t="str">
            <v>-</v>
          </cell>
          <cell r="L467" t="str">
            <v>OK</v>
          </cell>
        </row>
        <row r="468">
          <cell r="A468" t="str">
            <v>SHW-40194I20</v>
          </cell>
          <cell r="B468" t="str">
            <v>EGLV149906444046</v>
          </cell>
          <cell r="C468" t="str">
            <v>Original</v>
          </cell>
          <cell r="D468" t="str">
            <v>Panalpina</v>
          </cell>
          <cell r="E468" t="str">
            <v>TKT</v>
          </cell>
          <cell r="F468">
            <v>43881</v>
          </cell>
          <cell r="G468">
            <v>43889</v>
          </cell>
          <cell r="H468">
            <v>43891</v>
          </cell>
          <cell r="I468" t="str">
            <v>13.03.2020</v>
          </cell>
          <cell r="J468" t="str">
            <v>26.02.2020</v>
          </cell>
          <cell r="K468" t="str">
            <v>-</v>
          </cell>
          <cell r="L468" t="str">
            <v>OK</v>
          </cell>
        </row>
        <row r="469">
          <cell r="A469" t="str">
            <v>SHW-40268I20</v>
          </cell>
          <cell r="B469" t="str">
            <v>EGLV149906438941</v>
          </cell>
          <cell r="C469" t="str">
            <v>Original</v>
          </cell>
          <cell r="D469" t="str">
            <v>Panalpina</v>
          </cell>
          <cell r="E469" t="str">
            <v>TKT</v>
          </cell>
          <cell r="F469">
            <v>43881</v>
          </cell>
          <cell r="G469">
            <v>43889</v>
          </cell>
          <cell r="H469">
            <v>43891</v>
          </cell>
          <cell r="I469" t="str">
            <v>13.03.2020</v>
          </cell>
          <cell r="J469" t="str">
            <v>26.02.2020</v>
          </cell>
          <cell r="K469" t="str">
            <v>-</v>
          </cell>
          <cell r="L469" t="str">
            <v>OK</v>
          </cell>
        </row>
        <row r="470">
          <cell r="A470" t="str">
            <v>AHW-40676I20</v>
          </cell>
          <cell r="B470" t="str">
            <v>CTS126262</v>
          </cell>
          <cell r="C470" t="str">
            <v>Original</v>
          </cell>
          <cell r="D470" t="str">
            <v>CTS</v>
          </cell>
          <cell r="E470" t="str">
            <v>Rodoimport</v>
          </cell>
          <cell r="F470">
            <v>43882</v>
          </cell>
          <cell r="G470">
            <v>43890</v>
          </cell>
          <cell r="H470">
            <v>43892</v>
          </cell>
          <cell r="I470" t="str">
            <v>06.03.2020</v>
          </cell>
          <cell r="J470" t="str">
            <v>03.03.2020</v>
          </cell>
          <cell r="K470" t="str">
            <v>-</v>
          </cell>
          <cell r="L470" t="str">
            <v>OK</v>
          </cell>
        </row>
        <row r="471">
          <cell r="A471" t="str">
            <v>AHW-40677I20</v>
          </cell>
          <cell r="B471" t="str">
            <v>CTS126284</v>
          </cell>
          <cell r="C471" t="str">
            <v>Original</v>
          </cell>
          <cell r="D471" t="str">
            <v>CTS</v>
          </cell>
          <cell r="E471" t="str">
            <v>Rodoimport</v>
          </cell>
          <cell r="F471">
            <v>43882</v>
          </cell>
          <cell r="G471">
            <v>43890</v>
          </cell>
          <cell r="H471">
            <v>43892</v>
          </cell>
          <cell r="I471" t="str">
            <v>06.03.2020</v>
          </cell>
          <cell r="J471" t="str">
            <v>03.03.2020</v>
          </cell>
          <cell r="K471" t="str">
            <v>-</v>
          </cell>
          <cell r="L471" t="str">
            <v>OK</v>
          </cell>
        </row>
        <row r="472">
          <cell r="A472" t="str">
            <v>AHW-40689I20</v>
          </cell>
          <cell r="B472" t="str">
            <v>CTS126315</v>
          </cell>
          <cell r="C472" t="str">
            <v>Original</v>
          </cell>
          <cell r="D472" t="str">
            <v>CTS</v>
          </cell>
          <cell r="E472" t="str">
            <v>Rodoimport</v>
          </cell>
          <cell r="F472">
            <v>43882</v>
          </cell>
          <cell r="G472">
            <v>43890</v>
          </cell>
          <cell r="H472">
            <v>43892</v>
          </cell>
          <cell r="I472" t="str">
            <v>06.03.2020</v>
          </cell>
          <cell r="J472" t="str">
            <v>03.03.2020</v>
          </cell>
          <cell r="K472" t="str">
            <v>-</v>
          </cell>
          <cell r="L472" t="str">
            <v>OK</v>
          </cell>
        </row>
        <row r="473">
          <cell r="A473" t="str">
            <v>AHW-40700I20</v>
          </cell>
          <cell r="B473" t="str">
            <v>CTS126325</v>
          </cell>
          <cell r="C473" t="str">
            <v>Original</v>
          </cell>
          <cell r="D473" t="str">
            <v>CTS</v>
          </cell>
          <cell r="E473" t="str">
            <v>Rodoimport</v>
          </cell>
          <cell r="F473">
            <v>43882</v>
          </cell>
          <cell r="G473">
            <v>43890</v>
          </cell>
          <cell r="H473">
            <v>43892</v>
          </cell>
          <cell r="I473" t="str">
            <v>06.03.2020</v>
          </cell>
          <cell r="J473" t="str">
            <v>03.03.2020</v>
          </cell>
          <cell r="K473" t="str">
            <v>-</v>
          </cell>
          <cell r="L473" t="str">
            <v>OK</v>
          </cell>
        </row>
        <row r="474">
          <cell r="A474" t="str">
            <v>AHW-40702I20</v>
          </cell>
          <cell r="B474" t="str">
            <v>CTS126383</v>
          </cell>
          <cell r="C474" t="str">
            <v>Original</v>
          </cell>
          <cell r="D474" t="str">
            <v>CTS</v>
          </cell>
          <cell r="E474" t="str">
            <v>Rodoimport</v>
          </cell>
          <cell r="F474">
            <v>43887</v>
          </cell>
          <cell r="G474">
            <v>43895</v>
          </cell>
          <cell r="H474">
            <v>43897</v>
          </cell>
          <cell r="I474" t="str">
            <v>06.03.2020</v>
          </cell>
          <cell r="J474" t="str">
            <v>06.03.2020</v>
          </cell>
          <cell r="K474" t="str">
            <v>-</v>
          </cell>
          <cell r="L474" t="str">
            <v>OK</v>
          </cell>
        </row>
        <row r="475">
          <cell r="A475" t="str">
            <v>AHW-40704I20</v>
          </cell>
          <cell r="B475" t="str">
            <v>CTS126382</v>
          </cell>
          <cell r="C475" t="str">
            <v>Original</v>
          </cell>
          <cell r="D475" t="str">
            <v>CTS</v>
          </cell>
          <cell r="E475" t="str">
            <v>Rodoimport</v>
          </cell>
          <cell r="F475">
            <v>43887</v>
          </cell>
          <cell r="G475">
            <v>43895</v>
          </cell>
          <cell r="H475">
            <v>43897</v>
          </cell>
          <cell r="I475" t="str">
            <v>06.03.2020</v>
          </cell>
          <cell r="J475" t="str">
            <v>06.03.2020</v>
          </cell>
          <cell r="K475" t="str">
            <v>-</v>
          </cell>
          <cell r="L475" t="str">
            <v>OK</v>
          </cell>
        </row>
        <row r="476">
          <cell r="A476" t="str">
            <v>AHW-40695I20</v>
          </cell>
          <cell r="B476" t="str">
            <v>CTS126354</v>
          </cell>
          <cell r="C476" t="str">
            <v>Original</v>
          </cell>
          <cell r="D476" t="str">
            <v>CTS</v>
          </cell>
          <cell r="E476" t="str">
            <v>Rodoimport</v>
          </cell>
          <cell r="F476">
            <v>43888</v>
          </cell>
          <cell r="G476">
            <v>43896</v>
          </cell>
          <cell r="H476">
            <v>43898</v>
          </cell>
          <cell r="I476" t="str">
            <v>06.03.2020</v>
          </cell>
          <cell r="J476" t="str">
            <v>06.03.2020</v>
          </cell>
          <cell r="K476" t="str">
            <v>-</v>
          </cell>
          <cell r="L476" t="str">
            <v>OK</v>
          </cell>
        </row>
        <row r="477">
          <cell r="A477" t="str">
            <v>AHW-40698I20</v>
          </cell>
          <cell r="B477" t="str">
            <v>CTS126338</v>
          </cell>
          <cell r="C477" t="str">
            <v>Original</v>
          </cell>
          <cell r="D477" t="str">
            <v>CTS</v>
          </cell>
          <cell r="E477" t="str">
            <v>Rodoimport</v>
          </cell>
          <cell r="F477">
            <v>43888</v>
          </cell>
          <cell r="G477">
            <v>43896</v>
          </cell>
          <cell r="H477">
            <v>43898</v>
          </cell>
          <cell r="I477" t="str">
            <v>06.03.2020</v>
          </cell>
          <cell r="J477" t="str">
            <v>06.03.2020</v>
          </cell>
          <cell r="K477" t="str">
            <v>-</v>
          </cell>
          <cell r="L477" t="str">
            <v>OK</v>
          </cell>
        </row>
        <row r="478">
          <cell r="A478" t="str">
            <v>SHW-40362I20</v>
          </cell>
          <cell r="B478" t="str">
            <v>EGLV149000234396</v>
          </cell>
          <cell r="C478" t="str">
            <v>Original</v>
          </cell>
          <cell r="D478" t="str">
            <v>Panalpina</v>
          </cell>
          <cell r="E478" t="str">
            <v>TKT</v>
          </cell>
          <cell r="F478">
            <v>43888</v>
          </cell>
          <cell r="G478">
            <v>43896</v>
          </cell>
          <cell r="H478">
            <v>43898</v>
          </cell>
          <cell r="I478" t="str">
            <v>06.03.2020</v>
          </cell>
          <cell r="J478" t="str">
            <v>05.03.2020</v>
          </cell>
          <cell r="K478" t="str">
            <v>-</v>
          </cell>
          <cell r="L478" t="str">
            <v>OK</v>
          </cell>
        </row>
        <row r="479">
          <cell r="A479" t="str">
            <v>AHW-40747I20</v>
          </cell>
          <cell r="B479" t="str">
            <v>CTS126406</v>
          </cell>
          <cell r="C479" t="str">
            <v>Original</v>
          </cell>
          <cell r="D479" t="str">
            <v>CTS</v>
          </cell>
          <cell r="E479" t="str">
            <v>Rodoimport</v>
          </cell>
          <cell r="F479">
            <v>43889</v>
          </cell>
          <cell r="G479">
            <v>43897</v>
          </cell>
          <cell r="H479">
            <v>43899</v>
          </cell>
          <cell r="I479" t="str">
            <v>11.03.2020</v>
          </cell>
          <cell r="J479" t="str">
            <v>06.03.2020</v>
          </cell>
          <cell r="K479" t="str">
            <v>-</v>
          </cell>
          <cell r="L479" t="str">
            <v>OK</v>
          </cell>
        </row>
        <row r="480">
          <cell r="A480" t="str">
            <v>AHW-40765I20</v>
          </cell>
          <cell r="B480" t="str">
            <v>CTS126433</v>
          </cell>
          <cell r="C480" t="str">
            <v>Original</v>
          </cell>
          <cell r="D480" t="str">
            <v>CTS</v>
          </cell>
          <cell r="E480" t="str">
            <v>Rodoimport</v>
          </cell>
          <cell r="F480">
            <v>43889</v>
          </cell>
          <cell r="G480">
            <v>43897</v>
          </cell>
          <cell r="H480">
            <v>43899</v>
          </cell>
          <cell r="I480" t="str">
            <v>11.03.2020</v>
          </cell>
          <cell r="J480" t="str">
            <v>06.03.2020</v>
          </cell>
          <cell r="K480" t="str">
            <v>-</v>
          </cell>
          <cell r="L480" t="str">
            <v>OK</v>
          </cell>
        </row>
        <row r="481">
          <cell r="A481" t="str">
            <v>SHW-40440I20</v>
          </cell>
          <cell r="B481" t="str">
            <v>EGLV149000254745</v>
          </cell>
          <cell r="C481" t="str">
            <v>Original</v>
          </cell>
          <cell r="D481" t="str">
            <v>Panalpina</v>
          </cell>
          <cell r="E481" t="str">
            <v>TKT</v>
          </cell>
          <cell r="F481">
            <v>43892</v>
          </cell>
          <cell r="G481">
            <v>43900</v>
          </cell>
          <cell r="H481">
            <v>43902</v>
          </cell>
          <cell r="I481" t="str">
            <v>13.03.2020</v>
          </cell>
          <cell r="J481" t="str">
            <v>02.03.2020</v>
          </cell>
          <cell r="K481" t="str">
            <v>-</v>
          </cell>
          <cell r="L481" t="str">
            <v>OK</v>
          </cell>
        </row>
        <row r="482">
          <cell r="A482" t="str">
            <v>SHW-40365I20</v>
          </cell>
          <cell r="B482" t="str">
            <v>EGLV149000234361</v>
          </cell>
          <cell r="C482" t="str">
            <v>Original</v>
          </cell>
          <cell r="D482" t="str">
            <v>Panalpina</v>
          </cell>
          <cell r="E482" t="str">
            <v>TKT</v>
          </cell>
          <cell r="F482">
            <v>43892</v>
          </cell>
          <cell r="G482">
            <v>43900</v>
          </cell>
          <cell r="H482">
            <v>43902</v>
          </cell>
          <cell r="I482" t="str">
            <v>13.03.2020</v>
          </cell>
          <cell r="J482" t="str">
            <v>05.03.2020</v>
          </cell>
          <cell r="K482" t="str">
            <v>-</v>
          </cell>
          <cell r="L482" t="str">
            <v>OK</v>
          </cell>
        </row>
        <row r="483">
          <cell r="A483" t="str">
            <v>AHW-40782I20</v>
          </cell>
          <cell r="B483" t="str">
            <v>CTS126495</v>
          </cell>
          <cell r="C483" t="str">
            <v>Original</v>
          </cell>
          <cell r="D483" t="str">
            <v>CTS</v>
          </cell>
          <cell r="E483" t="str">
            <v>Rodoimport</v>
          </cell>
          <cell r="F483">
            <v>43892</v>
          </cell>
          <cell r="G483">
            <v>43900</v>
          </cell>
          <cell r="H483">
            <v>43902</v>
          </cell>
          <cell r="I483" t="str">
            <v>11.03.2020</v>
          </cell>
          <cell r="J483" t="str">
            <v>11.03.2020</v>
          </cell>
          <cell r="K483" t="str">
            <v>-</v>
          </cell>
          <cell r="L483" t="str">
            <v>OK</v>
          </cell>
        </row>
        <row r="484">
          <cell r="A484" t="str">
            <v>AHW-40751I20</v>
          </cell>
          <cell r="B484" t="str">
            <v>CTS126422</v>
          </cell>
          <cell r="C484" t="str">
            <v>Original</v>
          </cell>
          <cell r="D484" t="str">
            <v>CTS</v>
          </cell>
          <cell r="E484" t="str">
            <v>Rodoimport</v>
          </cell>
          <cell r="F484">
            <v>43893</v>
          </cell>
          <cell r="G484">
            <v>43901</v>
          </cell>
          <cell r="H484">
            <v>43903</v>
          </cell>
          <cell r="I484" t="str">
            <v>11.03.2020</v>
          </cell>
          <cell r="J484" t="str">
            <v>11.03.2020</v>
          </cell>
          <cell r="K484" t="str">
            <v>-</v>
          </cell>
          <cell r="L484" t="str">
            <v>OK</v>
          </cell>
        </row>
        <row r="485">
          <cell r="A485" t="str">
            <v>AHW-40820I20</v>
          </cell>
          <cell r="B485" t="str">
            <v>CTS126455</v>
          </cell>
          <cell r="C485" t="str">
            <v>Original</v>
          </cell>
          <cell r="D485" t="str">
            <v>CTS</v>
          </cell>
          <cell r="E485" t="str">
            <v>Rodoimport</v>
          </cell>
          <cell r="F485">
            <v>43894</v>
          </cell>
          <cell r="G485">
            <v>43902</v>
          </cell>
          <cell r="H485">
            <v>43904</v>
          </cell>
          <cell r="I485" t="str">
            <v>12.03.2020</v>
          </cell>
          <cell r="J485" t="str">
            <v>11.03.2020</v>
          </cell>
          <cell r="K485" t="str">
            <v>-</v>
          </cell>
          <cell r="L485" t="str">
            <v>OK</v>
          </cell>
        </row>
        <row r="486">
          <cell r="A486" t="str">
            <v>AHW-40822I20</v>
          </cell>
          <cell r="B486" t="str">
            <v>CTS126478</v>
          </cell>
          <cell r="C486" t="str">
            <v>Original</v>
          </cell>
          <cell r="D486" t="str">
            <v>CTS</v>
          </cell>
          <cell r="E486" t="str">
            <v>Rodoimport</v>
          </cell>
          <cell r="F486">
            <v>43894</v>
          </cell>
          <cell r="G486">
            <v>43902</v>
          </cell>
          <cell r="H486">
            <v>43904</v>
          </cell>
          <cell r="I486" t="str">
            <v>12.03.2020</v>
          </cell>
          <cell r="J486" t="str">
            <v>11.03.2020</v>
          </cell>
          <cell r="K486" t="str">
            <v>-</v>
          </cell>
          <cell r="L486" t="str">
            <v>OK</v>
          </cell>
        </row>
        <row r="487">
          <cell r="A487" t="str">
            <v>AHW-40821I20</v>
          </cell>
          <cell r="B487" t="str">
            <v>CTS126477</v>
          </cell>
          <cell r="C487" t="str">
            <v>Original</v>
          </cell>
          <cell r="D487" t="str">
            <v>CTS</v>
          </cell>
          <cell r="E487" t="str">
            <v>Rodoimport</v>
          </cell>
          <cell r="F487">
            <v>43895</v>
          </cell>
          <cell r="G487">
            <v>43903</v>
          </cell>
          <cell r="H487">
            <v>43905</v>
          </cell>
          <cell r="I487" t="str">
            <v>12.03.2020</v>
          </cell>
          <cell r="J487" t="str">
            <v>11.03.2020</v>
          </cell>
          <cell r="K487" t="str">
            <v>-</v>
          </cell>
          <cell r="L487" t="str">
            <v>OK</v>
          </cell>
        </row>
        <row r="488">
          <cell r="A488" t="str">
            <v>AHW-40921I20</v>
          </cell>
          <cell r="B488" t="str">
            <v>SZX251306</v>
          </cell>
          <cell r="C488" t="str">
            <v>Original</v>
          </cell>
          <cell r="D488" t="str">
            <v>CEVA</v>
          </cell>
          <cell r="E488" t="str">
            <v>Rodoimport</v>
          </cell>
          <cell r="F488">
            <v>43899</v>
          </cell>
          <cell r="G488">
            <v>43907</v>
          </cell>
          <cell r="H488">
            <v>43909</v>
          </cell>
          <cell r="I488" t="str">
            <v>16.03.2020</v>
          </cell>
          <cell r="J488" t="str">
            <v>19.03.2020</v>
          </cell>
          <cell r="K488" t="str">
            <v>-</v>
          </cell>
          <cell r="L488" t="str">
            <v>OK</v>
          </cell>
        </row>
        <row r="489">
          <cell r="A489" t="str">
            <v>AHW-40949I20</v>
          </cell>
          <cell r="B489" t="str">
            <v>CTS126635</v>
          </cell>
          <cell r="C489" t="str">
            <v>Original</v>
          </cell>
          <cell r="D489" t="str">
            <v>CTS</v>
          </cell>
          <cell r="E489" t="str">
            <v>Rodoimport</v>
          </cell>
          <cell r="F489">
            <v>43900</v>
          </cell>
          <cell r="G489">
            <v>43908</v>
          </cell>
          <cell r="H489">
            <v>43910</v>
          </cell>
          <cell r="I489" t="str">
            <v>16.03.2020</v>
          </cell>
          <cell r="J489" t="str">
            <v>19.03.2020</v>
          </cell>
          <cell r="K489" t="str">
            <v>-</v>
          </cell>
          <cell r="L489" t="str">
            <v>OK</v>
          </cell>
        </row>
        <row r="490">
          <cell r="A490" t="str">
            <v>AHW-40961I20</v>
          </cell>
          <cell r="B490" t="str">
            <v>CTS126636</v>
          </cell>
          <cell r="C490" t="str">
            <v>Original</v>
          </cell>
          <cell r="D490" t="str">
            <v>CTS</v>
          </cell>
          <cell r="E490" t="str">
            <v>Rodoimport</v>
          </cell>
          <cell r="F490">
            <v>43900</v>
          </cell>
          <cell r="G490">
            <v>43908</v>
          </cell>
          <cell r="H490">
            <v>43910</v>
          </cell>
          <cell r="I490" t="str">
            <v>16.03.2020</v>
          </cell>
          <cell r="J490" t="str">
            <v>19.03.2020</v>
          </cell>
          <cell r="K490" t="str">
            <v>-</v>
          </cell>
          <cell r="L490" t="str">
            <v>OK</v>
          </cell>
        </row>
        <row r="491">
          <cell r="A491" t="str">
            <v>AHW-40964I20</v>
          </cell>
          <cell r="B491" t="str">
            <v>CTS126648</v>
          </cell>
          <cell r="C491" t="str">
            <v>Original</v>
          </cell>
          <cell r="D491" t="str">
            <v>CTS</v>
          </cell>
          <cell r="E491" t="str">
            <v>Rodoimport</v>
          </cell>
          <cell r="F491">
            <v>43903</v>
          </cell>
          <cell r="G491">
            <v>43911</v>
          </cell>
          <cell r="H491">
            <v>43913</v>
          </cell>
          <cell r="I491" t="str">
            <v>20.03.2020</v>
          </cell>
          <cell r="J491" t="str">
            <v>19.03.2020</v>
          </cell>
          <cell r="K491" t="str">
            <v>-</v>
          </cell>
          <cell r="L491" t="str">
            <v>OK</v>
          </cell>
        </row>
        <row r="492">
          <cell r="A492" t="str">
            <v>AHW-40987I20</v>
          </cell>
          <cell r="B492" t="str">
            <v>CTS126684</v>
          </cell>
          <cell r="C492" t="str">
            <v>Original</v>
          </cell>
          <cell r="D492" t="str">
            <v>CTS</v>
          </cell>
          <cell r="E492" t="str">
            <v>Rodoimport</v>
          </cell>
          <cell r="F492">
            <v>43903</v>
          </cell>
          <cell r="G492">
            <v>43911</v>
          </cell>
          <cell r="H492">
            <v>43913</v>
          </cell>
          <cell r="I492" t="str">
            <v>20.03.2020</v>
          </cell>
          <cell r="J492" t="str">
            <v>19.03.2020</v>
          </cell>
          <cell r="K492" t="str">
            <v>-</v>
          </cell>
          <cell r="L492" t="str">
            <v>OK</v>
          </cell>
        </row>
        <row r="493">
          <cell r="A493" t="str">
            <v>AHW-41016I20</v>
          </cell>
          <cell r="B493" t="str">
            <v>CTS126716</v>
          </cell>
          <cell r="C493" t="str">
            <v>Original</v>
          </cell>
          <cell r="D493" t="str">
            <v>CTS</v>
          </cell>
          <cell r="E493" t="str">
            <v>Rodoimport</v>
          </cell>
          <cell r="F493">
            <v>43909</v>
          </cell>
          <cell r="G493">
            <v>43917</v>
          </cell>
          <cell r="H493">
            <v>43919</v>
          </cell>
          <cell r="I493" t="str">
            <v>07.04.2020</v>
          </cell>
          <cell r="J493" t="str">
            <v>23.03.2020</v>
          </cell>
          <cell r="K493" t="str">
            <v>-</v>
          </cell>
          <cell r="L493" t="str">
            <v>OK</v>
          </cell>
        </row>
        <row r="494">
          <cell r="A494" t="str">
            <v>AHW-41049I20</v>
          </cell>
          <cell r="B494" t="str">
            <v>CTS126735</v>
          </cell>
          <cell r="C494" t="str">
            <v>Original</v>
          </cell>
          <cell r="D494" t="str">
            <v>CTS</v>
          </cell>
          <cell r="E494" t="str">
            <v>Rodoimport</v>
          </cell>
          <cell r="F494">
            <v>43909</v>
          </cell>
          <cell r="G494">
            <v>43917</v>
          </cell>
          <cell r="H494">
            <v>43919</v>
          </cell>
          <cell r="I494" t="str">
            <v>07.04.2020</v>
          </cell>
          <cell r="J494" t="str">
            <v>23.03.2020</v>
          </cell>
          <cell r="K494" t="str">
            <v>-</v>
          </cell>
          <cell r="L494" t="str">
            <v>OK</v>
          </cell>
        </row>
        <row r="495">
          <cell r="A495" t="str">
            <v>AHW-41056I20</v>
          </cell>
          <cell r="B495" t="str">
            <v>CTS126717</v>
          </cell>
          <cell r="C495" t="str">
            <v>Original</v>
          </cell>
          <cell r="D495" t="str">
            <v>CTS</v>
          </cell>
          <cell r="E495" t="str">
            <v>Rodoimport</v>
          </cell>
          <cell r="F495">
            <v>43909</v>
          </cell>
          <cell r="G495">
            <v>43917</v>
          </cell>
          <cell r="H495">
            <v>43919</v>
          </cell>
          <cell r="I495" t="str">
            <v>07.04.2020</v>
          </cell>
          <cell r="J495" t="str">
            <v>23.03.2020</v>
          </cell>
          <cell r="K495" t="str">
            <v>-</v>
          </cell>
          <cell r="L495" t="str">
            <v>OK</v>
          </cell>
        </row>
        <row r="496">
          <cell r="A496" t="str">
            <v>AHW-41057I20</v>
          </cell>
          <cell r="B496" t="str">
            <v>CTS126737</v>
          </cell>
          <cell r="C496" t="str">
            <v>Original</v>
          </cell>
          <cell r="D496" t="str">
            <v>CTS</v>
          </cell>
          <cell r="E496" t="str">
            <v>Rodoimport</v>
          </cell>
          <cell r="F496">
            <v>43909</v>
          </cell>
          <cell r="G496">
            <v>43917</v>
          </cell>
          <cell r="H496">
            <v>43919</v>
          </cell>
          <cell r="I496" t="str">
            <v>07.04.2020</v>
          </cell>
          <cell r="J496" t="str">
            <v>23.03.2020</v>
          </cell>
          <cell r="K496" t="str">
            <v>-</v>
          </cell>
          <cell r="L496" t="str">
            <v>OK</v>
          </cell>
        </row>
        <row r="497">
          <cell r="A497" t="str">
            <v>AHW-41058I20</v>
          </cell>
          <cell r="B497" t="str">
            <v>CTS126738</v>
          </cell>
          <cell r="C497" t="str">
            <v>Original</v>
          </cell>
          <cell r="D497" t="str">
            <v>CTS</v>
          </cell>
          <cell r="E497" t="str">
            <v>Rodoimport</v>
          </cell>
          <cell r="F497">
            <v>43909</v>
          </cell>
          <cell r="G497">
            <v>43917</v>
          </cell>
          <cell r="H497">
            <v>43919</v>
          </cell>
          <cell r="I497" t="str">
            <v>07.04.2020</v>
          </cell>
          <cell r="J497" t="str">
            <v>23.03.2020</v>
          </cell>
          <cell r="K497" t="str">
            <v>-</v>
          </cell>
          <cell r="L497" t="str">
            <v>OK</v>
          </cell>
        </row>
        <row r="498">
          <cell r="A498" t="str">
            <v>AHW-41059I20</v>
          </cell>
          <cell r="B498" t="str">
            <v>CTS126736</v>
          </cell>
          <cell r="C498" t="str">
            <v>Original</v>
          </cell>
          <cell r="D498" t="str">
            <v>CTS</v>
          </cell>
          <cell r="E498" t="str">
            <v>Rodoimport</v>
          </cell>
          <cell r="F498">
            <v>43909</v>
          </cell>
          <cell r="G498">
            <v>43917</v>
          </cell>
          <cell r="H498">
            <v>43919</v>
          </cell>
          <cell r="I498" t="str">
            <v>07.04.2020</v>
          </cell>
          <cell r="J498" t="str">
            <v>23.03.2020</v>
          </cell>
          <cell r="K498" t="str">
            <v>-</v>
          </cell>
          <cell r="L498" t="str">
            <v>OK</v>
          </cell>
        </row>
        <row r="499">
          <cell r="A499" t="str">
            <v>AHW-41060I20</v>
          </cell>
          <cell r="B499" t="str">
            <v>CTS126722</v>
          </cell>
          <cell r="C499" t="str">
            <v>Original</v>
          </cell>
          <cell r="D499" t="str">
            <v>CTS</v>
          </cell>
          <cell r="E499" t="str">
            <v>Rodoimport</v>
          </cell>
          <cell r="F499">
            <v>43910</v>
          </cell>
          <cell r="G499">
            <v>43918</v>
          </cell>
          <cell r="H499">
            <v>43920</v>
          </cell>
          <cell r="I499" t="str">
            <v>07.04.2020</v>
          </cell>
          <cell r="J499" t="str">
            <v>23.03.2020</v>
          </cell>
          <cell r="K499" t="str">
            <v>-</v>
          </cell>
          <cell r="L499" t="str">
            <v>OK</v>
          </cell>
        </row>
        <row r="500">
          <cell r="A500" t="str">
            <v>AHW-41061I20</v>
          </cell>
          <cell r="B500" t="str">
            <v>CTS123933</v>
          </cell>
          <cell r="C500" t="str">
            <v>Original</v>
          </cell>
          <cell r="D500" t="str">
            <v>CTS</v>
          </cell>
          <cell r="E500" t="str">
            <v>Rodoimport</v>
          </cell>
          <cell r="F500">
            <v>43910</v>
          </cell>
          <cell r="G500">
            <v>43918</v>
          </cell>
          <cell r="H500">
            <v>43920</v>
          </cell>
          <cell r="I500" t="str">
            <v>16.04.2020</v>
          </cell>
          <cell r="J500" t="str">
            <v>23.03.2020</v>
          </cell>
          <cell r="K500" t="str">
            <v>-</v>
          </cell>
          <cell r="L500" t="str">
            <v>OK</v>
          </cell>
        </row>
        <row r="501">
          <cell r="A501" t="str">
            <v>AHW-41079I20</v>
          </cell>
          <cell r="B501" t="str">
            <v>CTS124091</v>
          </cell>
          <cell r="C501" t="str">
            <v>Original</v>
          </cell>
          <cell r="D501" t="str">
            <v>CTS</v>
          </cell>
          <cell r="E501" t="str">
            <v>Rodoimport</v>
          </cell>
          <cell r="F501">
            <v>43910</v>
          </cell>
          <cell r="G501">
            <v>43918</v>
          </cell>
          <cell r="H501">
            <v>43920</v>
          </cell>
          <cell r="I501" t="str">
            <v>07.04.2020</v>
          </cell>
          <cell r="J501" t="str">
            <v>23.03.2020</v>
          </cell>
          <cell r="K501" t="str">
            <v>-</v>
          </cell>
          <cell r="L501" t="str">
            <v>OK</v>
          </cell>
        </row>
        <row r="502">
          <cell r="A502" t="str">
            <v>AHW-41095I20</v>
          </cell>
          <cell r="B502" t="str">
            <v>CTS124037</v>
          </cell>
          <cell r="C502" t="str">
            <v>Original</v>
          </cell>
          <cell r="D502" t="str">
            <v>CTS</v>
          </cell>
          <cell r="E502" t="str">
            <v>Rodoimport</v>
          </cell>
          <cell r="F502">
            <v>43910</v>
          </cell>
          <cell r="G502">
            <v>43918</v>
          </cell>
          <cell r="H502">
            <v>43920</v>
          </cell>
          <cell r="I502" t="str">
            <v>07.04.2020</v>
          </cell>
          <cell r="J502" t="str">
            <v>23.03.2020</v>
          </cell>
          <cell r="K502" t="str">
            <v>-</v>
          </cell>
          <cell r="L502" t="str">
            <v>OK</v>
          </cell>
        </row>
        <row r="503">
          <cell r="A503" t="str">
            <v>AHW-41133I20</v>
          </cell>
          <cell r="B503" t="str">
            <v>CTS124109</v>
          </cell>
          <cell r="C503" t="str">
            <v>Original</v>
          </cell>
          <cell r="D503" t="str">
            <v>CTS</v>
          </cell>
          <cell r="E503" t="str">
            <v>Rodoimport</v>
          </cell>
          <cell r="F503">
            <v>43910</v>
          </cell>
          <cell r="G503">
            <v>43918</v>
          </cell>
          <cell r="H503">
            <v>43920</v>
          </cell>
          <cell r="I503" t="str">
            <v>07.04.2020</v>
          </cell>
          <cell r="J503" t="str">
            <v>23.03.2020</v>
          </cell>
          <cell r="K503" t="str">
            <v>-</v>
          </cell>
          <cell r="L503" t="str">
            <v>OK</v>
          </cell>
        </row>
        <row r="504">
          <cell r="A504" t="str">
            <v>AHW-41137I20</v>
          </cell>
          <cell r="B504" t="str">
            <v>CTS124110</v>
          </cell>
          <cell r="C504" t="str">
            <v>Original</v>
          </cell>
          <cell r="D504" t="str">
            <v>CTS</v>
          </cell>
          <cell r="E504" t="str">
            <v>Rodoimport</v>
          </cell>
          <cell r="F504">
            <v>43910</v>
          </cell>
          <cell r="G504">
            <v>43918</v>
          </cell>
          <cell r="H504">
            <v>43920</v>
          </cell>
          <cell r="I504" t="str">
            <v>07.04.2020</v>
          </cell>
          <cell r="J504" t="str">
            <v>23.03.2020</v>
          </cell>
          <cell r="K504" t="str">
            <v>-</v>
          </cell>
          <cell r="L504" t="str">
            <v>OK</v>
          </cell>
        </row>
        <row r="505">
          <cell r="A505" t="str">
            <v>AHW-41139I20</v>
          </cell>
          <cell r="B505">
            <v>80506421</v>
          </cell>
          <cell r="C505" t="str">
            <v>Original</v>
          </cell>
          <cell r="D505" t="str">
            <v>CEVA</v>
          </cell>
          <cell r="E505" t="str">
            <v>Rodoimport</v>
          </cell>
          <cell r="F505">
            <v>43916</v>
          </cell>
          <cell r="G505">
            <v>43924</v>
          </cell>
          <cell r="H505">
            <v>43926</v>
          </cell>
          <cell r="I505" t="str">
            <v>07.04.2020</v>
          </cell>
          <cell r="J505" t="str">
            <v>03.04.2020</v>
          </cell>
          <cell r="K505" t="str">
            <v>-</v>
          </cell>
          <cell r="L505" t="str">
            <v>OK</v>
          </cell>
        </row>
        <row r="506">
          <cell r="A506" t="str">
            <v>SHW-40692I20</v>
          </cell>
          <cell r="B506" t="str">
            <v>EGLV149000309043</v>
          </cell>
          <cell r="C506" t="str">
            <v>Original</v>
          </cell>
          <cell r="D506" t="str">
            <v>Panalpina</v>
          </cell>
          <cell r="E506" t="str">
            <v>TKT</v>
          </cell>
          <cell r="F506">
            <v>43916</v>
          </cell>
          <cell r="G506">
            <v>43924</v>
          </cell>
          <cell r="H506">
            <v>43926</v>
          </cell>
          <cell r="I506" t="str">
            <v>14.04.2020</v>
          </cell>
          <cell r="J506" t="str">
            <v>14.04.2020</v>
          </cell>
          <cell r="K506" t="str">
            <v>-</v>
          </cell>
          <cell r="L506" t="str">
            <v>OK</v>
          </cell>
        </row>
        <row r="507">
          <cell r="A507" t="str">
            <v>AHW-41290I20</v>
          </cell>
          <cell r="B507" t="str">
            <v>CTS127041</v>
          </cell>
          <cell r="C507" t="str">
            <v>Original</v>
          </cell>
          <cell r="D507" t="str">
            <v>CTS</v>
          </cell>
          <cell r="E507" t="str">
            <v>Rodoimport</v>
          </cell>
          <cell r="F507">
            <v>43917</v>
          </cell>
          <cell r="G507">
            <v>43925</v>
          </cell>
          <cell r="H507">
            <v>43927</v>
          </cell>
          <cell r="I507" t="str">
            <v>07.04.2020</v>
          </cell>
          <cell r="J507" t="str">
            <v>03.04.2020</v>
          </cell>
          <cell r="K507" t="str">
            <v>-</v>
          </cell>
          <cell r="L507" t="str">
            <v>OK</v>
          </cell>
        </row>
        <row r="508">
          <cell r="A508" t="str">
            <v>AHW-41294I20</v>
          </cell>
          <cell r="B508" t="str">
            <v>CTS122512</v>
          </cell>
          <cell r="C508" t="str">
            <v>Original</v>
          </cell>
          <cell r="D508" t="str">
            <v>CTS</v>
          </cell>
          <cell r="E508" t="str">
            <v>Rodoimport</v>
          </cell>
          <cell r="F508">
            <v>43917</v>
          </cell>
          <cell r="G508">
            <v>43925</v>
          </cell>
          <cell r="H508">
            <v>43927</v>
          </cell>
          <cell r="I508" t="str">
            <v>07.04.2020</v>
          </cell>
          <cell r="J508" t="str">
            <v>03.04.2020</v>
          </cell>
          <cell r="K508" t="str">
            <v>-</v>
          </cell>
          <cell r="L508" t="str">
            <v>OK</v>
          </cell>
        </row>
        <row r="509">
          <cell r="A509" t="str">
            <v>AHW-41303I20</v>
          </cell>
          <cell r="B509" t="str">
            <v>CTS127040</v>
          </cell>
          <cell r="C509" t="str">
            <v>Original</v>
          </cell>
          <cell r="D509" t="str">
            <v>CTS</v>
          </cell>
          <cell r="E509" t="str">
            <v>Rodoimport</v>
          </cell>
          <cell r="F509">
            <v>43917</v>
          </cell>
          <cell r="G509">
            <v>43925</v>
          </cell>
          <cell r="H509">
            <v>43927</v>
          </cell>
          <cell r="I509" t="str">
            <v>07.04.2020</v>
          </cell>
          <cell r="J509" t="str">
            <v>03.04.2020</v>
          </cell>
          <cell r="K509" t="str">
            <v>-</v>
          </cell>
          <cell r="L509" t="str">
            <v>OK</v>
          </cell>
        </row>
        <row r="510">
          <cell r="A510" t="str">
            <v>AHW-41307I20</v>
          </cell>
          <cell r="B510" t="str">
            <v>CTS127042</v>
          </cell>
          <cell r="C510" t="str">
            <v>Original</v>
          </cell>
          <cell r="D510" t="str">
            <v>CTS</v>
          </cell>
          <cell r="E510" t="str">
            <v>Rodoimport</v>
          </cell>
          <cell r="F510">
            <v>43917</v>
          </cell>
          <cell r="G510">
            <v>43925</v>
          </cell>
          <cell r="H510">
            <v>43927</v>
          </cell>
          <cell r="I510" t="str">
            <v>07.04.2020</v>
          </cell>
          <cell r="J510" t="str">
            <v>03.04.2020</v>
          </cell>
          <cell r="K510" t="str">
            <v>-</v>
          </cell>
          <cell r="L510" t="str">
            <v>OK</v>
          </cell>
        </row>
        <row r="511">
          <cell r="A511" t="str">
            <v>AHW-41312I20</v>
          </cell>
          <cell r="B511" t="str">
            <v>CTS122523</v>
          </cell>
          <cell r="C511" t="str">
            <v>Original</v>
          </cell>
          <cell r="D511" t="str">
            <v>CTS</v>
          </cell>
          <cell r="E511" t="str">
            <v>Rodoimport</v>
          </cell>
          <cell r="F511">
            <v>43920</v>
          </cell>
          <cell r="G511">
            <v>43928</v>
          </cell>
          <cell r="H511">
            <v>43930</v>
          </cell>
          <cell r="I511" t="str">
            <v>07.04.2020</v>
          </cell>
          <cell r="J511" t="str">
            <v>07.04.2020</v>
          </cell>
          <cell r="K511" t="str">
            <v>-</v>
          </cell>
          <cell r="L511" t="str">
            <v>OK</v>
          </cell>
        </row>
        <row r="512">
          <cell r="A512" t="str">
            <v>AHW-41314I20</v>
          </cell>
          <cell r="B512" t="str">
            <v>CTS122525</v>
          </cell>
          <cell r="C512" t="str">
            <v>Original</v>
          </cell>
          <cell r="D512" t="str">
            <v>CTS</v>
          </cell>
          <cell r="E512" t="str">
            <v>Rodoimport</v>
          </cell>
          <cell r="F512">
            <v>43920</v>
          </cell>
          <cell r="G512">
            <v>43928</v>
          </cell>
          <cell r="H512">
            <v>43930</v>
          </cell>
          <cell r="I512" t="str">
            <v>07.04.2020</v>
          </cell>
          <cell r="J512" t="str">
            <v>07.04.2020</v>
          </cell>
          <cell r="K512" t="str">
            <v>-</v>
          </cell>
          <cell r="L512" t="str">
            <v>OK</v>
          </cell>
        </row>
        <row r="513">
          <cell r="A513" t="str">
            <v>AHW-41311I20</v>
          </cell>
          <cell r="B513" t="str">
            <v>CTS122526</v>
          </cell>
          <cell r="C513" t="str">
            <v>Original</v>
          </cell>
          <cell r="D513" t="str">
            <v>CTS</v>
          </cell>
          <cell r="E513" t="str">
            <v>Rodoimport</v>
          </cell>
          <cell r="F513">
            <v>43921</v>
          </cell>
          <cell r="G513">
            <v>43929</v>
          </cell>
          <cell r="H513">
            <v>43931</v>
          </cell>
          <cell r="I513" t="str">
            <v>07.04.2020</v>
          </cell>
          <cell r="J513" t="str">
            <v>07.04.2020</v>
          </cell>
          <cell r="K513" t="str">
            <v>-</v>
          </cell>
          <cell r="L513" t="str">
            <v>OK</v>
          </cell>
        </row>
        <row r="514">
          <cell r="A514" t="str">
            <v>AHW-41280I20</v>
          </cell>
          <cell r="B514" t="str">
            <v>CTS122506</v>
          </cell>
          <cell r="C514" t="str">
            <v>Original</v>
          </cell>
          <cell r="D514" t="str">
            <v>CTS</v>
          </cell>
          <cell r="E514" t="str">
            <v>Rodoimport</v>
          </cell>
          <cell r="F514">
            <v>43921</v>
          </cell>
          <cell r="G514">
            <v>43929</v>
          </cell>
          <cell r="H514">
            <v>43931</v>
          </cell>
          <cell r="I514" t="str">
            <v>14.05.2020</v>
          </cell>
          <cell r="J514" t="str">
            <v>03.06.2020</v>
          </cell>
          <cell r="K514" t="str">
            <v>-</v>
          </cell>
          <cell r="L514" t="str">
            <v>OK</v>
          </cell>
        </row>
        <row r="515">
          <cell r="A515" t="str">
            <v>AHW-41142I20</v>
          </cell>
          <cell r="B515">
            <v>80506426</v>
          </cell>
          <cell r="C515" t="str">
            <v>Original</v>
          </cell>
          <cell r="D515" t="str">
            <v>CEVA</v>
          </cell>
          <cell r="E515" t="str">
            <v>Rodoimport</v>
          </cell>
          <cell r="F515">
            <v>43922</v>
          </cell>
          <cell r="G515">
            <v>43930</v>
          </cell>
          <cell r="H515">
            <v>43932</v>
          </cell>
          <cell r="I515" t="str">
            <v>16.04.2020</v>
          </cell>
          <cell r="J515" t="str">
            <v>07.04.2020</v>
          </cell>
          <cell r="K515" t="str">
            <v>-</v>
          </cell>
          <cell r="L515" t="str">
            <v>OK</v>
          </cell>
        </row>
        <row r="516">
          <cell r="A516" t="str">
            <v>AHW-41284I20</v>
          </cell>
          <cell r="B516" t="str">
            <v>CTS122507</v>
          </cell>
          <cell r="C516" t="str">
            <v>Original</v>
          </cell>
          <cell r="D516" t="str">
            <v>CTS</v>
          </cell>
          <cell r="E516" t="str">
            <v>Rodoimport</v>
          </cell>
          <cell r="F516">
            <v>43922</v>
          </cell>
          <cell r="G516">
            <v>43930</v>
          </cell>
          <cell r="H516">
            <v>43932</v>
          </cell>
          <cell r="I516" t="str">
            <v>16.04.2020</v>
          </cell>
          <cell r="J516" t="str">
            <v>07.04.2020</v>
          </cell>
          <cell r="K516" t="str">
            <v>-</v>
          </cell>
          <cell r="L516" t="str">
            <v>OK</v>
          </cell>
        </row>
        <row r="517">
          <cell r="A517" t="str">
            <v>AHW-41287I20</v>
          </cell>
          <cell r="B517" t="str">
            <v>SAME2000334</v>
          </cell>
          <cell r="C517" t="str">
            <v>Original</v>
          </cell>
          <cell r="D517" t="str">
            <v>CTS</v>
          </cell>
          <cell r="E517" t="str">
            <v>Rodoimport</v>
          </cell>
          <cell r="F517">
            <v>43923</v>
          </cell>
          <cell r="G517">
            <v>43931</v>
          </cell>
          <cell r="H517">
            <v>43933</v>
          </cell>
          <cell r="I517" t="str">
            <v>16.04.2020</v>
          </cell>
          <cell r="J517" t="str">
            <v>07.04.2020</v>
          </cell>
          <cell r="K517" t="str">
            <v>-</v>
          </cell>
          <cell r="L517" t="str">
            <v>OK</v>
          </cell>
        </row>
        <row r="518">
          <cell r="A518" t="str">
            <v>AHW-41297I20</v>
          </cell>
          <cell r="B518" t="str">
            <v>CTS127043</v>
          </cell>
          <cell r="C518" t="str">
            <v>Original</v>
          </cell>
          <cell r="D518" t="str">
            <v>CTS</v>
          </cell>
          <cell r="E518" t="str">
            <v>Rodoimport</v>
          </cell>
          <cell r="F518">
            <v>43924</v>
          </cell>
          <cell r="G518">
            <v>43932</v>
          </cell>
          <cell r="H518">
            <v>43934</v>
          </cell>
          <cell r="I518" t="str">
            <v>07.04.2020</v>
          </cell>
          <cell r="J518" t="str">
            <v>07.04.2020</v>
          </cell>
          <cell r="K518" t="str">
            <v>-</v>
          </cell>
          <cell r="L518" t="str">
            <v>OK</v>
          </cell>
        </row>
        <row r="519">
          <cell r="A519" t="str">
            <v>SHW-40861I20</v>
          </cell>
          <cell r="B519">
            <v>592021367</v>
          </cell>
          <cell r="C519" t="str">
            <v>Original</v>
          </cell>
          <cell r="D519" t="str">
            <v>Panalpina</v>
          </cell>
          <cell r="E519" t="str">
            <v>TKT</v>
          </cell>
          <cell r="F519">
            <v>43924</v>
          </cell>
          <cell r="G519">
            <v>43932</v>
          </cell>
          <cell r="H519">
            <v>43934</v>
          </cell>
          <cell r="I519" t="str">
            <v>14.04.2020</v>
          </cell>
          <cell r="J519" t="str">
            <v>03.04.2020</v>
          </cell>
          <cell r="K519" t="str">
            <v>-</v>
          </cell>
          <cell r="L519" t="str">
            <v>OK</v>
          </cell>
        </row>
        <row r="520">
          <cell r="A520" t="str">
            <v>AHW-41317I20</v>
          </cell>
          <cell r="B520" t="str">
            <v>CTS122527</v>
          </cell>
          <cell r="C520" t="str">
            <v>Original</v>
          </cell>
          <cell r="D520" t="str">
            <v>CTS</v>
          </cell>
          <cell r="E520" t="str">
            <v>Rodoimport</v>
          </cell>
          <cell r="F520">
            <v>43924</v>
          </cell>
          <cell r="G520">
            <v>43932</v>
          </cell>
          <cell r="H520">
            <v>43934</v>
          </cell>
          <cell r="I520" t="str">
            <v>16.04.2020</v>
          </cell>
          <cell r="J520" t="str">
            <v>07.04.2020</v>
          </cell>
          <cell r="K520" t="str">
            <v>-</v>
          </cell>
          <cell r="L520" t="str">
            <v>OK</v>
          </cell>
        </row>
        <row r="521">
          <cell r="A521" t="str">
            <v>AHW-41361I20</v>
          </cell>
          <cell r="B521" t="str">
            <v>CTS122530</v>
          </cell>
          <cell r="C521" t="str">
            <v>Original</v>
          </cell>
          <cell r="D521" t="str">
            <v>CTS</v>
          </cell>
          <cell r="E521" t="str">
            <v>Rodoimport</v>
          </cell>
          <cell r="F521">
            <v>43924</v>
          </cell>
          <cell r="G521">
            <v>43932</v>
          </cell>
          <cell r="H521">
            <v>43934</v>
          </cell>
          <cell r="I521" t="str">
            <v>17.04.2020</v>
          </cell>
          <cell r="J521" t="str">
            <v>07.04.2020</v>
          </cell>
          <cell r="K521" t="str">
            <v>-</v>
          </cell>
          <cell r="L521" t="str">
            <v>OK</v>
          </cell>
        </row>
        <row r="522">
          <cell r="A522" t="str">
            <v>AHW-41367I20</v>
          </cell>
          <cell r="B522" t="str">
            <v>CTS122529</v>
          </cell>
          <cell r="C522" t="str">
            <v>Original</v>
          </cell>
          <cell r="D522" t="str">
            <v>CTS</v>
          </cell>
          <cell r="E522" t="str">
            <v>Rodoimport</v>
          </cell>
          <cell r="F522">
            <v>43924</v>
          </cell>
          <cell r="G522">
            <v>43932</v>
          </cell>
          <cell r="H522">
            <v>43934</v>
          </cell>
          <cell r="I522" t="str">
            <v>16.04.2020</v>
          </cell>
          <cell r="J522" t="str">
            <v>07.04.2020</v>
          </cell>
          <cell r="K522" t="str">
            <v>-</v>
          </cell>
          <cell r="L522" t="str">
            <v>OK</v>
          </cell>
        </row>
        <row r="523">
          <cell r="A523" t="str">
            <v>AHW-41381I20</v>
          </cell>
          <cell r="B523">
            <v>80526066</v>
          </cell>
          <cell r="C523" t="str">
            <v>Original</v>
          </cell>
          <cell r="D523" t="str">
            <v>CEVA</v>
          </cell>
          <cell r="E523" t="str">
            <v>Rodoimport</v>
          </cell>
          <cell r="F523">
            <v>43927</v>
          </cell>
          <cell r="G523">
            <v>43935</v>
          </cell>
          <cell r="H523">
            <v>43937</v>
          </cell>
          <cell r="I523" t="str">
            <v>17.04.2020</v>
          </cell>
          <cell r="J523" t="str">
            <v>14.04.2020</v>
          </cell>
          <cell r="K523" t="str">
            <v>-</v>
          </cell>
          <cell r="L523" t="str">
            <v>OK</v>
          </cell>
        </row>
        <row r="524">
          <cell r="A524" t="str">
            <v>SHW-40831I20</v>
          </cell>
          <cell r="B524" t="str">
            <v>EGLV149000552525</v>
          </cell>
          <cell r="C524" t="str">
            <v>Original</v>
          </cell>
          <cell r="D524" t="str">
            <v>Panalpina</v>
          </cell>
          <cell r="E524" t="str">
            <v>TKT</v>
          </cell>
          <cell r="F524">
            <v>43928</v>
          </cell>
          <cell r="G524">
            <v>43936</v>
          </cell>
          <cell r="H524">
            <v>43938</v>
          </cell>
          <cell r="I524" t="str">
            <v>23.04.2020</v>
          </cell>
          <cell r="J524" t="str">
            <v>14.04.2020</v>
          </cell>
          <cell r="K524" t="str">
            <v>-</v>
          </cell>
          <cell r="L524" t="str">
            <v>OK</v>
          </cell>
        </row>
        <row r="525">
          <cell r="A525" t="str">
            <v>SHW-40930I20</v>
          </cell>
          <cell r="B525" t="str">
            <v>EGLV149000566623</v>
          </cell>
          <cell r="C525" t="str">
            <v>Original</v>
          </cell>
          <cell r="D525" t="str">
            <v>Panalpina</v>
          </cell>
          <cell r="E525" t="str">
            <v>TKT</v>
          </cell>
          <cell r="F525">
            <v>43928</v>
          </cell>
          <cell r="G525">
            <v>43936</v>
          </cell>
          <cell r="H525">
            <v>43938</v>
          </cell>
          <cell r="I525" t="str">
            <v>23.04.2020</v>
          </cell>
          <cell r="J525" t="str">
            <v>14.04.2020</v>
          </cell>
          <cell r="K525" t="str">
            <v>-</v>
          </cell>
          <cell r="L525" t="str">
            <v>OK</v>
          </cell>
        </row>
        <row r="526">
          <cell r="A526" t="str">
            <v>AHW-41371I20</v>
          </cell>
          <cell r="B526" t="str">
            <v>CTS122547</v>
          </cell>
          <cell r="C526" t="str">
            <v>Original</v>
          </cell>
          <cell r="D526" t="str">
            <v>CTS</v>
          </cell>
          <cell r="E526" t="str">
            <v>Rodoimport</v>
          </cell>
          <cell r="F526">
            <v>43934</v>
          </cell>
          <cell r="G526">
            <v>43942</v>
          </cell>
          <cell r="H526">
            <v>43944</v>
          </cell>
          <cell r="I526" t="str">
            <v>17.04.2020</v>
          </cell>
          <cell r="J526" t="str">
            <v>24.04.2020</v>
          </cell>
          <cell r="K526" t="str">
            <v>-</v>
          </cell>
          <cell r="L526" t="str">
            <v>OK</v>
          </cell>
        </row>
        <row r="527">
          <cell r="A527" t="str">
            <v>AHW-41365I20</v>
          </cell>
          <cell r="B527" t="str">
            <v>CTS122535</v>
          </cell>
          <cell r="C527" t="str">
            <v>Original</v>
          </cell>
          <cell r="D527" t="str">
            <v>CTS</v>
          </cell>
          <cell r="E527" t="str">
            <v>Rodoimport</v>
          </cell>
          <cell r="F527">
            <v>43934</v>
          </cell>
          <cell r="G527">
            <v>43942</v>
          </cell>
          <cell r="H527">
            <v>43944</v>
          </cell>
          <cell r="I527" t="str">
            <v>17.04.2020</v>
          </cell>
          <cell r="J527" t="str">
            <v>24.04.2020</v>
          </cell>
          <cell r="K527" t="str">
            <v>-</v>
          </cell>
          <cell r="L527" t="str">
            <v>OK</v>
          </cell>
        </row>
        <row r="528">
          <cell r="A528" t="str">
            <v>AHW-41372I20</v>
          </cell>
          <cell r="B528" t="str">
            <v>CTS122548</v>
          </cell>
          <cell r="C528" t="str">
            <v>Original</v>
          </cell>
          <cell r="D528" t="str">
            <v>CTS</v>
          </cell>
          <cell r="E528" t="str">
            <v>Rodoimport</v>
          </cell>
          <cell r="F528">
            <v>43934</v>
          </cell>
          <cell r="G528">
            <v>43942</v>
          </cell>
          <cell r="H528">
            <v>43944</v>
          </cell>
          <cell r="I528" t="str">
            <v>17.04.2020</v>
          </cell>
          <cell r="J528" t="str">
            <v>24.04.2020</v>
          </cell>
          <cell r="K528" t="str">
            <v>-</v>
          </cell>
          <cell r="L528" t="str">
            <v>OK</v>
          </cell>
        </row>
        <row r="529">
          <cell r="A529" t="str">
            <v>AHW-41374I20</v>
          </cell>
          <cell r="B529" t="str">
            <v>CTS122550</v>
          </cell>
          <cell r="C529" t="str">
            <v>Original</v>
          </cell>
          <cell r="D529" t="str">
            <v>CTS</v>
          </cell>
          <cell r="E529" t="str">
            <v>Rodoimport</v>
          </cell>
          <cell r="F529">
            <v>43934</v>
          </cell>
          <cell r="G529">
            <v>43942</v>
          </cell>
          <cell r="H529">
            <v>43944</v>
          </cell>
          <cell r="I529" t="str">
            <v>17.04.2020</v>
          </cell>
          <cell r="J529" t="str">
            <v>24.04.2020</v>
          </cell>
          <cell r="K529" t="str">
            <v>-</v>
          </cell>
          <cell r="L529" t="str">
            <v>OK</v>
          </cell>
        </row>
        <row r="530">
          <cell r="A530" t="str">
            <v>AHW-41474I20</v>
          </cell>
          <cell r="B530" t="str">
            <v>CTS122546</v>
          </cell>
          <cell r="C530" t="str">
            <v>Original</v>
          </cell>
          <cell r="D530" t="str">
            <v>CTS</v>
          </cell>
          <cell r="E530" t="str">
            <v>Rodoimport</v>
          </cell>
          <cell r="F530">
            <v>43935</v>
          </cell>
          <cell r="G530">
            <v>43943</v>
          </cell>
          <cell r="H530">
            <v>43945</v>
          </cell>
          <cell r="I530" t="str">
            <v>17.04.2020</v>
          </cell>
          <cell r="J530" t="str">
            <v>24.04.2020</v>
          </cell>
          <cell r="K530" t="str">
            <v>-</v>
          </cell>
          <cell r="L530" t="str">
            <v>OK</v>
          </cell>
        </row>
        <row r="531">
          <cell r="A531" t="str">
            <v>AHW-41373I20</v>
          </cell>
          <cell r="B531" t="str">
            <v>CTS122549</v>
          </cell>
          <cell r="C531" t="str">
            <v>Original</v>
          </cell>
          <cell r="D531" t="str">
            <v>CTS</v>
          </cell>
          <cell r="E531" t="str">
            <v>Rodoimport</v>
          </cell>
          <cell r="F531">
            <v>43935</v>
          </cell>
          <cell r="G531">
            <v>43943</v>
          </cell>
          <cell r="H531">
            <v>43945</v>
          </cell>
          <cell r="I531" t="str">
            <v>17.04.2020</v>
          </cell>
          <cell r="J531" t="str">
            <v>24.04.2020</v>
          </cell>
          <cell r="K531" t="str">
            <v>-</v>
          </cell>
          <cell r="L531" t="str">
            <v>OK</v>
          </cell>
        </row>
        <row r="532">
          <cell r="A532" t="str">
            <v>AHW-41448I20</v>
          </cell>
          <cell r="B532" t="str">
            <v>CTS122541</v>
          </cell>
          <cell r="C532" t="str">
            <v>Original</v>
          </cell>
          <cell r="D532" t="str">
            <v>CTS</v>
          </cell>
          <cell r="E532" t="str">
            <v>Rodoimport</v>
          </cell>
          <cell r="F532">
            <v>43935</v>
          </cell>
          <cell r="G532">
            <v>43943</v>
          </cell>
          <cell r="H532">
            <v>43945</v>
          </cell>
          <cell r="I532" t="str">
            <v>14.05.2020</v>
          </cell>
          <cell r="J532" t="str">
            <v>24.04.2020</v>
          </cell>
          <cell r="K532" t="str">
            <v>-</v>
          </cell>
          <cell r="L532" t="str">
            <v>OK</v>
          </cell>
        </row>
        <row r="533">
          <cell r="A533" t="str">
            <v>AHW-41449I20</v>
          </cell>
          <cell r="B533" t="str">
            <v>CTS122542</v>
          </cell>
          <cell r="C533" t="str">
            <v>Original</v>
          </cell>
          <cell r="D533" t="str">
            <v>CTS</v>
          </cell>
          <cell r="E533" t="str">
            <v>Rodoimport</v>
          </cell>
          <cell r="F533">
            <v>43935</v>
          </cell>
          <cell r="G533">
            <v>43943</v>
          </cell>
          <cell r="H533">
            <v>43945</v>
          </cell>
          <cell r="I533" t="str">
            <v>17.04.2020</v>
          </cell>
          <cell r="J533" t="str">
            <v>24.04.2020</v>
          </cell>
          <cell r="K533" t="str">
            <v>-</v>
          </cell>
          <cell r="L533" t="str">
            <v>OK</v>
          </cell>
        </row>
        <row r="534">
          <cell r="A534" t="str">
            <v>AHW-41450I20</v>
          </cell>
          <cell r="B534" t="str">
            <v>CTS122543</v>
          </cell>
          <cell r="C534" t="str">
            <v>Original</v>
          </cell>
          <cell r="D534" t="str">
            <v>CTS</v>
          </cell>
          <cell r="E534" t="str">
            <v>Rodoimport</v>
          </cell>
          <cell r="F534">
            <v>43935</v>
          </cell>
          <cell r="G534">
            <v>43943</v>
          </cell>
          <cell r="H534">
            <v>43945</v>
          </cell>
          <cell r="I534" t="str">
            <v>17.04.2020</v>
          </cell>
          <cell r="J534" t="str">
            <v>24.04.2020</v>
          </cell>
          <cell r="K534" t="str">
            <v>-</v>
          </cell>
          <cell r="L534" t="str">
            <v>OK</v>
          </cell>
        </row>
        <row r="535">
          <cell r="A535" t="str">
            <v>AHW-41472I20</v>
          </cell>
          <cell r="B535" t="str">
            <v>CTS122544</v>
          </cell>
          <cell r="C535" t="str">
            <v>Original</v>
          </cell>
          <cell r="D535" t="str">
            <v>CTS</v>
          </cell>
          <cell r="E535" t="str">
            <v>Rodoimport</v>
          </cell>
          <cell r="F535">
            <v>43935</v>
          </cell>
          <cell r="G535">
            <v>43943</v>
          </cell>
          <cell r="H535">
            <v>43945</v>
          </cell>
          <cell r="I535" t="str">
            <v>17.04.2020</v>
          </cell>
          <cell r="J535" t="str">
            <v>24.04.2020</v>
          </cell>
          <cell r="K535" t="str">
            <v>-</v>
          </cell>
          <cell r="L535" t="str">
            <v>OK</v>
          </cell>
        </row>
        <row r="536">
          <cell r="A536" t="str">
            <v>AHW-41473I20</v>
          </cell>
          <cell r="B536" t="str">
            <v>CTS122545</v>
          </cell>
          <cell r="C536" t="str">
            <v>Original</v>
          </cell>
          <cell r="D536" t="str">
            <v>CTS</v>
          </cell>
          <cell r="E536" t="str">
            <v>Rodoimport</v>
          </cell>
          <cell r="F536">
            <v>43935</v>
          </cell>
          <cell r="G536">
            <v>43943</v>
          </cell>
          <cell r="H536">
            <v>43945</v>
          </cell>
          <cell r="I536" t="str">
            <v>17.04.2020</v>
          </cell>
          <cell r="J536" t="str">
            <v>24.04.2020</v>
          </cell>
          <cell r="K536" t="str">
            <v>-</v>
          </cell>
          <cell r="L536" t="str">
            <v>OK</v>
          </cell>
        </row>
        <row r="537">
          <cell r="A537" t="str">
            <v>AHW-41366I20</v>
          </cell>
          <cell r="B537" t="str">
            <v>CTS122536</v>
          </cell>
          <cell r="C537" t="str">
            <v>Original</v>
          </cell>
          <cell r="D537" t="str">
            <v>CTS</v>
          </cell>
          <cell r="E537" t="str">
            <v>Rodoimport</v>
          </cell>
          <cell r="F537">
            <v>43935</v>
          </cell>
          <cell r="G537">
            <v>43943</v>
          </cell>
          <cell r="H537">
            <v>43945</v>
          </cell>
          <cell r="I537" t="str">
            <v>17.04.2020</v>
          </cell>
          <cell r="J537" t="str">
            <v>24.04.2020</v>
          </cell>
          <cell r="K537" t="str">
            <v>-</v>
          </cell>
          <cell r="L537" t="str">
            <v>OK</v>
          </cell>
        </row>
        <row r="538">
          <cell r="A538" t="str">
            <v>AHW-41368I20</v>
          </cell>
          <cell r="B538" t="str">
            <v>CTS122537</v>
          </cell>
          <cell r="C538" t="str">
            <v>Original</v>
          </cell>
          <cell r="D538" t="str">
            <v>CTS</v>
          </cell>
          <cell r="E538" t="str">
            <v>Rodoimport</v>
          </cell>
          <cell r="F538">
            <v>43935</v>
          </cell>
          <cell r="G538">
            <v>43943</v>
          </cell>
          <cell r="H538">
            <v>43945</v>
          </cell>
          <cell r="I538" t="str">
            <v>17.04.2020</v>
          </cell>
          <cell r="J538" t="str">
            <v>24.04.2020</v>
          </cell>
          <cell r="K538" t="str">
            <v>-</v>
          </cell>
          <cell r="L538" t="str">
            <v>OK</v>
          </cell>
        </row>
        <row r="539">
          <cell r="A539" t="str">
            <v>AHW-41513I20</v>
          </cell>
          <cell r="B539" t="str">
            <v>CTS128729</v>
          </cell>
          <cell r="C539" t="str">
            <v>Original</v>
          </cell>
          <cell r="D539" t="str">
            <v>CTS</v>
          </cell>
          <cell r="E539" t="str">
            <v>Rodoimport</v>
          </cell>
          <cell r="F539">
            <v>43935</v>
          </cell>
          <cell r="G539">
            <v>43943</v>
          </cell>
          <cell r="H539">
            <v>43945</v>
          </cell>
          <cell r="I539" t="str">
            <v>17.04.2020</v>
          </cell>
          <cell r="J539" t="str">
            <v>24.04.2020</v>
          </cell>
          <cell r="K539" t="str">
            <v>-</v>
          </cell>
          <cell r="L539" t="str">
            <v>OK</v>
          </cell>
        </row>
        <row r="540">
          <cell r="A540" t="str">
            <v>AHW-41469I20</v>
          </cell>
          <cell r="B540" t="str">
            <v>SAME2000473</v>
          </cell>
          <cell r="C540" t="str">
            <v>Original</v>
          </cell>
          <cell r="D540" t="str">
            <v>CTS</v>
          </cell>
          <cell r="E540" t="str">
            <v>Rodoimport</v>
          </cell>
          <cell r="F540">
            <v>43935</v>
          </cell>
          <cell r="G540">
            <v>43943</v>
          </cell>
          <cell r="H540">
            <v>43945</v>
          </cell>
          <cell r="I540" t="str">
            <v>17.04.2020</v>
          </cell>
          <cell r="J540" t="str">
            <v>24.04.2020</v>
          </cell>
          <cell r="K540" t="str">
            <v>-</v>
          </cell>
          <cell r="L540" t="str">
            <v>OK</v>
          </cell>
        </row>
        <row r="541">
          <cell r="A541" t="str">
            <v>AHW-41470I20</v>
          </cell>
          <cell r="B541" t="str">
            <v>SAME2000471</v>
          </cell>
          <cell r="C541" t="str">
            <v>Original</v>
          </cell>
          <cell r="D541" t="str">
            <v>CTS</v>
          </cell>
          <cell r="E541" t="str">
            <v>Rodoimport</v>
          </cell>
          <cell r="F541">
            <v>43935</v>
          </cell>
          <cell r="G541">
            <v>43943</v>
          </cell>
          <cell r="H541">
            <v>43945</v>
          </cell>
          <cell r="I541" t="str">
            <v>17.04.2020</v>
          </cell>
          <cell r="J541" t="str">
            <v>24.04.2020</v>
          </cell>
          <cell r="K541" t="str">
            <v>-</v>
          </cell>
          <cell r="L541" t="str">
            <v>OK</v>
          </cell>
        </row>
        <row r="542">
          <cell r="A542" t="str">
            <v>AHW-41471I20</v>
          </cell>
          <cell r="B542" t="str">
            <v>SAME2000454</v>
          </cell>
          <cell r="C542" t="str">
            <v>Original</v>
          </cell>
          <cell r="D542" t="str">
            <v>CTS</v>
          </cell>
          <cell r="E542" t="str">
            <v>Rodoimport</v>
          </cell>
          <cell r="F542">
            <v>43935</v>
          </cell>
          <cell r="G542">
            <v>43943</v>
          </cell>
          <cell r="H542">
            <v>43945</v>
          </cell>
          <cell r="I542" t="str">
            <v>17.04.2020</v>
          </cell>
          <cell r="J542" t="str">
            <v>24.04.2020</v>
          </cell>
          <cell r="K542" t="str">
            <v>-</v>
          </cell>
          <cell r="L542" t="str">
            <v>OK</v>
          </cell>
        </row>
        <row r="543">
          <cell r="A543" t="str">
            <v>SHW-40983I20</v>
          </cell>
          <cell r="B543" t="str">
            <v>EGLV149000661804</v>
          </cell>
          <cell r="C543" t="str">
            <v>Original</v>
          </cell>
          <cell r="D543" t="str">
            <v>Panalpina</v>
          </cell>
          <cell r="E543" t="str">
            <v>TKT</v>
          </cell>
          <cell r="F543">
            <v>43935</v>
          </cell>
          <cell r="G543">
            <v>43943</v>
          </cell>
          <cell r="H543">
            <v>43945</v>
          </cell>
          <cell r="I543" t="str">
            <v>23.04.2020</v>
          </cell>
          <cell r="J543" t="str">
            <v>16.04.2020</v>
          </cell>
          <cell r="K543" t="str">
            <v>-</v>
          </cell>
          <cell r="L543" t="str">
            <v>OK</v>
          </cell>
        </row>
        <row r="544">
          <cell r="A544" t="str">
            <v>SHW-40996I20</v>
          </cell>
          <cell r="B544" t="str">
            <v>EGLV149000662134</v>
          </cell>
          <cell r="C544" t="str">
            <v>Original</v>
          </cell>
          <cell r="D544" t="str">
            <v>Panalpina</v>
          </cell>
          <cell r="E544" t="str">
            <v>TKT</v>
          </cell>
          <cell r="F544">
            <v>43935</v>
          </cell>
          <cell r="G544">
            <v>43943</v>
          </cell>
          <cell r="H544">
            <v>43945</v>
          </cell>
          <cell r="I544" t="str">
            <v>23.04.2020</v>
          </cell>
          <cell r="J544" t="str">
            <v>16.04.2020</v>
          </cell>
          <cell r="K544" t="str">
            <v>-</v>
          </cell>
          <cell r="L544" t="str">
            <v>OK</v>
          </cell>
        </row>
        <row r="545">
          <cell r="A545" t="str">
            <v>AHW-41452I20</v>
          </cell>
          <cell r="B545" t="str">
            <v>SAME2000450</v>
          </cell>
          <cell r="C545" t="str">
            <v>Original</v>
          </cell>
          <cell r="D545" t="str">
            <v>CTS</v>
          </cell>
          <cell r="E545" t="str">
            <v>Rodoimport</v>
          </cell>
          <cell r="F545">
            <v>43936</v>
          </cell>
          <cell r="G545">
            <v>43944</v>
          </cell>
          <cell r="H545">
            <v>43946</v>
          </cell>
          <cell r="I545" t="str">
            <v>17.04.2020</v>
          </cell>
          <cell r="J545" t="str">
            <v>24.04.2020</v>
          </cell>
          <cell r="K545" t="str">
            <v>-</v>
          </cell>
          <cell r="L545" t="str">
            <v>OK</v>
          </cell>
        </row>
        <row r="546">
          <cell r="A546" t="str">
            <v>AHW-41468I20</v>
          </cell>
          <cell r="B546" t="str">
            <v>SZX253405</v>
          </cell>
          <cell r="C546" t="str">
            <v>Original</v>
          </cell>
          <cell r="D546" t="str">
            <v>PANALPINA</v>
          </cell>
          <cell r="E546" t="str">
            <v>Rodoimport</v>
          </cell>
          <cell r="F546">
            <v>43937</v>
          </cell>
          <cell r="G546">
            <v>43945</v>
          </cell>
          <cell r="H546">
            <v>43947</v>
          </cell>
          <cell r="I546" t="str">
            <v>14.05.2020</v>
          </cell>
          <cell r="J546" t="str">
            <v>24.04.2020</v>
          </cell>
          <cell r="K546" t="str">
            <v>-</v>
          </cell>
          <cell r="L546" t="str">
            <v>OK</v>
          </cell>
        </row>
        <row r="547">
          <cell r="A547" t="str">
            <v>AHW-41369I20</v>
          </cell>
          <cell r="B547">
            <v>80526067</v>
          </cell>
          <cell r="C547" t="str">
            <v>Original</v>
          </cell>
          <cell r="D547" t="str">
            <v>CEVA</v>
          </cell>
          <cell r="E547" t="str">
            <v>Rodoimport</v>
          </cell>
          <cell r="F547">
            <v>43941</v>
          </cell>
          <cell r="G547">
            <v>43949</v>
          </cell>
          <cell r="H547">
            <v>43951</v>
          </cell>
          <cell r="I547" t="str">
            <v>12.05.2020</v>
          </cell>
          <cell r="J547" t="str">
            <v>28.04.2020</v>
          </cell>
          <cell r="K547" t="str">
            <v>-</v>
          </cell>
          <cell r="L547" t="str">
            <v>OK</v>
          </cell>
        </row>
        <row r="548">
          <cell r="A548" t="str">
            <v>AHW-41370I20</v>
          </cell>
          <cell r="B548" t="str">
            <v>CTS122540</v>
          </cell>
          <cell r="C548" t="str">
            <v>Original</v>
          </cell>
          <cell r="D548" t="str">
            <v>CTS</v>
          </cell>
          <cell r="E548" t="str">
            <v>Rodoimport</v>
          </cell>
          <cell r="F548">
            <v>43941</v>
          </cell>
          <cell r="G548">
            <v>43949</v>
          </cell>
          <cell r="H548">
            <v>43951</v>
          </cell>
          <cell r="I548" t="str">
            <v>12.05.2020</v>
          </cell>
          <cell r="J548" t="str">
            <v>28.04.2020</v>
          </cell>
          <cell r="K548" t="str">
            <v>-</v>
          </cell>
          <cell r="L548" t="str">
            <v>OK</v>
          </cell>
        </row>
        <row r="549">
          <cell r="A549" t="str">
            <v>AHW-41419I20</v>
          </cell>
          <cell r="B549">
            <v>80526086</v>
          </cell>
          <cell r="C549" t="str">
            <v>Original</v>
          </cell>
          <cell r="D549" t="str">
            <v>CEVA</v>
          </cell>
          <cell r="E549" t="str">
            <v>Rodoimport</v>
          </cell>
          <cell r="F549">
            <v>43941</v>
          </cell>
          <cell r="G549">
            <v>43949</v>
          </cell>
          <cell r="H549">
            <v>43951</v>
          </cell>
          <cell r="I549" t="str">
            <v>12.05.2020</v>
          </cell>
          <cell r="J549" t="str">
            <v>28.04.2020</v>
          </cell>
          <cell r="K549" t="str">
            <v>-</v>
          </cell>
          <cell r="L549" t="str">
            <v>OK</v>
          </cell>
        </row>
        <row r="550">
          <cell r="A550" t="str">
            <v>SHW-41080I20</v>
          </cell>
          <cell r="B550">
            <v>592145606</v>
          </cell>
          <cell r="C550" t="str">
            <v>Original</v>
          </cell>
          <cell r="D550" t="str">
            <v>Panalpina</v>
          </cell>
          <cell r="E550" t="str">
            <v>TKT</v>
          </cell>
          <cell r="F550">
            <v>43941</v>
          </cell>
          <cell r="G550">
            <v>43949</v>
          </cell>
          <cell r="H550">
            <v>43951</v>
          </cell>
          <cell r="I550" t="str">
            <v>12.05.2020</v>
          </cell>
          <cell r="J550" t="str">
            <v>23.04.2020</v>
          </cell>
          <cell r="K550" t="str">
            <v>-</v>
          </cell>
          <cell r="L550" t="str">
            <v>OK</v>
          </cell>
        </row>
        <row r="551">
          <cell r="A551" t="str">
            <v>AHW-41653I20</v>
          </cell>
          <cell r="B551" t="str">
            <v>CTS128739</v>
          </cell>
          <cell r="C551" t="str">
            <v>Original</v>
          </cell>
          <cell r="D551" t="str">
            <v>CTS</v>
          </cell>
          <cell r="E551" t="str">
            <v>Rodoimport</v>
          </cell>
          <cell r="F551">
            <v>43942</v>
          </cell>
          <cell r="G551">
            <v>43950</v>
          </cell>
          <cell r="H551">
            <v>43952</v>
          </cell>
          <cell r="I551" t="str">
            <v>14.05.2020</v>
          </cell>
          <cell r="J551" t="str">
            <v>28.04.2020</v>
          </cell>
          <cell r="K551" t="str">
            <v>-</v>
          </cell>
          <cell r="L551" t="str">
            <v>OK</v>
          </cell>
        </row>
        <row r="552">
          <cell r="A552" t="str">
            <v>AHW-41665I20</v>
          </cell>
          <cell r="B552" t="str">
            <v>CTS128745</v>
          </cell>
          <cell r="C552" t="str">
            <v>Original</v>
          </cell>
          <cell r="D552" t="str">
            <v>CTS</v>
          </cell>
          <cell r="E552" t="str">
            <v>Rodoimport</v>
          </cell>
          <cell r="F552">
            <v>43942</v>
          </cell>
          <cell r="G552">
            <v>43950</v>
          </cell>
          <cell r="H552">
            <v>43952</v>
          </cell>
          <cell r="I552" t="str">
            <v>12.05.2020</v>
          </cell>
          <cell r="J552" t="str">
            <v>28.04.2020</v>
          </cell>
          <cell r="K552" t="str">
            <v>-</v>
          </cell>
          <cell r="L552" t="str">
            <v>OK</v>
          </cell>
        </row>
        <row r="553">
          <cell r="A553" t="str">
            <v>SHW-41143I20</v>
          </cell>
          <cell r="B553">
            <v>592848167</v>
          </cell>
          <cell r="C553" t="str">
            <v>Original</v>
          </cell>
          <cell r="D553" t="str">
            <v>Panalpina</v>
          </cell>
          <cell r="E553" t="str">
            <v>TKT</v>
          </cell>
          <cell r="F553">
            <v>43943</v>
          </cell>
          <cell r="G553">
            <v>43951</v>
          </cell>
          <cell r="H553">
            <v>43953</v>
          </cell>
          <cell r="I553" t="str">
            <v>12.05.2020</v>
          </cell>
          <cell r="J553" t="str">
            <v>27.04.2020</v>
          </cell>
          <cell r="K553" t="str">
            <v>-</v>
          </cell>
          <cell r="L553" t="str">
            <v>OK</v>
          </cell>
        </row>
        <row r="554">
          <cell r="A554" t="str">
            <v>SHW-41214I20</v>
          </cell>
          <cell r="B554" t="str">
            <v>EGLV149000814040</v>
          </cell>
          <cell r="C554" t="str">
            <v>Original</v>
          </cell>
          <cell r="D554" t="str">
            <v>Panalpina</v>
          </cell>
          <cell r="E554" t="str">
            <v>TKT</v>
          </cell>
          <cell r="F554">
            <v>43943</v>
          </cell>
          <cell r="G554">
            <v>43951</v>
          </cell>
          <cell r="H554">
            <v>43953</v>
          </cell>
          <cell r="I554" t="str">
            <v>12.05.2020</v>
          </cell>
          <cell r="J554" t="str">
            <v>27.04.2020</v>
          </cell>
          <cell r="K554" t="str">
            <v>-</v>
          </cell>
          <cell r="L554" t="str">
            <v>OK</v>
          </cell>
        </row>
        <row r="555">
          <cell r="A555" t="str">
            <v>AHW-41536I20</v>
          </cell>
          <cell r="B555">
            <v>253444</v>
          </cell>
          <cell r="C555" t="str">
            <v>Original</v>
          </cell>
          <cell r="D555" t="str">
            <v>Panalpina</v>
          </cell>
          <cell r="E555" t="str">
            <v>Rodoimport</v>
          </cell>
          <cell r="F555">
            <v>43944</v>
          </cell>
          <cell r="G555">
            <v>43952</v>
          </cell>
          <cell r="H555">
            <v>43954</v>
          </cell>
          <cell r="I555" t="str">
            <v>12.05.2020</v>
          </cell>
          <cell r="J555" t="str">
            <v>28.04.2020</v>
          </cell>
          <cell r="K555" t="str">
            <v>-</v>
          </cell>
          <cell r="L555" t="str">
            <v>OK</v>
          </cell>
        </row>
        <row r="556">
          <cell r="A556" t="str">
            <v>AHW-41537I20</v>
          </cell>
          <cell r="B556">
            <v>253445</v>
          </cell>
          <cell r="C556" t="str">
            <v>Original</v>
          </cell>
          <cell r="D556" t="str">
            <v>Panalpina</v>
          </cell>
          <cell r="E556" t="str">
            <v>Rodoimport</v>
          </cell>
          <cell r="F556">
            <v>43944</v>
          </cell>
          <cell r="G556">
            <v>43952</v>
          </cell>
          <cell r="H556">
            <v>43954</v>
          </cell>
          <cell r="I556" t="str">
            <v>14.05.2020</v>
          </cell>
          <cell r="J556" t="str">
            <v>28.04.2020</v>
          </cell>
          <cell r="K556" t="str">
            <v>-</v>
          </cell>
          <cell r="L556" t="str">
            <v>OK</v>
          </cell>
        </row>
        <row r="557">
          <cell r="A557" t="str">
            <v>AHW-41558I20</v>
          </cell>
          <cell r="B557">
            <v>253458</v>
          </cell>
          <cell r="C557" t="str">
            <v>Original</v>
          </cell>
          <cell r="D557" t="str">
            <v>Panalpina</v>
          </cell>
          <cell r="E557" t="str">
            <v>Rodoimport</v>
          </cell>
          <cell r="F557">
            <v>43944</v>
          </cell>
          <cell r="G557">
            <v>43952</v>
          </cell>
          <cell r="H557">
            <v>43954</v>
          </cell>
          <cell r="I557" t="str">
            <v>14.05.2020</v>
          </cell>
          <cell r="J557" t="str">
            <v>-</v>
          </cell>
          <cell r="K557" t="str">
            <v>-</v>
          </cell>
          <cell r="L557" t="str">
            <v>OK</v>
          </cell>
        </row>
        <row r="558">
          <cell r="A558" t="str">
            <v>AHW-41632I20</v>
          </cell>
          <cell r="B558">
            <v>253484</v>
          </cell>
          <cell r="C558" t="str">
            <v>Original</v>
          </cell>
          <cell r="D558" t="str">
            <v>Panalpina</v>
          </cell>
          <cell r="E558" t="str">
            <v>Rodoimport</v>
          </cell>
          <cell r="F558">
            <v>43944</v>
          </cell>
          <cell r="G558">
            <v>43952</v>
          </cell>
          <cell r="H558">
            <v>43954</v>
          </cell>
          <cell r="I558" t="str">
            <v>12.05.2020</v>
          </cell>
          <cell r="J558" t="str">
            <v>28.04.2020</v>
          </cell>
          <cell r="K558" t="str">
            <v>-</v>
          </cell>
          <cell r="L558" t="str">
            <v>OK</v>
          </cell>
        </row>
        <row r="559">
          <cell r="A559" t="str">
            <v>AHW-41648I20</v>
          </cell>
          <cell r="B559">
            <v>253490</v>
          </cell>
          <cell r="C559" t="str">
            <v>Original</v>
          </cell>
          <cell r="D559" t="str">
            <v>Panalpina</v>
          </cell>
          <cell r="E559" t="str">
            <v>Rodoimport</v>
          </cell>
          <cell r="F559">
            <v>43944</v>
          </cell>
          <cell r="G559">
            <v>43952</v>
          </cell>
          <cell r="H559">
            <v>43954</v>
          </cell>
          <cell r="I559" t="str">
            <v>14.05.2020</v>
          </cell>
          <cell r="J559" t="str">
            <v>28.04.2020</v>
          </cell>
          <cell r="K559" t="str">
            <v>-</v>
          </cell>
          <cell r="L559" t="str">
            <v>OK</v>
          </cell>
        </row>
        <row r="560">
          <cell r="A560" t="str">
            <v>AHW-41652I20</v>
          </cell>
          <cell r="B560">
            <v>253481</v>
          </cell>
          <cell r="C560" t="str">
            <v>Original</v>
          </cell>
          <cell r="D560" t="str">
            <v>Panalpina</v>
          </cell>
          <cell r="E560" t="str">
            <v>Rodoimport</v>
          </cell>
          <cell r="F560">
            <v>43944</v>
          </cell>
          <cell r="G560">
            <v>43952</v>
          </cell>
          <cell r="H560">
            <v>43954</v>
          </cell>
          <cell r="I560" t="str">
            <v>14.05.2020</v>
          </cell>
          <cell r="J560" t="str">
            <v>28.04.2020</v>
          </cell>
          <cell r="K560" t="str">
            <v>-</v>
          </cell>
          <cell r="L560" t="str">
            <v>OK</v>
          </cell>
        </row>
        <row r="561">
          <cell r="A561" t="str">
            <v>AHW-41728I20</v>
          </cell>
          <cell r="B561">
            <v>128753</v>
          </cell>
          <cell r="C561" t="str">
            <v>Original</v>
          </cell>
          <cell r="D561" t="str">
            <v>CTS</v>
          </cell>
          <cell r="E561" t="str">
            <v>Rodoimport</v>
          </cell>
          <cell r="F561">
            <v>43945</v>
          </cell>
          <cell r="G561">
            <v>43953</v>
          </cell>
          <cell r="H561">
            <v>43955</v>
          </cell>
          <cell r="I561" t="str">
            <v>14.05.2020</v>
          </cell>
          <cell r="J561" t="str">
            <v>28.04.2020</v>
          </cell>
          <cell r="K561" t="str">
            <v>-</v>
          </cell>
          <cell r="L561" t="str">
            <v>OK</v>
          </cell>
        </row>
        <row r="562">
          <cell r="A562" t="str">
            <v>AHW-41666I20</v>
          </cell>
          <cell r="B562" t="str">
            <v>SAME2000507</v>
          </cell>
          <cell r="C562" t="str">
            <v>Original</v>
          </cell>
          <cell r="D562" t="str">
            <v>CTS</v>
          </cell>
          <cell r="E562" t="str">
            <v>Rodoimport</v>
          </cell>
          <cell r="F562">
            <v>43949</v>
          </cell>
          <cell r="G562">
            <v>43957</v>
          </cell>
          <cell r="H562">
            <v>43959</v>
          </cell>
          <cell r="I562" t="str">
            <v>12.05.2020</v>
          </cell>
          <cell r="J562" t="str">
            <v>11.05.2020</v>
          </cell>
          <cell r="K562" t="str">
            <v>-</v>
          </cell>
          <cell r="L562" t="str">
            <v>OK</v>
          </cell>
        </row>
        <row r="563">
          <cell r="A563" t="str">
            <v>SHW-41274I20</v>
          </cell>
          <cell r="B563">
            <v>592145603</v>
          </cell>
          <cell r="C563" t="str">
            <v>Original</v>
          </cell>
          <cell r="D563" t="str">
            <v>Panalpina</v>
          </cell>
          <cell r="E563" t="str">
            <v>TKT</v>
          </cell>
          <cell r="F563">
            <v>43949</v>
          </cell>
          <cell r="G563">
            <v>43957</v>
          </cell>
          <cell r="H563">
            <v>43959</v>
          </cell>
          <cell r="I563" t="str">
            <v>12.05.2020</v>
          </cell>
          <cell r="J563" t="str">
            <v>12.05.2020</v>
          </cell>
          <cell r="K563" t="str">
            <v>-</v>
          </cell>
          <cell r="L563" t="str">
            <v>OK</v>
          </cell>
        </row>
        <row r="564">
          <cell r="A564" t="str">
            <v>AHW-41655I20</v>
          </cell>
          <cell r="B564" t="str">
            <v>SZX253515</v>
          </cell>
          <cell r="C564" t="str">
            <v>Original</v>
          </cell>
          <cell r="D564" t="str">
            <v>Panalpina</v>
          </cell>
          <cell r="E564" t="str">
            <v>Rodoimport</v>
          </cell>
          <cell r="F564">
            <v>43950</v>
          </cell>
          <cell r="G564">
            <v>43958</v>
          </cell>
          <cell r="H564">
            <v>43960</v>
          </cell>
          <cell r="I564" t="str">
            <v>12.05.2020</v>
          </cell>
          <cell r="J564" t="str">
            <v>11.05.2020</v>
          </cell>
          <cell r="K564" t="str">
            <v>-</v>
          </cell>
          <cell r="L564" t="str">
            <v>OK</v>
          </cell>
        </row>
        <row r="565">
          <cell r="A565" t="str">
            <v>AHW-41661I20</v>
          </cell>
          <cell r="B565" t="str">
            <v>SZX253516</v>
          </cell>
          <cell r="C565" t="str">
            <v>Original</v>
          </cell>
          <cell r="D565" t="str">
            <v>Panalpina</v>
          </cell>
          <cell r="E565" t="str">
            <v>Rodoimport</v>
          </cell>
          <cell r="F565">
            <v>43950</v>
          </cell>
          <cell r="G565">
            <v>43958</v>
          </cell>
          <cell r="H565">
            <v>43960</v>
          </cell>
          <cell r="I565" t="str">
            <v>12.05.2020</v>
          </cell>
          <cell r="J565" t="str">
            <v>11.05.2020</v>
          </cell>
          <cell r="K565" t="str">
            <v>-</v>
          </cell>
          <cell r="L565" t="str">
            <v>OK</v>
          </cell>
        </row>
        <row r="566">
          <cell r="A566" t="str">
            <v>AHW-41664I20</v>
          </cell>
          <cell r="B566" t="str">
            <v>SZX253533</v>
          </cell>
          <cell r="C566" t="str">
            <v>Original</v>
          </cell>
          <cell r="D566" t="str">
            <v>Panalpina</v>
          </cell>
          <cell r="E566" t="str">
            <v>Rodoimport</v>
          </cell>
          <cell r="F566">
            <v>43950</v>
          </cell>
          <cell r="G566">
            <v>43958</v>
          </cell>
          <cell r="H566">
            <v>43960</v>
          </cell>
          <cell r="I566" t="str">
            <v>12.05.2020</v>
          </cell>
          <cell r="J566" t="str">
            <v>11.05.2020</v>
          </cell>
          <cell r="K566" t="str">
            <v>-</v>
          </cell>
          <cell r="L566" t="str">
            <v>OK</v>
          </cell>
        </row>
        <row r="567">
          <cell r="A567" t="str">
            <v>AHW-41714I20</v>
          </cell>
          <cell r="B567" t="str">
            <v>SZX253568</v>
          </cell>
          <cell r="C567" t="str">
            <v>Original</v>
          </cell>
          <cell r="D567" t="str">
            <v>Panalpina</v>
          </cell>
          <cell r="E567" t="str">
            <v>Rodoimport</v>
          </cell>
          <cell r="F567">
            <v>43950</v>
          </cell>
          <cell r="G567">
            <v>43958</v>
          </cell>
          <cell r="H567">
            <v>43960</v>
          </cell>
          <cell r="I567" t="str">
            <v>12.05.2020</v>
          </cell>
          <cell r="J567" t="str">
            <v>11.05.2020</v>
          </cell>
          <cell r="K567" t="str">
            <v>-</v>
          </cell>
          <cell r="L567" t="str">
            <v>OK</v>
          </cell>
        </row>
        <row r="568">
          <cell r="A568" t="str">
            <v>AHW-41715I20</v>
          </cell>
          <cell r="B568" t="str">
            <v>SZX253569</v>
          </cell>
          <cell r="C568" t="str">
            <v>Original</v>
          </cell>
          <cell r="D568" t="str">
            <v>Panalpina</v>
          </cell>
          <cell r="E568" t="str">
            <v>Rodoimport</v>
          </cell>
          <cell r="F568">
            <v>43950</v>
          </cell>
          <cell r="G568">
            <v>43958</v>
          </cell>
          <cell r="H568">
            <v>43960</v>
          </cell>
          <cell r="I568" t="str">
            <v>12.05.2020</v>
          </cell>
          <cell r="J568" t="str">
            <v>11.05.2020</v>
          </cell>
          <cell r="K568" t="str">
            <v>-</v>
          </cell>
          <cell r="L568" t="str">
            <v>OK</v>
          </cell>
        </row>
        <row r="569">
          <cell r="A569" t="str">
            <v>AHW-41729I20</v>
          </cell>
          <cell r="B569" t="str">
            <v>SZX253575</v>
          </cell>
          <cell r="C569" t="str">
            <v>Original</v>
          </cell>
          <cell r="D569" t="str">
            <v>Panalpina</v>
          </cell>
          <cell r="E569" t="str">
            <v>Rodoimport</v>
          </cell>
          <cell r="F569">
            <v>43950</v>
          </cell>
          <cell r="G569">
            <v>43958</v>
          </cell>
          <cell r="H569">
            <v>43960</v>
          </cell>
          <cell r="I569" t="str">
            <v>12.05.2020</v>
          </cell>
          <cell r="J569" t="str">
            <v>11.05.2020</v>
          </cell>
          <cell r="K569" t="str">
            <v>-</v>
          </cell>
          <cell r="L569" t="str">
            <v>OK</v>
          </cell>
        </row>
        <row r="570">
          <cell r="A570" t="str">
            <v>SHW-41319I20</v>
          </cell>
          <cell r="B570" t="str">
            <v>EGLV149000923329</v>
          </cell>
          <cell r="C570" t="str">
            <v>Original</v>
          </cell>
          <cell r="D570" t="str">
            <v>Panalpina</v>
          </cell>
          <cell r="E570" t="str">
            <v>TKT</v>
          </cell>
          <cell r="F570">
            <v>43955</v>
          </cell>
          <cell r="G570">
            <v>43963</v>
          </cell>
          <cell r="H570">
            <v>43965</v>
          </cell>
          <cell r="I570" t="str">
            <v>12.05.2020</v>
          </cell>
          <cell r="J570" t="str">
            <v>12.05.2020</v>
          </cell>
          <cell r="K570" t="str">
            <v>-</v>
          </cell>
          <cell r="L570" t="str">
            <v>OK</v>
          </cell>
        </row>
        <row r="571">
          <cell r="A571" t="str">
            <v>AHW-41867I20</v>
          </cell>
          <cell r="B571">
            <v>2000550</v>
          </cell>
          <cell r="C571" t="str">
            <v>Original</v>
          </cell>
          <cell r="D571" t="str">
            <v>CTS</v>
          </cell>
          <cell r="E571" t="str">
            <v>Rodoimport</v>
          </cell>
          <cell r="F571">
            <v>43956</v>
          </cell>
          <cell r="G571">
            <v>43964</v>
          </cell>
          <cell r="H571">
            <v>43966</v>
          </cell>
          <cell r="I571" t="str">
            <v>14.05.2020</v>
          </cell>
          <cell r="J571" t="str">
            <v>14.05.2020</v>
          </cell>
          <cell r="K571" t="str">
            <v>-</v>
          </cell>
          <cell r="L571" t="str">
            <v>OK</v>
          </cell>
        </row>
        <row r="572">
          <cell r="A572" t="str">
            <v>AHW-41745I20</v>
          </cell>
          <cell r="B572">
            <v>800009</v>
          </cell>
          <cell r="C572" t="str">
            <v>Original</v>
          </cell>
          <cell r="D572" t="str">
            <v>Panalpina</v>
          </cell>
          <cell r="E572" t="str">
            <v>Rodoimport</v>
          </cell>
          <cell r="F572">
            <v>43957</v>
          </cell>
          <cell r="G572">
            <v>43965</v>
          </cell>
          <cell r="H572">
            <v>43967</v>
          </cell>
          <cell r="I572" t="str">
            <v>14.05.2020</v>
          </cell>
          <cell r="J572" t="str">
            <v>14.05.2020</v>
          </cell>
          <cell r="K572" t="str">
            <v>-</v>
          </cell>
          <cell r="L572" t="str">
            <v>OK</v>
          </cell>
        </row>
        <row r="573">
          <cell r="A573" t="str">
            <v>AHW-41777I20</v>
          </cell>
          <cell r="B573" t="str">
            <v>SZX800013</v>
          </cell>
          <cell r="C573" t="str">
            <v>Original</v>
          </cell>
          <cell r="D573" t="str">
            <v>Panalpina</v>
          </cell>
          <cell r="E573" t="str">
            <v>Rodoimport</v>
          </cell>
          <cell r="F573">
            <v>43957</v>
          </cell>
          <cell r="G573">
            <v>43965</v>
          </cell>
          <cell r="H573">
            <v>43967</v>
          </cell>
          <cell r="I573" t="str">
            <v>14.05.2020</v>
          </cell>
          <cell r="J573" t="str">
            <v>14.05.2020</v>
          </cell>
          <cell r="K573" t="str">
            <v>-</v>
          </cell>
          <cell r="L573" t="str">
            <v>OK</v>
          </cell>
        </row>
        <row r="574">
          <cell r="A574" t="str">
            <v>AHW-41736I20</v>
          </cell>
          <cell r="B574">
            <v>253616</v>
          </cell>
          <cell r="C574" t="str">
            <v>Original</v>
          </cell>
          <cell r="D574" t="str">
            <v>Panalpina</v>
          </cell>
          <cell r="E574" t="str">
            <v>Rodoimport</v>
          </cell>
          <cell r="F574">
            <v>43957</v>
          </cell>
          <cell r="G574">
            <v>43965</v>
          </cell>
          <cell r="H574">
            <v>43967</v>
          </cell>
          <cell r="I574" t="str">
            <v>14.05.2020</v>
          </cell>
          <cell r="J574" t="str">
            <v>14.05.2020</v>
          </cell>
          <cell r="K574" t="str">
            <v>-</v>
          </cell>
          <cell r="L574" t="str">
            <v>OK</v>
          </cell>
        </row>
        <row r="575">
          <cell r="A575" t="str">
            <v>AHW-41730I20</v>
          </cell>
          <cell r="B575">
            <v>253612</v>
          </cell>
          <cell r="C575" t="str">
            <v>Original</v>
          </cell>
          <cell r="D575" t="str">
            <v>Panalpina</v>
          </cell>
          <cell r="E575" t="str">
            <v>Rodoimport</v>
          </cell>
          <cell r="F575">
            <v>43957</v>
          </cell>
          <cell r="G575">
            <v>43965</v>
          </cell>
          <cell r="H575">
            <v>43967</v>
          </cell>
          <cell r="I575" t="str">
            <v>14.05.2020</v>
          </cell>
          <cell r="J575" t="str">
            <v>14.05.2020</v>
          </cell>
          <cell r="K575" t="str">
            <v>-</v>
          </cell>
          <cell r="L575" t="str">
            <v>OK</v>
          </cell>
        </row>
        <row r="576">
          <cell r="A576" t="str">
            <v>AHW-41731I20</v>
          </cell>
          <cell r="B576">
            <v>253613</v>
          </cell>
          <cell r="C576" t="str">
            <v>Original</v>
          </cell>
          <cell r="D576" t="str">
            <v>Panalpina</v>
          </cell>
          <cell r="E576" t="str">
            <v>Rodoimport</v>
          </cell>
          <cell r="F576">
            <v>43957</v>
          </cell>
          <cell r="G576">
            <v>43965</v>
          </cell>
          <cell r="H576">
            <v>43967</v>
          </cell>
          <cell r="I576" t="str">
            <v>14.05.2020</v>
          </cell>
          <cell r="J576" t="str">
            <v>14.05.2020</v>
          </cell>
          <cell r="K576" t="str">
            <v>-</v>
          </cell>
          <cell r="L576" t="str">
            <v>OK</v>
          </cell>
        </row>
        <row r="577">
          <cell r="A577" t="str">
            <v>AHW-41735I20</v>
          </cell>
          <cell r="B577">
            <v>253617</v>
          </cell>
          <cell r="C577" t="str">
            <v>Original</v>
          </cell>
          <cell r="D577" t="str">
            <v>Panalpina</v>
          </cell>
          <cell r="E577" t="str">
            <v>Rodoimport</v>
          </cell>
          <cell r="F577">
            <v>43957</v>
          </cell>
          <cell r="G577">
            <v>43965</v>
          </cell>
          <cell r="H577">
            <v>43967</v>
          </cell>
          <cell r="I577" t="str">
            <v>14.05.2020</v>
          </cell>
          <cell r="J577" t="str">
            <v>14.05.2020</v>
          </cell>
          <cell r="K577" t="str">
            <v>-</v>
          </cell>
          <cell r="L577" t="str">
            <v>OK</v>
          </cell>
        </row>
        <row r="578">
          <cell r="A578" t="str">
            <v>AHW-41868I20</v>
          </cell>
          <cell r="B578">
            <v>2000562</v>
          </cell>
          <cell r="C578" t="str">
            <v>Original</v>
          </cell>
          <cell r="D578" t="str">
            <v>CTS</v>
          </cell>
          <cell r="E578" t="str">
            <v>Rodoimport</v>
          </cell>
          <cell r="F578">
            <v>43957</v>
          </cell>
          <cell r="G578">
            <v>43965</v>
          </cell>
          <cell r="H578">
            <v>43967</v>
          </cell>
          <cell r="I578" t="str">
            <v>14.05.2020</v>
          </cell>
          <cell r="J578" t="str">
            <v>14.05.2020</v>
          </cell>
          <cell r="K578" t="str">
            <v>-</v>
          </cell>
          <cell r="L578" t="str">
            <v>OK</v>
          </cell>
        </row>
        <row r="579">
          <cell r="A579" t="str">
            <v>SHW-41382I20</v>
          </cell>
          <cell r="B579" t="str">
            <v>EGLV149000729131</v>
          </cell>
          <cell r="C579" t="str">
            <v>Original</v>
          </cell>
          <cell r="D579" t="str">
            <v>Panalpina</v>
          </cell>
          <cell r="E579" t="str">
            <v>TKT</v>
          </cell>
          <cell r="F579">
            <v>43957</v>
          </cell>
          <cell r="G579">
            <v>43965</v>
          </cell>
          <cell r="H579">
            <v>43967</v>
          </cell>
          <cell r="I579" t="str">
            <v>12.05.2020</v>
          </cell>
          <cell r="J579" t="str">
            <v>12.05.2020</v>
          </cell>
          <cell r="K579" t="str">
            <v>-</v>
          </cell>
          <cell r="L579" t="str">
            <v>OK</v>
          </cell>
        </row>
        <row r="580">
          <cell r="A580" t="str">
            <v>SHW-41408I20</v>
          </cell>
          <cell r="B580" t="str">
            <v>EGLV149001052330</v>
          </cell>
          <cell r="C580" t="str">
            <v>Original</v>
          </cell>
          <cell r="D580" t="str">
            <v>Panalpina</v>
          </cell>
          <cell r="E580" t="str">
            <v>TKT</v>
          </cell>
          <cell r="F580">
            <v>43957</v>
          </cell>
          <cell r="G580">
            <v>43965</v>
          </cell>
          <cell r="H580">
            <v>43967</v>
          </cell>
          <cell r="I580" t="str">
            <v>12.05.2020</v>
          </cell>
          <cell r="J580" t="str">
            <v>12.05.2020</v>
          </cell>
          <cell r="K580" t="str">
            <v>-</v>
          </cell>
          <cell r="L580" t="str">
            <v>OK</v>
          </cell>
        </row>
        <row r="581">
          <cell r="A581" t="str">
            <v>AHW-41845I20</v>
          </cell>
          <cell r="B581" t="str">
            <v>SZX800039</v>
          </cell>
          <cell r="C581" t="str">
            <v>Original</v>
          </cell>
          <cell r="D581" t="str">
            <v>Panalpina</v>
          </cell>
          <cell r="E581" t="str">
            <v>Rodoimport</v>
          </cell>
          <cell r="F581">
            <v>43958</v>
          </cell>
          <cell r="G581">
            <v>43966</v>
          </cell>
          <cell r="H581">
            <v>43968</v>
          </cell>
          <cell r="I581" t="str">
            <v>14.05.2020</v>
          </cell>
          <cell r="J581" t="str">
            <v>14.05.2020</v>
          </cell>
          <cell r="K581" t="str">
            <v>-</v>
          </cell>
          <cell r="L581" t="str">
            <v>OK</v>
          </cell>
        </row>
        <row r="582">
          <cell r="A582" t="str">
            <v>AHW-41869I20</v>
          </cell>
          <cell r="B582">
            <v>2000563</v>
          </cell>
          <cell r="C582" t="str">
            <v>Original</v>
          </cell>
          <cell r="D582" t="str">
            <v>CTS</v>
          </cell>
          <cell r="E582" t="str">
            <v>Rodoimport</v>
          </cell>
          <cell r="F582">
            <v>43958</v>
          </cell>
          <cell r="G582">
            <v>43966</v>
          </cell>
          <cell r="H582">
            <v>43968</v>
          </cell>
          <cell r="I582" t="str">
            <v>14.05.2020</v>
          </cell>
          <cell r="J582" t="str">
            <v>14.05.2020</v>
          </cell>
          <cell r="K582" t="str">
            <v>-</v>
          </cell>
          <cell r="L582" t="str">
            <v>OK</v>
          </cell>
        </row>
        <row r="583">
          <cell r="A583" t="str">
            <v>AHW-41844I20</v>
          </cell>
          <cell r="B583" t="str">
            <v>SZX800041</v>
          </cell>
          <cell r="C583" t="str">
            <v>Original</v>
          </cell>
          <cell r="D583" t="str">
            <v>Panalpina</v>
          </cell>
          <cell r="E583" t="str">
            <v>Rodoimport</v>
          </cell>
          <cell r="F583">
            <v>43958</v>
          </cell>
          <cell r="G583">
            <v>43966</v>
          </cell>
          <cell r="H583">
            <v>43968</v>
          </cell>
          <cell r="I583" t="str">
            <v>14.05.2020</v>
          </cell>
          <cell r="J583" t="str">
            <v>14.05.2020</v>
          </cell>
          <cell r="K583" t="str">
            <v>-</v>
          </cell>
          <cell r="L583" t="str">
            <v>OK</v>
          </cell>
        </row>
        <row r="584">
          <cell r="A584" t="str">
            <v>AHW-41846I20</v>
          </cell>
          <cell r="B584" t="str">
            <v>SZX800040</v>
          </cell>
          <cell r="C584" t="str">
            <v>Original</v>
          </cell>
          <cell r="D584" t="str">
            <v>Panalpina</v>
          </cell>
          <cell r="E584" t="str">
            <v>Rodoimport</v>
          </cell>
          <cell r="F584">
            <v>43958</v>
          </cell>
          <cell r="G584">
            <v>43966</v>
          </cell>
          <cell r="H584">
            <v>43968</v>
          </cell>
          <cell r="I584" t="str">
            <v>14.05.2020</v>
          </cell>
          <cell r="J584" t="str">
            <v>14.05.2020</v>
          </cell>
          <cell r="K584" t="str">
            <v>-</v>
          </cell>
          <cell r="L584" t="str">
            <v>OK</v>
          </cell>
        </row>
        <row r="585">
          <cell r="A585" t="str">
            <v>SHW-41446I20</v>
          </cell>
          <cell r="B585" t="str">
            <v>EGLV149000729140</v>
          </cell>
          <cell r="C585" t="str">
            <v>Original</v>
          </cell>
          <cell r="D585" t="str">
            <v>Panalpina</v>
          </cell>
          <cell r="E585" t="str">
            <v>TKT</v>
          </cell>
          <cell r="F585">
            <v>43963</v>
          </cell>
          <cell r="G585">
            <v>43971</v>
          </cell>
          <cell r="H585">
            <v>43973</v>
          </cell>
          <cell r="I585" t="str">
            <v>27.05.2020</v>
          </cell>
          <cell r="J585" t="str">
            <v>14.05.2020</v>
          </cell>
          <cell r="K585" t="str">
            <v>-</v>
          </cell>
          <cell r="L585" t="str">
            <v>OK</v>
          </cell>
        </row>
        <row r="586">
          <cell r="A586" t="str">
            <v>AHW-41961I20</v>
          </cell>
          <cell r="B586">
            <v>800089</v>
          </cell>
          <cell r="C586" t="str">
            <v>Original</v>
          </cell>
          <cell r="D586" t="str">
            <v>Panalpina</v>
          </cell>
          <cell r="E586" t="str">
            <v>Rodoimport</v>
          </cell>
          <cell r="F586">
            <v>43964</v>
          </cell>
          <cell r="G586">
            <v>43972</v>
          </cell>
          <cell r="H586">
            <v>43974</v>
          </cell>
          <cell r="I586" t="str">
            <v>15.05.2020</v>
          </cell>
          <cell r="J586" t="str">
            <v>25.05.2020</v>
          </cell>
          <cell r="K586" t="str">
            <v>-</v>
          </cell>
          <cell r="L586" t="str">
            <v>OK</v>
          </cell>
        </row>
        <row r="587">
          <cell r="A587" t="str">
            <v>AHW-41962I20</v>
          </cell>
          <cell r="B587">
            <v>800081</v>
          </cell>
          <cell r="C587" t="str">
            <v>Original</v>
          </cell>
          <cell r="D587" t="str">
            <v>Panalpina</v>
          </cell>
          <cell r="E587" t="str">
            <v>Rodoimport</v>
          </cell>
          <cell r="F587">
            <v>43964</v>
          </cell>
          <cell r="G587">
            <v>43972</v>
          </cell>
          <cell r="H587">
            <v>43974</v>
          </cell>
          <cell r="I587" t="str">
            <v>15.05.2020</v>
          </cell>
          <cell r="J587" t="str">
            <v>25.05.2020</v>
          </cell>
          <cell r="K587" t="str">
            <v>-</v>
          </cell>
          <cell r="L587" t="str">
            <v>OK</v>
          </cell>
        </row>
        <row r="588">
          <cell r="A588" t="str">
            <v>AHW-41967I20</v>
          </cell>
          <cell r="B588">
            <v>801152</v>
          </cell>
          <cell r="C588" t="str">
            <v>Original</v>
          </cell>
          <cell r="D588" t="str">
            <v>Panalpina</v>
          </cell>
          <cell r="E588" t="str">
            <v>Rodoimport</v>
          </cell>
          <cell r="F588">
            <v>43964</v>
          </cell>
          <cell r="G588">
            <v>43972</v>
          </cell>
          <cell r="H588">
            <v>43974</v>
          </cell>
          <cell r="I588" t="str">
            <v>15.05.2020</v>
          </cell>
          <cell r="J588" t="str">
            <v>25.05.2020</v>
          </cell>
          <cell r="K588" t="str">
            <v>-</v>
          </cell>
          <cell r="L588" t="str">
            <v>OK</v>
          </cell>
        </row>
        <row r="589">
          <cell r="A589" t="str">
            <v>AHW-41968I20</v>
          </cell>
          <cell r="B589">
            <v>801153</v>
          </cell>
          <cell r="C589" t="str">
            <v>Original</v>
          </cell>
          <cell r="D589" t="str">
            <v>Panalpina</v>
          </cell>
          <cell r="E589" t="str">
            <v>Rodoimport</v>
          </cell>
          <cell r="F589">
            <v>43964</v>
          </cell>
          <cell r="G589">
            <v>43972</v>
          </cell>
          <cell r="H589">
            <v>43974</v>
          </cell>
          <cell r="I589" t="str">
            <v>15.05.2020</v>
          </cell>
          <cell r="J589" t="str">
            <v>25.05.2020</v>
          </cell>
          <cell r="K589" t="str">
            <v>-</v>
          </cell>
          <cell r="L589" t="str">
            <v>OK</v>
          </cell>
        </row>
        <row r="590">
          <cell r="A590" t="str">
            <v>AHW-41969I20</v>
          </cell>
          <cell r="B590">
            <v>801154</v>
          </cell>
          <cell r="C590" t="str">
            <v>Original</v>
          </cell>
          <cell r="D590" t="str">
            <v>Panalpina</v>
          </cell>
          <cell r="E590" t="str">
            <v>Rodoimport</v>
          </cell>
          <cell r="F590">
            <v>43964</v>
          </cell>
          <cell r="G590">
            <v>43972</v>
          </cell>
          <cell r="H590">
            <v>43974</v>
          </cell>
          <cell r="I590" t="str">
            <v>15.05.2020</v>
          </cell>
          <cell r="J590" t="str">
            <v>25.05.2020</v>
          </cell>
          <cell r="K590" t="str">
            <v>-</v>
          </cell>
          <cell r="L590" t="str">
            <v>OK</v>
          </cell>
        </row>
        <row r="591">
          <cell r="A591" t="str">
            <v>AHW-41970I20</v>
          </cell>
          <cell r="B591">
            <v>801157</v>
          </cell>
          <cell r="C591" t="str">
            <v>Original</v>
          </cell>
          <cell r="D591" t="str">
            <v>Panalpina</v>
          </cell>
          <cell r="E591" t="str">
            <v>Rodoimport</v>
          </cell>
          <cell r="F591">
            <v>43964</v>
          </cell>
          <cell r="G591">
            <v>43972</v>
          </cell>
          <cell r="H591">
            <v>43974</v>
          </cell>
          <cell r="I591" t="str">
            <v>15.05.2020</v>
          </cell>
          <cell r="J591" t="str">
            <v>25.05.2020</v>
          </cell>
          <cell r="K591" t="str">
            <v>-</v>
          </cell>
          <cell r="L591" t="str">
            <v>OK</v>
          </cell>
        </row>
        <row r="592">
          <cell r="A592" t="str">
            <v>AHW-41971I20</v>
          </cell>
          <cell r="B592">
            <v>801164</v>
          </cell>
          <cell r="C592" t="str">
            <v>Original</v>
          </cell>
          <cell r="D592" t="str">
            <v>Panalpina</v>
          </cell>
          <cell r="E592" t="str">
            <v>Rodoimport</v>
          </cell>
          <cell r="F592">
            <v>43964</v>
          </cell>
          <cell r="G592">
            <v>43972</v>
          </cell>
          <cell r="H592">
            <v>43974</v>
          </cell>
          <cell r="I592" t="str">
            <v>15.05.2020</v>
          </cell>
          <cell r="J592" t="str">
            <v>25.05.2020</v>
          </cell>
          <cell r="K592" t="str">
            <v>-</v>
          </cell>
          <cell r="L592" t="str">
            <v>OK</v>
          </cell>
        </row>
        <row r="593">
          <cell r="A593" t="str">
            <v>AHW-41972I20</v>
          </cell>
          <cell r="B593">
            <v>801163</v>
          </cell>
          <cell r="C593" t="str">
            <v>Original</v>
          </cell>
          <cell r="D593" t="str">
            <v>Panalpina</v>
          </cell>
          <cell r="E593" t="str">
            <v>Rodoimport</v>
          </cell>
          <cell r="F593">
            <v>43964</v>
          </cell>
          <cell r="G593">
            <v>43972</v>
          </cell>
          <cell r="H593">
            <v>43974</v>
          </cell>
          <cell r="I593" t="str">
            <v>15.05.2020</v>
          </cell>
          <cell r="J593" t="str">
            <v>25.05.2020</v>
          </cell>
          <cell r="K593" t="str">
            <v>-</v>
          </cell>
          <cell r="L593" t="str">
            <v>OK</v>
          </cell>
        </row>
        <row r="594">
          <cell r="A594" t="str">
            <v>SHW-41483I20</v>
          </cell>
          <cell r="B594" t="str">
            <v>EGLV149001132970</v>
          </cell>
          <cell r="C594" t="str">
            <v>Original</v>
          </cell>
          <cell r="D594" t="str">
            <v>Panalpina</v>
          </cell>
          <cell r="E594" t="str">
            <v>TKT</v>
          </cell>
          <cell r="F594">
            <v>43964</v>
          </cell>
          <cell r="G594">
            <v>43972</v>
          </cell>
          <cell r="H594">
            <v>43974</v>
          </cell>
          <cell r="I594" t="str">
            <v>27.05.2020</v>
          </cell>
          <cell r="J594" t="str">
            <v>14.05.2020</v>
          </cell>
          <cell r="K594" t="str">
            <v>-</v>
          </cell>
          <cell r="L594" t="str">
            <v>OK</v>
          </cell>
        </row>
        <row r="595">
          <cell r="A595" t="str">
            <v>SHW-41478I20</v>
          </cell>
          <cell r="B595" t="str">
            <v>EGLV149001119353</v>
          </cell>
          <cell r="C595" t="str">
            <v>Original</v>
          </cell>
          <cell r="D595" t="str">
            <v>Panalpina</v>
          </cell>
          <cell r="E595" t="str">
            <v>TKT</v>
          </cell>
          <cell r="F595">
            <v>43965</v>
          </cell>
          <cell r="G595">
            <v>43973</v>
          </cell>
          <cell r="H595">
            <v>43975</v>
          </cell>
          <cell r="I595" t="str">
            <v>27.05.2020</v>
          </cell>
          <cell r="J595" t="str">
            <v>15.05.2020</v>
          </cell>
          <cell r="K595" t="str">
            <v>-</v>
          </cell>
          <cell r="L595" t="str">
            <v>OK</v>
          </cell>
        </row>
        <row r="596">
          <cell r="A596" t="str">
            <v>AHW-42023I20</v>
          </cell>
          <cell r="B596">
            <v>801196</v>
          </cell>
          <cell r="C596" t="str">
            <v>Original</v>
          </cell>
          <cell r="D596" t="str">
            <v>Panalpina</v>
          </cell>
          <cell r="E596" t="str">
            <v>Rodoimport</v>
          </cell>
          <cell r="F596">
            <v>43971</v>
          </cell>
          <cell r="G596">
            <v>43979</v>
          </cell>
          <cell r="H596">
            <v>43981</v>
          </cell>
          <cell r="I596" t="str">
            <v>04.06.2020</v>
          </cell>
          <cell r="J596" t="str">
            <v>02.06.2020</v>
          </cell>
          <cell r="K596" t="str">
            <v>-</v>
          </cell>
          <cell r="L596" t="str">
            <v>OK</v>
          </cell>
        </row>
        <row r="597">
          <cell r="A597" t="str">
            <v>AHW-42024I20</v>
          </cell>
          <cell r="B597">
            <v>801197</v>
          </cell>
          <cell r="C597" t="str">
            <v>Original</v>
          </cell>
          <cell r="D597" t="str">
            <v>Panalpina</v>
          </cell>
          <cell r="E597" t="str">
            <v>Rodoimport</v>
          </cell>
          <cell r="F597">
            <v>43971</v>
          </cell>
          <cell r="G597">
            <v>43979</v>
          </cell>
          <cell r="H597">
            <v>43981</v>
          </cell>
          <cell r="I597" t="str">
            <v>04.06.2020</v>
          </cell>
          <cell r="J597" t="str">
            <v>02.06.2020</v>
          </cell>
          <cell r="K597" t="str">
            <v>-</v>
          </cell>
          <cell r="L597" t="str">
            <v>OK</v>
          </cell>
        </row>
        <row r="598">
          <cell r="A598" t="str">
            <v>AHW-42026I20</v>
          </cell>
          <cell r="B598">
            <v>801200</v>
          </cell>
          <cell r="C598" t="str">
            <v>Original</v>
          </cell>
          <cell r="D598" t="str">
            <v>Panalpina</v>
          </cell>
          <cell r="E598" t="str">
            <v>Rodoimport</v>
          </cell>
          <cell r="F598">
            <v>43971</v>
          </cell>
          <cell r="G598">
            <v>43979</v>
          </cell>
          <cell r="H598">
            <v>43981</v>
          </cell>
          <cell r="I598" t="str">
            <v>04.06.2020</v>
          </cell>
          <cell r="J598" t="str">
            <v>02.06.2020</v>
          </cell>
          <cell r="K598" t="str">
            <v>-</v>
          </cell>
          <cell r="L598" t="str">
            <v>OK</v>
          </cell>
        </row>
        <row r="599">
          <cell r="A599" t="str">
            <v>AHW-42033I20</v>
          </cell>
          <cell r="B599">
            <v>801220</v>
          </cell>
          <cell r="C599" t="str">
            <v>Original</v>
          </cell>
          <cell r="D599" t="str">
            <v>Panalpina</v>
          </cell>
          <cell r="E599" t="str">
            <v>Rodoimport</v>
          </cell>
          <cell r="F599">
            <v>43971</v>
          </cell>
          <cell r="G599">
            <v>43979</v>
          </cell>
          <cell r="H599">
            <v>43981</v>
          </cell>
          <cell r="I599" t="str">
            <v>04.06.2020</v>
          </cell>
          <cell r="J599" t="str">
            <v>02.06.2020</v>
          </cell>
          <cell r="K599" t="str">
            <v>-</v>
          </cell>
          <cell r="L599" t="str">
            <v>OK</v>
          </cell>
        </row>
        <row r="600">
          <cell r="A600" t="str">
            <v>AHW-42025I20</v>
          </cell>
          <cell r="B600">
            <v>801199</v>
          </cell>
          <cell r="C600" t="str">
            <v>Original</v>
          </cell>
          <cell r="D600" t="str">
            <v>Panalpina</v>
          </cell>
          <cell r="E600" t="str">
            <v>Rodoimport</v>
          </cell>
          <cell r="F600">
            <v>43971</v>
          </cell>
          <cell r="G600">
            <v>43979</v>
          </cell>
          <cell r="H600">
            <v>43981</v>
          </cell>
          <cell r="I600" t="str">
            <v>04.06.2020</v>
          </cell>
          <cell r="J600" t="str">
            <v>02.06.2020</v>
          </cell>
          <cell r="K600" t="str">
            <v>-</v>
          </cell>
          <cell r="L600" t="str">
            <v>OK</v>
          </cell>
        </row>
        <row r="601">
          <cell r="A601" t="str">
            <v>AHW-42064I20</v>
          </cell>
          <cell r="B601">
            <v>80526374</v>
          </cell>
          <cell r="C601" t="str">
            <v>Original</v>
          </cell>
          <cell r="D601" t="str">
            <v>CEVA</v>
          </cell>
          <cell r="E601" t="str">
            <v>Rodoimport</v>
          </cell>
          <cell r="F601">
            <v>43971</v>
          </cell>
          <cell r="G601">
            <v>43979</v>
          </cell>
          <cell r="H601">
            <v>43981</v>
          </cell>
          <cell r="I601" t="str">
            <v>04.06.2020</v>
          </cell>
          <cell r="J601" t="str">
            <v>02.06.2020</v>
          </cell>
          <cell r="K601" t="str">
            <v>-</v>
          </cell>
          <cell r="L601" t="str">
            <v>OK</v>
          </cell>
        </row>
        <row r="602">
          <cell r="A602" t="str">
            <v>AHW-42061I20</v>
          </cell>
          <cell r="B602">
            <v>801287</v>
          </cell>
          <cell r="C602" t="str">
            <v>Original</v>
          </cell>
          <cell r="D602" t="str">
            <v>Panalpina</v>
          </cell>
          <cell r="E602" t="str">
            <v>Rodoimport</v>
          </cell>
          <cell r="F602">
            <v>43972</v>
          </cell>
          <cell r="G602">
            <v>43980</v>
          </cell>
          <cell r="H602">
            <v>43982</v>
          </cell>
          <cell r="I602" t="str">
            <v>04.06.2020</v>
          </cell>
          <cell r="J602" t="str">
            <v>02.06.2020</v>
          </cell>
          <cell r="K602" t="str">
            <v>-</v>
          </cell>
          <cell r="L602" t="str">
            <v>OK</v>
          </cell>
        </row>
        <row r="603">
          <cell r="A603" t="str">
            <v>AHW-42062I20</v>
          </cell>
          <cell r="B603">
            <v>801288</v>
          </cell>
          <cell r="C603" t="str">
            <v>Original</v>
          </cell>
          <cell r="D603" t="str">
            <v>Panalpina</v>
          </cell>
          <cell r="E603" t="str">
            <v>Rodoimport</v>
          </cell>
          <cell r="F603">
            <v>43972</v>
          </cell>
          <cell r="G603">
            <v>43980</v>
          </cell>
          <cell r="H603">
            <v>43982</v>
          </cell>
          <cell r="I603" t="str">
            <v>04.06.2020</v>
          </cell>
          <cell r="J603" t="str">
            <v>02.06.2020</v>
          </cell>
          <cell r="K603" t="str">
            <v>-</v>
          </cell>
          <cell r="L603" t="str">
            <v>OK</v>
          </cell>
        </row>
        <row r="604">
          <cell r="A604" t="str">
            <v>AHW-42063I20</v>
          </cell>
          <cell r="B604">
            <v>801286</v>
          </cell>
          <cell r="C604" t="str">
            <v>Original</v>
          </cell>
          <cell r="D604" t="str">
            <v>Panalpina</v>
          </cell>
          <cell r="E604" t="str">
            <v>Rodoimport</v>
          </cell>
          <cell r="F604">
            <v>43972</v>
          </cell>
          <cell r="G604">
            <v>43980</v>
          </cell>
          <cell r="H604">
            <v>43982</v>
          </cell>
          <cell r="I604" t="str">
            <v>04.06.2020</v>
          </cell>
          <cell r="J604" t="str">
            <v>02.06.2020</v>
          </cell>
          <cell r="K604" t="str">
            <v>-</v>
          </cell>
          <cell r="L604" t="str">
            <v>OK</v>
          </cell>
        </row>
        <row r="605">
          <cell r="A605" t="str">
            <v>AHW-42107I20</v>
          </cell>
          <cell r="B605">
            <v>80527899</v>
          </cell>
          <cell r="C605" t="str">
            <v>Original</v>
          </cell>
          <cell r="D605" t="str">
            <v>CEVA</v>
          </cell>
          <cell r="E605" t="str">
            <v>Rodoimport</v>
          </cell>
          <cell r="F605">
            <v>43973</v>
          </cell>
          <cell r="G605">
            <v>43981</v>
          </cell>
          <cell r="H605">
            <v>43983</v>
          </cell>
          <cell r="I605" t="str">
            <v>07.07.2020</v>
          </cell>
          <cell r="J605" t="str">
            <v>02.06.2020</v>
          </cell>
          <cell r="K605" t="str">
            <v>-</v>
          </cell>
          <cell r="L605" t="str">
            <v>OK</v>
          </cell>
        </row>
        <row r="606">
          <cell r="A606" t="str">
            <v>SHW-41663I20</v>
          </cell>
          <cell r="B606" t="str">
            <v>EGLV149001232257</v>
          </cell>
          <cell r="C606" t="str">
            <v>Original</v>
          </cell>
          <cell r="D606" t="str">
            <v>Panalpina</v>
          </cell>
          <cell r="E606" t="str">
            <v>TACT</v>
          </cell>
          <cell r="F606">
            <v>43973</v>
          </cell>
          <cell r="G606">
            <v>43981</v>
          </cell>
          <cell r="H606">
            <v>43983</v>
          </cell>
          <cell r="I606" t="str">
            <v>10.06.2020</v>
          </cell>
          <cell r="J606" t="str">
            <v>27.05.2020</v>
          </cell>
          <cell r="K606" t="str">
            <v>-</v>
          </cell>
          <cell r="L606" t="str">
            <v>OK</v>
          </cell>
        </row>
        <row r="607">
          <cell r="A607" t="str">
            <v>SHW-41658I20</v>
          </cell>
          <cell r="B607" t="str">
            <v>EGLV149001232877</v>
          </cell>
          <cell r="C607" t="str">
            <v>Original</v>
          </cell>
          <cell r="D607" t="str">
            <v>Panalpina</v>
          </cell>
          <cell r="E607" t="str">
            <v>TKT</v>
          </cell>
          <cell r="F607">
            <v>43973</v>
          </cell>
          <cell r="G607">
            <v>43981</v>
          </cell>
          <cell r="H607">
            <v>43983</v>
          </cell>
          <cell r="I607" t="str">
            <v>10.06.2020</v>
          </cell>
          <cell r="J607" t="str">
            <v>27.05.2020</v>
          </cell>
          <cell r="K607" t="str">
            <v>-</v>
          </cell>
          <cell r="L607" t="str">
            <v>OK</v>
          </cell>
        </row>
        <row r="608">
          <cell r="A608" t="str">
            <v>SHW-41659I20</v>
          </cell>
          <cell r="B608">
            <v>596809733</v>
          </cell>
          <cell r="C608" t="str">
            <v>Original</v>
          </cell>
          <cell r="D608" t="str">
            <v>Panalpina</v>
          </cell>
          <cell r="E608" t="str">
            <v>TKT</v>
          </cell>
          <cell r="F608">
            <v>43974</v>
          </cell>
          <cell r="G608">
            <v>43982</v>
          </cell>
          <cell r="H608">
            <v>43984</v>
          </cell>
          <cell r="I608" t="str">
            <v>10.06.2020</v>
          </cell>
          <cell r="J608" t="str">
            <v>27.05.2020</v>
          </cell>
          <cell r="K608" t="str">
            <v>-</v>
          </cell>
          <cell r="L608" t="str">
            <v>OK</v>
          </cell>
        </row>
        <row r="609">
          <cell r="A609" t="str">
            <v>AHW-42105I20</v>
          </cell>
          <cell r="B609">
            <v>80526398</v>
          </cell>
          <cell r="C609" t="str">
            <v>Original</v>
          </cell>
          <cell r="D609" t="str">
            <v>CEVA</v>
          </cell>
          <cell r="E609" t="str">
            <v>Rodoimport</v>
          </cell>
          <cell r="F609">
            <v>43976</v>
          </cell>
          <cell r="G609">
            <v>43984</v>
          </cell>
          <cell r="H609">
            <v>43986</v>
          </cell>
          <cell r="I609" t="str">
            <v>04.06.2020</v>
          </cell>
          <cell r="J609" t="str">
            <v>03.06.2020</v>
          </cell>
          <cell r="K609" t="str">
            <v>-</v>
          </cell>
          <cell r="L609" t="str">
            <v>OK</v>
          </cell>
        </row>
        <row r="610">
          <cell r="A610" t="str">
            <v>AHW-42139I20</v>
          </cell>
          <cell r="B610">
            <v>80527931</v>
          </cell>
          <cell r="C610" t="str">
            <v>Original</v>
          </cell>
          <cell r="D610" t="str">
            <v>CEVA</v>
          </cell>
          <cell r="E610" t="str">
            <v>Rodoimport</v>
          </cell>
          <cell r="F610">
            <v>43977</v>
          </cell>
          <cell r="G610">
            <v>43985</v>
          </cell>
          <cell r="H610">
            <v>43987</v>
          </cell>
          <cell r="I610" t="str">
            <v>04.06.2020</v>
          </cell>
          <cell r="J610" t="str">
            <v>03.06.2020</v>
          </cell>
          <cell r="K610" t="str">
            <v>-</v>
          </cell>
          <cell r="L610" t="str">
            <v>OK</v>
          </cell>
        </row>
        <row r="611">
          <cell r="A611" t="str">
            <v>AHW-42138I20</v>
          </cell>
          <cell r="B611">
            <v>80527918</v>
          </cell>
          <cell r="C611" t="str">
            <v>Original</v>
          </cell>
          <cell r="D611" t="str">
            <v>CEVA</v>
          </cell>
          <cell r="E611" t="str">
            <v>Rodoimport</v>
          </cell>
          <cell r="F611">
            <v>43978</v>
          </cell>
          <cell r="G611">
            <v>43986</v>
          </cell>
          <cell r="H611">
            <v>43988</v>
          </cell>
          <cell r="I611" t="str">
            <v>04.06.2020</v>
          </cell>
          <cell r="J611" t="str">
            <v>03.06.2020</v>
          </cell>
          <cell r="K611" t="str">
            <v>-</v>
          </cell>
          <cell r="L611" t="str">
            <v>OK</v>
          </cell>
        </row>
        <row r="612">
          <cell r="A612" t="str">
            <v>AHW-42106I20</v>
          </cell>
          <cell r="B612">
            <v>80526397</v>
          </cell>
          <cell r="C612" t="str">
            <v>Original</v>
          </cell>
          <cell r="D612" t="str">
            <v>CEVA</v>
          </cell>
          <cell r="E612" t="str">
            <v>Rodoimport</v>
          </cell>
          <cell r="F612">
            <v>43979</v>
          </cell>
          <cell r="G612">
            <v>43987</v>
          </cell>
          <cell r="H612">
            <v>43989</v>
          </cell>
          <cell r="I612" t="str">
            <v>04.06.2020</v>
          </cell>
          <cell r="J612" t="str">
            <v>03.06.2020</v>
          </cell>
          <cell r="K612" t="str">
            <v>-</v>
          </cell>
          <cell r="L612" t="str">
            <v>OK</v>
          </cell>
        </row>
        <row r="613">
          <cell r="A613" t="str">
            <v>AHW-42133I20</v>
          </cell>
          <cell r="B613">
            <v>80527903</v>
          </cell>
          <cell r="C613" t="str">
            <v>Original</v>
          </cell>
          <cell r="D613" t="str">
            <v>CEVA</v>
          </cell>
          <cell r="E613" t="str">
            <v>Rodoimport</v>
          </cell>
          <cell r="F613">
            <v>43979</v>
          </cell>
          <cell r="G613">
            <v>43987</v>
          </cell>
          <cell r="H613">
            <v>43989</v>
          </cell>
          <cell r="I613" t="str">
            <v>05.06.2020</v>
          </cell>
          <cell r="J613" t="str">
            <v>03.06.2020</v>
          </cell>
          <cell r="K613" t="str">
            <v>-</v>
          </cell>
          <cell r="L613" t="str">
            <v>OK</v>
          </cell>
        </row>
        <row r="614">
          <cell r="A614" t="str">
            <v>AHW-42178I20</v>
          </cell>
          <cell r="B614">
            <v>80527930</v>
          </cell>
          <cell r="C614" t="str">
            <v>Original</v>
          </cell>
          <cell r="D614" t="str">
            <v>CEVA</v>
          </cell>
          <cell r="E614" t="str">
            <v>Rodoimport</v>
          </cell>
          <cell r="F614">
            <v>43979</v>
          </cell>
          <cell r="G614">
            <v>43987</v>
          </cell>
          <cell r="H614">
            <v>43989</v>
          </cell>
          <cell r="I614" t="str">
            <v>05.06.2020</v>
          </cell>
          <cell r="J614" t="str">
            <v>03.06.2020</v>
          </cell>
          <cell r="K614" t="str">
            <v>-</v>
          </cell>
          <cell r="L614" t="str">
            <v>OK</v>
          </cell>
        </row>
        <row r="615">
          <cell r="A615" t="str">
            <v>AHW-42102I20</v>
          </cell>
          <cell r="B615">
            <v>801308</v>
          </cell>
          <cell r="C615" t="str">
            <v>Original</v>
          </cell>
          <cell r="D615" t="str">
            <v>Panalpina</v>
          </cell>
          <cell r="E615" t="str">
            <v>Rodoimport</v>
          </cell>
          <cell r="F615">
            <v>43979</v>
          </cell>
          <cell r="G615">
            <v>43987</v>
          </cell>
          <cell r="H615">
            <v>43989</v>
          </cell>
          <cell r="I615" t="str">
            <v>04.06.2020</v>
          </cell>
          <cell r="J615" t="str">
            <v>03.06.2020</v>
          </cell>
          <cell r="K615" t="str">
            <v>-</v>
          </cell>
          <cell r="L615" t="str">
            <v>OK</v>
          </cell>
        </row>
        <row r="616">
          <cell r="A616" t="str">
            <v>AHW-42274I20</v>
          </cell>
          <cell r="B616">
            <v>80527976</v>
          </cell>
          <cell r="C616" t="str">
            <v>Original</v>
          </cell>
          <cell r="D616" t="str">
            <v>CEVA</v>
          </cell>
          <cell r="E616" t="str">
            <v>Rodoimport</v>
          </cell>
          <cell r="F616">
            <v>43979</v>
          </cell>
          <cell r="G616">
            <v>43987</v>
          </cell>
          <cell r="H616">
            <v>43989</v>
          </cell>
          <cell r="I616" t="str">
            <v>05.06.2020</v>
          </cell>
          <cell r="J616" t="str">
            <v>03.06.2020</v>
          </cell>
          <cell r="K616" t="str">
            <v>-</v>
          </cell>
          <cell r="L616" t="str">
            <v>OK</v>
          </cell>
        </row>
        <row r="617">
          <cell r="A617" t="str">
            <v>AHW-42230I20</v>
          </cell>
          <cell r="B617">
            <v>80527951</v>
          </cell>
          <cell r="C617" t="str">
            <v>Original</v>
          </cell>
          <cell r="D617" t="str">
            <v>CEVA</v>
          </cell>
          <cell r="E617" t="str">
            <v>Rodoimport</v>
          </cell>
          <cell r="F617">
            <v>43979</v>
          </cell>
          <cell r="G617">
            <v>43987</v>
          </cell>
          <cell r="H617">
            <v>43989</v>
          </cell>
          <cell r="I617" t="str">
            <v>05.06.2020</v>
          </cell>
          <cell r="J617" t="str">
            <v>03.06.2020</v>
          </cell>
          <cell r="K617" t="str">
            <v>-</v>
          </cell>
          <cell r="L617" t="str">
            <v>OK</v>
          </cell>
        </row>
        <row r="618">
          <cell r="A618" t="str">
            <v>SHW-41737I20</v>
          </cell>
          <cell r="B618">
            <v>597719342</v>
          </cell>
          <cell r="C618" t="str">
            <v>Original</v>
          </cell>
          <cell r="D618" t="str">
            <v>Panalpina</v>
          </cell>
          <cell r="E618" t="str">
            <v>TACT</v>
          </cell>
          <cell r="F618">
            <v>43979</v>
          </cell>
          <cell r="G618">
            <v>43987</v>
          </cell>
          <cell r="H618">
            <v>43989</v>
          </cell>
          <cell r="I618" t="str">
            <v>10.06.2020</v>
          </cell>
          <cell r="J618" t="str">
            <v>05.06.2020</v>
          </cell>
          <cell r="K618" t="str">
            <v>-</v>
          </cell>
          <cell r="L618" t="str">
            <v>OK</v>
          </cell>
        </row>
        <row r="619">
          <cell r="A619" t="str">
            <v>AHW-42174I20</v>
          </cell>
          <cell r="B619">
            <v>801352</v>
          </cell>
          <cell r="C619" t="str">
            <v>Original</v>
          </cell>
          <cell r="D619" t="str">
            <v>Panalpina</v>
          </cell>
          <cell r="E619" t="str">
            <v>Rodoimport</v>
          </cell>
          <cell r="F619">
            <v>43980</v>
          </cell>
          <cell r="G619">
            <v>43988</v>
          </cell>
          <cell r="H619">
            <v>43990</v>
          </cell>
          <cell r="I619" t="str">
            <v>05.06.2020</v>
          </cell>
          <cell r="J619" t="str">
            <v>03.06.2020</v>
          </cell>
          <cell r="K619" t="str">
            <v>-</v>
          </cell>
          <cell r="L619" t="str">
            <v>OK</v>
          </cell>
        </row>
        <row r="620">
          <cell r="A620" t="str">
            <v>AHW-42057I20</v>
          </cell>
          <cell r="B620">
            <v>801249</v>
          </cell>
          <cell r="C620" t="str">
            <v>Original</v>
          </cell>
          <cell r="D620" t="str">
            <v>Panalpina</v>
          </cell>
          <cell r="E620" t="str">
            <v>Rodoimport</v>
          </cell>
          <cell r="F620">
            <v>43980</v>
          </cell>
          <cell r="G620">
            <v>43988</v>
          </cell>
          <cell r="H620">
            <v>43990</v>
          </cell>
          <cell r="I620" t="str">
            <v>04.06.2020</v>
          </cell>
          <cell r="J620" t="str">
            <v>03.06.2020</v>
          </cell>
          <cell r="K620" t="str">
            <v>-</v>
          </cell>
          <cell r="L620" t="str">
            <v>OK</v>
          </cell>
        </row>
        <row r="621">
          <cell r="A621" t="str">
            <v>AHW-42100I20</v>
          </cell>
          <cell r="B621">
            <v>801309</v>
          </cell>
          <cell r="C621" t="str">
            <v>Original</v>
          </cell>
          <cell r="D621" t="str">
            <v>Panalpina</v>
          </cell>
          <cell r="E621" t="str">
            <v>Rodoimport</v>
          </cell>
          <cell r="F621">
            <v>43980</v>
          </cell>
          <cell r="G621">
            <v>43988</v>
          </cell>
          <cell r="H621">
            <v>43990</v>
          </cell>
          <cell r="I621" t="str">
            <v>04.06.2020</v>
          </cell>
          <cell r="J621" t="str">
            <v>03.06.2020</v>
          </cell>
          <cell r="K621" t="str">
            <v>-</v>
          </cell>
          <cell r="L621" t="str">
            <v>OK</v>
          </cell>
        </row>
        <row r="622">
          <cell r="A622" t="str">
            <v>AHW-42104I20</v>
          </cell>
          <cell r="B622">
            <v>801306</v>
          </cell>
          <cell r="C622" t="str">
            <v>Original</v>
          </cell>
          <cell r="D622" t="str">
            <v>Panalpina</v>
          </cell>
          <cell r="E622" t="str">
            <v>Rodoimport</v>
          </cell>
          <cell r="F622">
            <v>43980</v>
          </cell>
          <cell r="G622">
            <v>43988</v>
          </cell>
          <cell r="H622">
            <v>43990</v>
          </cell>
          <cell r="I622" t="str">
            <v>04.06.2020</v>
          </cell>
          <cell r="J622" t="str">
            <v>03.06.2020</v>
          </cell>
          <cell r="K622" t="str">
            <v>-</v>
          </cell>
          <cell r="L622" t="str">
            <v>OK</v>
          </cell>
        </row>
        <row r="623">
          <cell r="A623" t="str">
            <v>AHW-42056I20</v>
          </cell>
          <cell r="B623">
            <v>801248</v>
          </cell>
          <cell r="C623" t="str">
            <v>Original</v>
          </cell>
          <cell r="D623" t="str">
            <v>Panalpina</v>
          </cell>
          <cell r="E623" t="str">
            <v>Rodoimport</v>
          </cell>
          <cell r="F623">
            <v>43980</v>
          </cell>
          <cell r="G623">
            <v>43988</v>
          </cell>
          <cell r="H623">
            <v>43990</v>
          </cell>
          <cell r="I623" t="str">
            <v>04.06.2020</v>
          </cell>
          <cell r="J623" t="str">
            <v>03.06.2020</v>
          </cell>
          <cell r="K623" t="str">
            <v>-</v>
          </cell>
          <cell r="L623" t="str">
            <v>OK</v>
          </cell>
        </row>
        <row r="624">
          <cell r="A624" t="str">
            <v>AHW-42101I20</v>
          </cell>
          <cell r="B624">
            <v>801332</v>
          </cell>
          <cell r="C624" t="str">
            <v>Original</v>
          </cell>
          <cell r="D624" t="str">
            <v>Panalpina</v>
          </cell>
          <cell r="E624" t="str">
            <v>Rodoimport</v>
          </cell>
          <cell r="F624">
            <v>43980</v>
          </cell>
          <cell r="G624">
            <v>43988</v>
          </cell>
          <cell r="H624">
            <v>43990</v>
          </cell>
          <cell r="I624" t="str">
            <v>04.06.2020</v>
          </cell>
          <cell r="J624" t="str">
            <v>03.06.2020</v>
          </cell>
          <cell r="K624" t="str">
            <v>-</v>
          </cell>
          <cell r="L624" t="str">
            <v>OK</v>
          </cell>
        </row>
        <row r="625">
          <cell r="A625" t="str">
            <v>AHW-42103I20</v>
          </cell>
          <cell r="B625">
            <v>801307</v>
          </cell>
          <cell r="C625" t="str">
            <v>Original</v>
          </cell>
          <cell r="D625" t="str">
            <v>Panalpina</v>
          </cell>
          <cell r="E625" t="str">
            <v>Rodoimport</v>
          </cell>
          <cell r="F625">
            <v>43980</v>
          </cell>
          <cell r="G625">
            <v>43988</v>
          </cell>
          <cell r="H625">
            <v>43990</v>
          </cell>
          <cell r="I625" t="str">
            <v>04.06.2020</v>
          </cell>
          <cell r="J625" t="str">
            <v>03.06.2020</v>
          </cell>
          <cell r="K625" t="str">
            <v>-</v>
          </cell>
          <cell r="L625" t="str">
            <v>OK</v>
          </cell>
        </row>
        <row r="626">
          <cell r="A626" t="str">
            <v>AHW-42055I20</v>
          </cell>
          <cell r="B626">
            <v>801250</v>
          </cell>
          <cell r="C626" t="str">
            <v>Original</v>
          </cell>
          <cell r="D626" t="str">
            <v>Panalpina</v>
          </cell>
          <cell r="E626" t="str">
            <v>Rodoimport</v>
          </cell>
          <cell r="F626">
            <v>43980</v>
          </cell>
          <cell r="G626">
            <v>43988</v>
          </cell>
          <cell r="H626">
            <v>43990</v>
          </cell>
          <cell r="I626" t="str">
            <v>04.06.2020</v>
          </cell>
          <cell r="J626" t="str">
            <v>03.06.2020</v>
          </cell>
          <cell r="K626" t="str">
            <v>-</v>
          </cell>
          <cell r="L626" t="str">
            <v>OK</v>
          </cell>
        </row>
        <row r="627">
          <cell r="A627" t="str">
            <v>AHW-42175I20</v>
          </cell>
          <cell r="B627">
            <v>801353</v>
          </cell>
          <cell r="C627" t="str">
            <v>Original</v>
          </cell>
          <cell r="D627" t="str">
            <v>Panalpina</v>
          </cell>
          <cell r="E627" t="str">
            <v>Rodoimport</v>
          </cell>
          <cell r="F627">
            <v>43980</v>
          </cell>
          <cell r="G627">
            <v>43988</v>
          </cell>
          <cell r="H627">
            <v>43990</v>
          </cell>
          <cell r="I627" t="str">
            <v>05.06.2020</v>
          </cell>
          <cell r="J627" t="str">
            <v>03.06.2020</v>
          </cell>
          <cell r="K627" t="str">
            <v>-</v>
          </cell>
          <cell r="L627" t="str">
            <v>OK</v>
          </cell>
        </row>
        <row r="628">
          <cell r="A628" t="str">
            <v>AHW-42176I20</v>
          </cell>
          <cell r="B628">
            <v>801355</v>
          </cell>
          <cell r="C628" t="str">
            <v>Original</v>
          </cell>
          <cell r="D628" t="str">
            <v>Panalpina</v>
          </cell>
          <cell r="E628" t="str">
            <v>Rodoimport</v>
          </cell>
          <cell r="F628">
            <v>43980</v>
          </cell>
          <cell r="G628">
            <v>43988</v>
          </cell>
          <cell r="H628">
            <v>43990</v>
          </cell>
          <cell r="I628" t="str">
            <v>07.07.2020</v>
          </cell>
          <cell r="J628" t="str">
            <v>03.06.2020</v>
          </cell>
          <cell r="K628" t="str">
            <v>-</v>
          </cell>
          <cell r="L628" t="str">
            <v>OK</v>
          </cell>
        </row>
        <row r="629">
          <cell r="A629" t="str">
            <v>AHW-42177I20</v>
          </cell>
          <cell r="B629">
            <v>801354</v>
          </cell>
          <cell r="C629" t="str">
            <v>Original</v>
          </cell>
          <cell r="D629" t="str">
            <v>Panalpina</v>
          </cell>
          <cell r="E629" t="str">
            <v>Rodoimport</v>
          </cell>
          <cell r="F629">
            <v>43980</v>
          </cell>
          <cell r="G629">
            <v>43988</v>
          </cell>
          <cell r="H629">
            <v>43990</v>
          </cell>
          <cell r="I629" t="str">
            <v>05.06.2020</v>
          </cell>
          <cell r="J629" t="str">
            <v>03.06.2020</v>
          </cell>
          <cell r="K629" t="str">
            <v>-</v>
          </cell>
          <cell r="L629" t="str">
            <v>OK</v>
          </cell>
        </row>
        <row r="630">
          <cell r="A630" t="str">
            <v>AHW-42179I20</v>
          </cell>
          <cell r="B630">
            <v>801356</v>
          </cell>
          <cell r="C630" t="str">
            <v>Original</v>
          </cell>
          <cell r="D630" t="str">
            <v>Panalpina</v>
          </cell>
          <cell r="E630" t="str">
            <v>Rodoimport</v>
          </cell>
          <cell r="F630">
            <v>43980</v>
          </cell>
          <cell r="G630">
            <v>43988</v>
          </cell>
          <cell r="H630">
            <v>43990</v>
          </cell>
          <cell r="I630" t="str">
            <v>05.06.2020</v>
          </cell>
          <cell r="J630" t="str">
            <v>03.06.2020</v>
          </cell>
          <cell r="K630" t="str">
            <v>-</v>
          </cell>
          <cell r="L630" t="str">
            <v>OK</v>
          </cell>
        </row>
        <row r="631">
          <cell r="A631" t="str">
            <v>AHW-42273I20</v>
          </cell>
          <cell r="B631">
            <v>80527982</v>
          </cell>
          <cell r="C631" t="str">
            <v>Original</v>
          </cell>
          <cell r="D631" t="str">
            <v>CEVA</v>
          </cell>
          <cell r="E631" t="str">
            <v>Rodoimport</v>
          </cell>
          <cell r="F631">
            <v>43984</v>
          </cell>
          <cell r="G631">
            <v>43992</v>
          </cell>
          <cell r="H631">
            <v>43994</v>
          </cell>
          <cell r="I631" t="str">
            <v>24.06.2020</v>
          </cell>
          <cell r="J631" t="str">
            <v>17.06.2020</v>
          </cell>
          <cell r="K631" t="str">
            <v>-</v>
          </cell>
          <cell r="L631" t="str">
            <v>OK</v>
          </cell>
        </row>
        <row r="632">
          <cell r="A632" t="str">
            <v>AHW-42275I20</v>
          </cell>
          <cell r="B632">
            <v>80527978</v>
          </cell>
          <cell r="C632" t="str">
            <v>Original</v>
          </cell>
          <cell r="D632" t="str">
            <v>CEVA</v>
          </cell>
          <cell r="E632" t="str">
            <v>Rodoimport</v>
          </cell>
          <cell r="F632">
            <v>43984</v>
          </cell>
          <cell r="G632">
            <v>43992</v>
          </cell>
          <cell r="H632">
            <v>43994</v>
          </cell>
          <cell r="I632" t="str">
            <v>10.06.2020</v>
          </cell>
          <cell r="J632" t="str">
            <v>17.06.2020</v>
          </cell>
          <cell r="K632" t="str">
            <v>-</v>
          </cell>
          <cell r="L632" t="str">
            <v>OK</v>
          </cell>
        </row>
        <row r="633">
          <cell r="A633" t="str">
            <v>SHW-41723I20</v>
          </cell>
          <cell r="B633" t="str">
            <v>EGLV149001321454</v>
          </cell>
          <cell r="C633" t="str">
            <v>Original</v>
          </cell>
          <cell r="D633" t="str">
            <v>Panalpina</v>
          </cell>
          <cell r="E633" t="str">
            <v>TACT</v>
          </cell>
          <cell r="F633">
            <v>43985</v>
          </cell>
          <cell r="G633">
            <v>43993</v>
          </cell>
          <cell r="H633">
            <v>43995</v>
          </cell>
          <cell r="I633" t="str">
            <v>10.06.2020</v>
          </cell>
          <cell r="J633" t="str">
            <v>03.06.2020</v>
          </cell>
          <cell r="K633" t="str">
            <v>-</v>
          </cell>
          <cell r="L633" t="str">
            <v>OK</v>
          </cell>
        </row>
        <row r="634">
          <cell r="A634" t="str">
            <v>SHW-41738I20</v>
          </cell>
          <cell r="B634" t="str">
            <v>EGLV149001346554</v>
          </cell>
          <cell r="C634" t="str">
            <v>Original</v>
          </cell>
          <cell r="D634" t="str">
            <v>Panalpina</v>
          </cell>
          <cell r="E634" t="str">
            <v>TACT</v>
          </cell>
          <cell r="F634">
            <v>43985</v>
          </cell>
          <cell r="G634">
            <v>43993</v>
          </cell>
          <cell r="H634">
            <v>43995</v>
          </cell>
          <cell r="I634" t="str">
            <v>10.06.2020</v>
          </cell>
          <cell r="J634" t="str">
            <v>03.06.2020</v>
          </cell>
          <cell r="K634" t="str">
            <v>-</v>
          </cell>
          <cell r="L634" t="str">
            <v>OK</v>
          </cell>
        </row>
        <row r="635">
          <cell r="A635" t="str">
            <v>SHW-41710I20</v>
          </cell>
          <cell r="B635" t="str">
            <v>EGLV149000986592</v>
          </cell>
          <cell r="C635" t="str">
            <v>Original</v>
          </cell>
          <cell r="D635" t="str">
            <v>Panalpina</v>
          </cell>
          <cell r="E635" t="str">
            <v>TACT</v>
          </cell>
          <cell r="F635">
            <v>43985</v>
          </cell>
          <cell r="G635">
            <v>43993</v>
          </cell>
          <cell r="H635">
            <v>43995</v>
          </cell>
          <cell r="I635" t="str">
            <v>10.06.2020</v>
          </cell>
          <cell r="J635" t="str">
            <v>03.06.2020</v>
          </cell>
          <cell r="K635" t="str">
            <v>-</v>
          </cell>
          <cell r="L635" t="str">
            <v>OK</v>
          </cell>
        </row>
        <row r="636">
          <cell r="A636" t="str">
            <v>AHW-42295I20</v>
          </cell>
          <cell r="B636">
            <v>80527993</v>
          </cell>
          <cell r="C636" t="str">
            <v>Original</v>
          </cell>
          <cell r="D636" t="str">
            <v>CEVA</v>
          </cell>
          <cell r="E636" t="str">
            <v>Rodoimport</v>
          </cell>
          <cell r="F636">
            <v>43986</v>
          </cell>
          <cell r="G636">
            <v>43994</v>
          </cell>
          <cell r="H636">
            <v>43996</v>
          </cell>
          <cell r="I636" t="str">
            <v>24.06.2020</v>
          </cell>
          <cell r="J636" t="str">
            <v>17.06.2020</v>
          </cell>
          <cell r="K636" t="str">
            <v>-</v>
          </cell>
          <cell r="L636" t="str">
            <v>OK</v>
          </cell>
        </row>
        <row r="637">
          <cell r="A637" t="str">
            <v>AHW-42297I20</v>
          </cell>
          <cell r="B637">
            <v>80528009</v>
          </cell>
          <cell r="C637" t="str">
            <v>Original</v>
          </cell>
          <cell r="D637" t="str">
            <v>CEVA</v>
          </cell>
          <cell r="E637" t="str">
            <v>Rodoimport</v>
          </cell>
          <cell r="F637">
            <v>43986</v>
          </cell>
          <cell r="G637">
            <v>43994</v>
          </cell>
          <cell r="H637">
            <v>43996</v>
          </cell>
          <cell r="I637" t="str">
            <v>24.06.2020</v>
          </cell>
          <cell r="J637" t="str">
            <v>17.06.2020</v>
          </cell>
          <cell r="K637" t="str">
            <v>-</v>
          </cell>
          <cell r="L637" t="str">
            <v>OK</v>
          </cell>
        </row>
        <row r="638">
          <cell r="A638" t="str">
            <v>AHW-42298I20</v>
          </cell>
          <cell r="B638">
            <v>80528008</v>
          </cell>
          <cell r="C638" t="str">
            <v>Original</v>
          </cell>
          <cell r="D638" t="str">
            <v>CEVA</v>
          </cell>
          <cell r="E638" t="str">
            <v>Rodoimport</v>
          </cell>
          <cell r="F638">
            <v>43986</v>
          </cell>
          <cell r="G638">
            <v>43994</v>
          </cell>
          <cell r="H638">
            <v>43996</v>
          </cell>
          <cell r="I638" t="str">
            <v>24.06.2020</v>
          </cell>
          <cell r="J638" t="str">
            <v>17.06.2020</v>
          </cell>
          <cell r="K638" t="str">
            <v>-</v>
          </cell>
          <cell r="L638" t="str">
            <v>OK</v>
          </cell>
        </row>
        <row r="639">
          <cell r="A639" t="str">
            <v>AHW-42296I20</v>
          </cell>
          <cell r="B639">
            <v>80528004</v>
          </cell>
          <cell r="C639" t="str">
            <v>Original</v>
          </cell>
          <cell r="D639" t="str">
            <v>CEVA</v>
          </cell>
          <cell r="E639" t="str">
            <v>Rodoimport</v>
          </cell>
          <cell r="F639">
            <v>43987</v>
          </cell>
          <cell r="G639">
            <v>43995</v>
          </cell>
          <cell r="H639">
            <v>43997</v>
          </cell>
          <cell r="I639" t="str">
            <v>24.06.2020</v>
          </cell>
          <cell r="J639" t="str">
            <v>17.06.2020</v>
          </cell>
          <cell r="K639" t="str">
            <v>-</v>
          </cell>
          <cell r="L639" t="str">
            <v>OK</v>
          </cell>
        </row>
        <row r="640">
          <cell r="A640" t="str">
            <v>AHW-42380I20</v>
          </cell>
          <cell r="B640">
            <v>80528021</v>
          </cell>
          <cell r="C640" t="str">
            <v>Original</v>
          </cell>
          <cell r="D640" t="str">
            <v>CEVA</v>
          </cell>
          <cell r="E640" t="str">
            <v>Rodoimport</v>
          </cell>
          <cell r="F640">
            <v>43987</v>
          </cell>
          <cell r="G640">
            <v>43995</v>
          </cell>
          <cell r="H640">
            <v>43997</v>
          </cell>
          <cell r="I640" t="str">
            <v>24.06.2020</v>
          </cell>
          <cell r="J640" t="str">
            <v>17.06.2020</v>
          </cell>
          <cell r="K640" t="str">
            <v>-</v>
          </cell>
          <cell r="L640" t="str">
            <v>OK</v>
          </cell>
        </row>
        <row r="641">
          <cell r="A641" t="str">
            <v>AHW-42390I20</v>
          </cell>
          <cell r="B641">
            <v>80528032</v>
          </cell>
          <cell r="C641" t="str">
            <v>Original</v>
          </cell>
          <cell r="D641" t="str">
            <v>CEVA</v>
          </cell>
          <cell r="E641" t="str">
            <v>Rodoimport</v>
          </cell>
          <cell r="F641">
            <v>43987</v>
          </cell>
          <cell r="G641">
            <v>43995</v>
          </cell>
          <cell r="H641">
            <v>43997</v>
          </cell>
          <cell r="I641" t="str">
            <v>24.06.2020</v>
          </cell>
          <cell r="J641" t="str">
            <v>17.06.2020</v>
          </cell>
          <cell r="K641" t="str">
            <v>-</v>
          </cell>
          <cell r="L641" t="str">
            <v>OK</v>
          </cell>
        </row>
        <row r="642">
          <cell r="A642" t="str">
            <v>AHW-42418I20</v>
          </cell>
          <cell r="B642">
            <v>80528042</v>
          </cell>
          <cell r="C642" t="str">
            <v>Original</v>
          </cell>
          <cell r="D642" t="str">
            <v>CEVA</v>
          </cell>
          <cell r="E642" t="str">
            <v>Rodoimport</v>
          </cell>
          <cell r="F642">
            <v>43987</v>
          </cell>
          <cell r="G642">
            <v>43995</v>
          </cell>
          <cell r="H642">
            <v>43997</v>
          </cell>
          <cell r="I642" t="str">
            <v>24.06.2020</v>
          </cell>
          <cell r="J642" t="str">
            <v>17.06.2020</v>
          </cell>
          <cell r="K642" t="str">
            <v>-</v>
          </cell>
          <cell r="L642" t="str">
            <v>OK</v>
          </cell>
        </row>
        <row r="643">
          <cell r="A643" t="str">
            <v>AHW-42449I20</v>
          </cell>
          <cell r="B643">
            <v>80528062</v>
          </cell>
          <cell r="C643" t="str">
            <v>Original</v>
          </cell>
          <cell r="D643" t="str">
            <v>CEVA</v>
          </cell>
          <cell r="E643" t="str">
            <v>Rodoimport</v>
          </cell>
          <cell r="F643">
            <v>43987</v>
          </cell>
          <cell r="G643">
            <v>43995</v>
          </cell>
          <cell r="H643">
            <v>43997</v>
          </cell>
          <cell r="I643" t="str">
            <v>24.06.2020</v>
          </cell>
          <cell r="J643" t="str">
            <v>17.06.2020</v>
          </cell>
          <cell r="K643" t="str">
            <v>-</v>
          </cell>
          <cell r="L643" t="str">
            <v>OK</v>
          </cell>
        </row>
        <row r="644">
          <cell r="A644" t="str">
            <v>AHW-42379I20</v>
          </cell>
          <cell r="B644">
            <v>80528022</v>
          </cell>
          <cell r="C644" t="str">
            <v>Original</v>
          </cell>
          <cell r="D644" t="str">
            <v>CEVA</v>
          </cell>
          <cell r="E644" t="str">
            <v>Rodoimport</v>
          </cell>
          <cell r="F644">
            <v>43990</v>
          </cell>
          <cell r="G644">
            <v>43998</v>
          </cell>
          <cell r="H644">
            <v>44000</v>
          </cell>
          <cell r="I644" t="str">
            <v>24.06.2020</v>
          </cell>
          <cell r="J644" t="str">
            <v>17.06.2020</v>
          </cell>
          <cell r="K644" t="str">
            <v>-</v>
          </cell>
          <cell r="L644" t="str">
            <v>OK</v>
          </cell>
        </row>
        <row r="645">
          <cell r="A645" t="str">
            <v>AHW-42392I20</v>
          </cell>
          <cell r="B645">
            <v>80528031</v>
          </cell>
          <cell r="C645" t="str">
            <v>Original</v>
          </cell>
          <cell r="D645" t="str">
            <v>CEVA</v>
          </cell>
          <cell r="E645" t="str">
            <v>Rodoimport</v>
          </cell>
          <cell r="F645">
            <v>43990</v>
          </cell>
          <cell r="G645">
            <v>43998</v>
          </cell>
          <cell r="H645">
            <v>44000</v>
          </cell>
          <cell r="I645" t="str">
            <v>24.06.2020</v>
          </cell>
          <cell r="J645" t="str">
            <v>17.06.2020</v>
          </cell>
          <cell r="K645" t="str">
            <v>-</v>
          </cell>
          <cell r="L645" t="str">
            <v>OK</v>
          </cell>
        </row>
        <row r="646">
          <cell r="A646" t="str">
            <v>AHW-42394I20</v>
          </cell>
          <cell r="B646">
            <v>80528041</v>
          </cell>
          <cell r="C646" t="str">
            <v>Original</v>
          </cell>
          <cell r="D646" t="str">
            <v>CEVA</v>
          </cell>
          <cell r="E646" t="str">
            <v>Rodoimport</v>
          </cell>
          <cell r="F646">
            <v>43990</v>
          </cell>
          <cell r="G646">
            <v>43998</v>
          </cell>
          <cell r="H646">
            <v>44000</v>
          </cell>
          <cell r="I646" t="str">
            <v>24.06.2020</v>
          </cell>
          <cell r="J646" t="str">
            <v>17.06.2020</v>
          </cell>
          <cell r="K646" t="str">
            <v>-</v>
          </cell>
          <cell r="L646" t="str">
            <v>OK</v>
          </cell>
        </row>
        <row r="647">
          <cell r="A647" t="str">
            <v>SHW-41872I20</v>
          </cell>
          <cell r="B647" t="str">
            <v>EGLV149001502521</v>
          </cell>
          <cell r="C647" t="str">
            <v>Original</v>
          </cell>
          <cell r="D647" t="str">
            <v>Panalpina</v>
          </cell>
          <cell r="E647" t="str">
            <v>TACT</v>
          </cell>
          <cell r="F647">
            <v>43990</v>
          </cell>
          <cell r="G647">
            <v>43998</v>
          </cell>
          <cell r="H647">
            <v>44000</v>
          </cell>
          <cell r="I647" t="str">
            <v>10.06.2020</v>
          </cell>
          <cell r="J647" t="str">
            <v>10.06.2020</v>
          </cell>
          <cell r="K647" t="str">
            <v>-</v>
          </cell>
          <cell r="L647" t="str">
            <v>OK</v>
          </cell>
        </row>
        <row r="648">
          <cell r="A648" t="str">
            <v>AHW-42485I20</v>
          </cell>
          <cell r="B648">
            <v>128776</v>
          </cell>
          <cell r="C648" t="str">
            <v>Original</v>
          </cell>
          <cell r="D648" t="str">
            <v>CTS</v>
          </cell>
          <cell r="E648" t="str">
            <v>Rodoimport</v>
          </cell>
          <cell r="F648">
            <v>43991</v>
          </cell>
          <cell r="G648">
            <v>43999</v>
          </cell>
          <cell r="H648">
            <v>44001</v>
          </cell>
          <cell r="I648" t="str">
            <v>24.06.2020</v>
          </cell>
          <cell r="J648" t="str">
            <v>17.06.2020</v>
          </cell>
          <cell r="K648" t="str">
            <v>-</v>
          </cell>
          <cell r="L648" t="str">
            <v>OK</v>
          </cell>
        </row>
        <row r="649">
          <cell r="A649" t="str">
            <v>SHW-41873I20</v>
          </cell>
          <cell r="B649" t="str">
            <v>EGLV149001495851</v>
          </cell>
          <cell r="C649" t="str">
            <v>Original</v>
          </cell>
          <cell r="D649" t="str">
            <v>Panalpina</v>
          </cell>
          <cell r="E649" t="str">
            <v>TACT</v>
          </cell>
          <cell r="F649">
            <v>43991</v>
          </cell>
          <cell r="G649">
            <v>43999</v>
          </cell>
          <cell r="H649">
            <v>44001</v>
          </cell>
          <cell r="I649" t="str">
            <v>10.06.2020</v>
          </cell>
          <cell r="J649" t="str">
            <v>10.06.2020</v>
          </cell>
          <cell r="K649" t="str">
            <v>-</v>
          </cell>
          <cell r="L649" t="str">
            <v>OK</v>
          </cell>
        </row>
        <row r="650">
          <cell r="A650" t="str">
            <v>AHW-42439I20</v>
          </cell>
          <cell r="B650">
            <v>801467</v>
          </cell>
          <cell r="C650" t="str">
            <v>Original</v>
          </cell>
          <cell r="D650" t="str">
            <v>PANALPINA</v>
          </cell>
          <cell r="E650" t="str">
            <v>Rodoimport</v>
          </cell>
          <cell r="F650">
            <v>43992</v>
          </cell>
          <cell r="G650">
            <v>44000</v>
          </cell>
          <cell r="H650">
            <v>44002</v>
          </cell>
          <cell r="I650" t="str">
            <v>24.06.2020</v>
          </cell>
          <cell r="J650" t="str">
            <v>17.06.2020</v>
          </cell>
          <cell r="K650" t="str">
            <v>-</v>
          </cell>
          <cell r="L650" t="str">
            <v>OK</v>
          </cell>
        </row>
        <row r="651">
          <cell r="A651" t="str">
            <v>AHW-42440I20</v>
          </cell>
          <cell r="B651">
            <v>801465</v>
          </cell>
          <cell r="C651" t="str">
            <v>Original</v>
          </cell>
          <cell r="D651" t="str">
            <v>PANALPINA</v>
          </cell>
          <cell r="E651" t="str">
            <v>Rodoimport</v>
          </cell>
          <cell r="F651">
            <v>43992</v>
          </cell>
          <cell r="G651">
            <v>44000</v>
          </cell>
          <cell r="H651">
            <v>44002</v>
          </cell>
          <cell r="I651" t="str">
            <v>24.06.2020</v>
          </cell>
          <cell r="J651" t="str">
            <v>17.06.2020</v>
          </cell>
          <cell r="K651" t="str">
            <v>-</v>
          </cell>
          <cell r="L651" t="str">
            <v>OK</v>
          </cell>
        </row>
        <row r="652">
          <cell r="A652" t="str">
            <v>AHW-42451I20</v>
          </cell>
          <cell r="B652">
            <v>801471</v>
          </cell>
          <cell r="C652" t="str">
            <v>Original</v>
          </cell>
          <cell r="D652" t="str">
            <v>PANALPINA</v>
          </cell>
          <cell r="E652" t="str">
            <v>Rodoimport</v>
          </cell>
          <cell r="F652">
            <v>43992</v>
          </cell>
          <cell r="G652">
            <v>44000</v>
          </cell>
          <cell r="H652">
            <v>44002</v>
          </cell>
          <cell r="I652" t="str">
            <v>24.06.2020</v>
          </cell>
          <cell r="J652" t="str">
            <v>17.06.2020</v>
          </cell>
          <cell r="K652" t="str">
            <v>-</v>
          </cell>
          <cell r="L652" t="str">
            <v>OK</v>
          </cell>
        </row>
        <row r="653">
          <cell r="A653" t="str">
            <v>AHW-42452I20</v>
          </cell>
          <cell r="B653">
            <v>801486</v>
          </cell>
          <cell r="C653" t="str">
            <v>Original</v>
          </cell>
          <cell r="D653" t="str">
            <v>PANALPINA</v>
          </cell>
          <cell r="E653" t="str">
            <v>Rodoimport</v>
          </cell>
          <cell r="F653">
            <v>43992</v>
          </cell>
          <cell r="G653">
            <v>44000</v>
          </cell>
          <cell r="H653">
            <v>44002</v>
          </cell>
          <cell r="I653" t="str">
            <v>24.06.2020</v>
          </cell>
          <cell r="J653" t="str">
            <v>17.06.2020</v>
          </cell>
          <cell r="K653" t="str">
            <v>-</v>
          </cell>
          <cell r="L653" t="str">
            <v>OK</v>
          </cell>
        </row>
        <row r="654">
          <cell r="A654" t="str">
            <v>AHW-42453I20</v>
          </cell>
          <cell r="B654">
            <v>801487</v>
          </cell>
          <cell r="C654" t="str">
            <v>Original</v>
          </cell>
          <cell r="D654" t="str">
            <v>PANALPINA</v>
          </cell>
          <cell r="E654" t="str">
            <v>Rodoimport</v>
          </cell>
          <cell r="F654">
            <v>43992</v>
          </cell>
          <cell r="G654">
            <v>44000</v>
          </cell>
          <cell r="H654">
            <v>44002</v>
          </cell>
          <cell r="I654" t="str">
            <v>24.06.2020</v>
          </cell>
          <cell r="J654" t="str">
            <v>17.06.2020</v>
          </cell>
          <cell r="K654" t="str">
            <v>-</v>
          </cell>
          <cell r="L654" t="str">
            <v>OK</v>
          </cell>
        </row>
        <row r="655">
          <cell r="A655" t="str">
            <v>AHW-42559I20</v>
          </cell>
          <cell r="B655">
            <v>128300</v>
          </cell>
          <cell r="C655" t="str">
            <v>Original</v>
          </cell>
          <cell r="D655" t="str">
            <v>CTS</v>
          </cell>
          <cell r="E655" t="str">
            <v>Rodoimport</v>
          </cell>
          <cell r="F655">
            <v>43998</v>
          </cell>
          <cell r="G655">
            <v>44006</v>
          </cell>
          <cell r="H655">
            <v>44008</v>
          </cell>
          <cell r="I655" t="str">
            <v>24.06.2020</v>
          </cell>
          <cell r="J655" t="str">
            <v>01.07.2020</v>
          </cell>
          <cell r="K655" t="str">
            <v>-</v>
          </cell>
          <cell r="L655" t="str">
            <v>OK</v>
          </cell>
        </row>
        <row r="656">
          <cell r="A656" t="str">
            <v>AHW-42494I20</v>
          </cell>
          <cell r="B656">
            <v>801492</v>
          </cell>
          <cell r="C656" t="str">
            <v>Original</v>
          </cell>
          <cell r="D656" t="str">
            <v>PANALPINA</v>
          </cell>
          <cell r="E656" t="str">
            <v>Rodoimport</v>
          </cell>
          <cell r="F656">
            <v>43998</v>
          </cell>
          <cell r="G656">
            <v>44006</v>
          </cell>
          <cell r="H656">
            <v>44008</v>
          </cell>
          <cell r="I656" t="str">
            <v>24.06.2020</v>
          </cell>
          <cell r="J656" t="str">
            <v>01.07.2020</v>
          </cell>
          <cell r="K656" t="str">
            <v>-</v>
          </cell>
          <cell r="L656" t="str">
            <v>OK</v>
          </cell>
        </row>
        <row r="657">
          <cell r="A657" t="str">
            <v>AHW-42517I20</v>
          </cell>
          <cell r="B657">
            <v>801500</v>
          </cell>
          <cell r="C657" t="str">
            <v>Original</v>
          </cell>
          <cell r="D657" t="str">
            <v>PANALPINA</v>
          </cell>
          <cell r="E657" t="str">
            <v>Rodoimport</v>
          </cell>
          <cell r="F657">
            <v>43998</v>
          </cell>
          <cell r="G657">
            <v>44006</v>
          </cell>
          <cell r="H657">
            <v>44008</v>
          </cell>
          <cell r="I657" t="str">
            <v>08.07.2020</v>
          </cell>
          <cell r="J657" t="str">
            <v>01.07.2020</v>
          </cell>
          <cell r="K657" t="str">
            <v>-</v>
          </cell>
          <cell r="L657" t="str">
            <v>OK</v>
          </cell>
        </row>
        <row r="658">
          <cell r="A658" t="str">
            <v>AHW-42556I20</v>
          </cell>
          <cell r="B658">
            <v>80528128</v>
          </cell>
          <cell r="C658" t="str">
            <v>Original</v>
          </cell>
          <cell r="D658" t="str">
            <v>CEVA</v>
          </cell>
          <cell r="E658" t="str">
            <v>Rodoimport</v>
          </cell>
          <cell r="F658">
            <v>43998</v>
          </cell>
          <cell r="G658">
            <v>44006</v>
          </cell>
          <cell r="H658">
            <v>44008</v>
          </cell>
          <cell r="I658" t="str">
            <v>24.06.2020</v>
          </cell>
          <cell r="J658" t="str">
            <v>01.07.2020</v>
          </cell>
          <cell r="K658" t="str">
            <v>-</v>
          </cell>
          <cell r="L658" t="str">
            <v>OK</v>
          </cell>
        </row>
        <row r="659">
          <cell r="A659" t="str">
            <v>AHW-42522I20</v>
          </cell>
          <cell r="B659">
            <v>801516</v>
          </cell>
          <cell r="C659" t="str">
            <v>Original</v>
          </cell>
          <cell r="D659" t="str">
            <v>PANALPINA</v>
          </cell>
          <cell r="E659" t="str">
            <v>Rodoimport</v>
          </cell>
          <cell r="F659">
            <v>43998</v>
          </cell>
          <cell r="G659">
            <v>44006</v>
          </cell>
          <cell r="H659">
            <v>44008</v>
          </cell>
          <cell r="I659" t="str">
            <v>24.06.2020</v>
          </cell>
          <cell r="J659" t="str">
            <v>01.07.2020</v>
          </cell>
          <cell r="K659" t="str">
            <v>-</v>
          </cell>
          <cell r="L659" t="str">
            <v>OK</v>
          </cell>
        </row>
        <row r="660">
          <cell r="A660" t="str">
            <v>AHW-42450I20</v>
          </cell>
          <cell r="B660">
            <v>80528077</v>
          </cell>
          <cell r="C660" t="str">
            <v>Original</v>
          </cell>
          <cell r="D660" t="str">
            <v>CEVA</v>
          </cell>
          <cell r="E660" t="str">
            <v>Rodoimport</v>
          </cell>
          <cell r="F660">
            <v>43998</v>
          </cell>
          <cell r="G660">
            <v>44006</v>
          </cell>
          <cell r="H660">
            <v>44008</v>
          </cell>
          <cell r="I660" t="str">
            <v>24.06.2020</v>
          </cell>
          <cell r="J660" t="str">
            <v>01.07.2020</v>
          </cell>
          <cell r="K660" t="str">
            <v>-</v>
          </cell>
          <cell r="L660" t="str">
            <v>OK</v>
          </cell>
        </row>
        <row r="661">
          <cell r="A661" t="str">
            <v>AHW-42486I20</v>
          </cell>
          <cell r="B661">
            <v>80528082</v>
          </cell>
          <cell r="C661" t="str">
            <v>Original</v>
          </cell>
          <cell r="D661" t="str">
            <v>CEVA</v>
          </cell>
          <cell r="E661" t="str">
            <v>Rodoimport</v>
          </cell>
          <cell r="F661">
            <v>43998</v>
          </cell>
          <cell r="G661">
            <v>44006</v>
          </cell>
          <cell r="H661">
            <v>44008</v>
          </cell>
          <cell r="I661" t="str">
            <v>24.06.2020</v>
          </cell>
          <cell r="J661" t="str">
            <v>01.07.2020</v>
          </cell>
          <cell r="K661" t="str">
            <v>-</v>
          </cell>
          <cell r="L661" t="str">
            <v>OK</v>
          </cell>
        </row>
        <row r="662">
          <cell r="A662" t="str">
            <v>AHW-42487I20</v>
          </cell>
          <cell r="B662">
            <v>80528086</v>
          </cell>
          <cell r="C662" t="str">
            <v>Original</v>
          </cell>
          <cell r="D662" t="str">
            <v>CEVA</v>
          </cell>
          <cell r="E662" t="str">
            <v>Rodoimport</v>
          </cell>
          <cell r="F662">
            <v>43998</v>
          </cell>
          <cell r="G662">
            <v>44006</v>
          </cell>
          <cell r="H662">
            <v>44008</v>
          </cell>
          <cell r="I662" t="str">
            <v>24.06.2020</v>
          </cell>
          <cell r="J662" t="str">
            <v>01.07.2020</v>
          </cell>
          <cell r="K662" t="str">
            <v>-</v>
          </cell>
          <cell r="L662" t="str">
            <v>OK</v>
          </cell>
        </row>
        <row r="663">
          <cell r="A663" t="str">
            <v>AHW-42488I20</v>
          </cell>
          <cell r="B663">
            <v>80528083</v>
          </cell>
          <cell r="C663" t="str">
            <v>Original</v>
          </cell>
          <cell r="D663" t="str">
            <v>CEVA</v>
          </cell>
          <cell r="E663" t="str">
            <v>Rodoimport</v>
          </cell>
          <cell r="F663">
            <v>43998</v>
          </cell>
          <cell r="G663">
            <v>44006</v>
          </cell>
          <cell r="H663">
            <v>44008</v>
          </cell>
          <cell r="I663" t="str">
            <v>24.06.2020</v>
          </cell>
          <cell r="J663" t="str">
            <v>01.07.2020</v>
          </cell>
          <cell r="K663" t="str">
            <v>-</v>
          </cell>
          <cell r="L663" t="str">
            <v>OK</v>
          </cell>
        </row>
        <row r="664">
          <cell r="A664" t="str">
            <v>AHW-42523I20</v>
          </cell>
          <cell r="B664">
            <v>801515</v>
          </cell>
          <cell r="C664" t="str">
            <v>Original</v>
          </cell>
          <cell r="D664" t="str">
            <v>PANALPINA</v>
          </cell>
          <cell r="E664" t="str">
            <v>Rodoimport</v>
          </cell>
          <cell r="F664">
            <v>43998</v>
          </cell>
          <cell r="G664">
            <v>44006</v>
          </cell>
          <cell r="H664">
            <v>44008</v>
          </cell>
          <cell r="I664" t="str">
            <v>24.06.2020</v>
          </cell>
          <cell r="J664" t="str">
            <v>01.07.2020</v>
          </cell>
          <cell r="K664" t="str">
            <v>-</v>
          </cell>
          <cell r="L664" t="str">
            <v>OK</v>
          </cell>
        </row>
        <row r="665">
          <cell r="A665" t="str">
            <v>AHW-42588I20</v>
          </cell>
          <cell r="B665">
            <v>128306</v>
          </cell>
          <cell r="C665" t="str">
            <v>Original</v>
          </cell>
          <cell r="D665" t="str">
            <v>CTS</v>
          </cell>
          <cell r="E665" t="str">
            <v>Rodoimport</v>
          </cell>
          <cell r="F665">
            <v>43998</v>
          </cell>
          <cell r="G665">
            <v>44006</v>
          </cell>
          <cell r="H665">
            <v>44008</v>
          </cell>
          <cell r="I665" t="str">
            <v>24.06.2020</v>
          </cell>
          <cell r="J665" t="str">
            <v>01.07.2020</v>
          </cell>
          <cell r="K665" t="str">
            <v>-</v>
          </cell>
          <cell r="L665" t="str">
            <v>OK</v>
          </cell>
        </row>
        <row r="666">
          <cell r="A666" t="str">
            <v>AHW-42589I20</v>
          </cell>
          <cell r="B666">
            <v>128307</v>
          </cell>
          <cell r="C666" t="str">
            <v>Original</v>
          </cell>
          <cell r="D666" t="str">
            <v>CTS</v>
          </cell>
          <cell r="E666" t="str">
            <v>Rodoimport</v>
          </cell>
          <cell r="F666">
            <v>43998</v>
          </cell>
          <cell r="G666">
            <v>44006</v>
          </cell>
          <cell r="H666">
            <v>44008</v>
          </cell>
          <cell r="I666" t="str">
            <v>24.06.2020</v>
          </cell>
          <cell r="J666" t="str">
            <v>01.07.2020</v>
          </cell>
          <cell r="K666" t="str">
            <v>-</v>
          </cell>
          <cell r="L666" t="str">
            <v>OK</v>
          </cell>
        </row>
        <row r="667">
          <cell r="A667" t="str">
            <v>AHW-42643I20</v>
          </cell>
          <cell r="B667">
            <v>128509</v>
          </cell>
          <cell r="C667" t="str">
            <v>Original</v>
          </cell>
          <cell r="D667" t="str">
            <v>CTS</v>
          </cell>
          <cell r="E667" t="str">
            <v>Rodoimport</v>
          </cell>
          <cell r="F667">
            <v>43999</v>
          </cell>
          <cell r="G667">
            <v>44007</v>
          </cell>
          <cell r="H667">
            <v>44009</v>
          </cell>
          <cell r="I667" t="str">
            <v>24.06.2020</v>
          </cell>
          <cell r="J667" t="str">
            <v>01.07.2020</v>
          </cell>
          <cell r="K667" t="str">
            <v>-</v>
          </cell>
          <cell r="L667" t="str">
            <v>OK</v>
          </cell>
        </row>
        <row r="668">
          <cell r="A668" t="str">
            <v>SHW-42028I20</v>
          </cell>
          <cell r="B668">
            <v>598406476</v>
          </cell>
          <cell r="C668" t="str">
            <v>Original</v>
          </cell>
          <cell r="D668" t="str">
            <v>Panalpina</v>
          </cell>
          <cell r="E668" t="str">
            <v>TACT</v>
          </cell>
          <cell r="F668">
            <v>43999</v>
          </cell>
          <cell r="G668">
            <v>44007</v>
          </cell>
          <cell r="H668">
            <v>44009</v>
          </cell>
          <cell r="I668" t="str">
            <v>24.06.2020</v>
          </cell>
          <cell r="J668" t="str">
            <v>24.06.2020</v>
          </cell>
          <cell r="K668" t="str">
            <v>-</v>
          </cell>
          <cell r="L668" t="str">
            <v>OK</v>
          </cell>
        </row>
        <row r="669">
          <cell r="A669" t="str">
            <v>AHW-42560I20</v>
          </cell>
          <cell r="B669">
            <v>80528134</v>
          </cell>
          <cell r="C669" t="str">
            <v>Original</v>
          </cell>
          <cell r="D669" t="str">
            <v>CEVA</v>
          </cell>
          <cell r="E669" t="str">
            <v>Rodoimport</v>
          </cell>
          <cell r="F669">
            <v>44000</v>
          </cell>
          <cell r="G669">
            <v>44008</v>
          </cell>
          <cell r="H669">
            <v>44010</v>
          </cell>
          <cell r="I669" t="str">
            <v>24.06.2020</v>
          </cell>
          <cell r="J669" t="str">
            <v>01.07.2020</v>
          </cell>
          <cell r="K669" t="str">
            <v>-</v>
          </cell>
          <cell r="L669" t="str">
            <v>OK</v>
          </cell>
        </row>
        <row r="670">
          <cell r="A670" t="str">
            <v>SHW-42027I20</v>
          </cell>
          <cell r="B670" t="str">
            <v>EGLV149001681850</v>
          </cell>
          <cell r="C670" t="str">
            <v>Original</v>
          </cell>
          <cell r="D670" t="str">
            <v>Panalpina</v>
          </cell>
          <cell r="E670" t="str">
            <v>TACT</v>
          </cell>
          <cell r="F670">
            <v>44000</v>
          </cell>
          <cell r="G670">
            <v>44008</v>
          </cell>
          <cell r="H670">
            <v>44010</v>
          </cell>
          <cell r="I670" t="str">
            <v>24.06.2020</v>
          </cell>
          <cell r="J670" t="str">
            <v>24.06.2020</v>
          </cell>
          <cell r="K670" t="str">
            <v>-</v>
          </cell>
          <cell r="L670" t="str">
            <v>OK</v>
          </cell>
        </row>
        <row r="671">
          <cell r="A671" t="str">
            <v>AHW-42644I20</v>
          </cell>
          <cell r="B671">
            <v>128314</v>
          </cell>
          <cell r="C671" t="str">
            <v>Original</v>
          </cell>
          <cell r="D671" t="str">
            <v>CTS</v>
          </cell>
          <cell r="E671" t="str">
            <v>Rodoimport</v>
          </cell>
          <cell r="F671">
            <v>44001</v>
          </cell>
          <cell r="G671">
            <v>44009</v>
          </cell>
          <cell r="H671">
            <v>44011</v>
          </cell>
          <cell r="I671" t="str">
            <v>03.07.2020</v>
          </cell>
          <cell r="J671" t="str">
            <v>01.07.2020</v>
          </cell>
          <cell r="K671" t="str">
            <v>-</v>
          </cell>
          <cell r="L671" t="str">
            <v>OK</v>
          </cell>
        </row>
        <row r="672">
          <cell r="A672" t="str">
            <v>AHW-42648I20</v>
          </cell>
          <cell r="B672">
            <v>128316</v>
          </cell>
          <cell r="C672" t="str">
            <v>Original</v>
          </cell>
          <cell r="D672" t="str">
            <v>CTS</v>
          </cell>
          <cell r="E672" t="str">
            <v>Rodoimport</v>
          </cell>
          <cell r="F672">
            <v>44001</v>
          </cell>
          <cell r="G672">
            <v>44009</v>
          </cell>
          <cell r="H672">
            <v>44011</v>
          </cell>
          <cell r="I672" t="str">
            <v>03.07.2020</v>
          </cell>
          <cell r="J672" t="str">
            <v>01.07.2020</v>
          </cell>
          <cell r="K672" t="str">
            <v>-</v>
          </cell>
          <cell r="L672" t="str">
            <v>OK</v>
          </cell>
        </row>
        <row r="673">
          <cell r="A673" t="str">
            <v>AHW-42585I20</v>
          </cell>
          <cell r="B673">
            <v>80528158</v>
          </cell>
          <cell r="C673" t="str">
            <v>Original</v>
          </cell>
          <cell r="D673" t="str">
            <v>CEVA</v>
          </cell>
          <cell r="E673" t="str">
            <v>Rodoimport</v>
          </cell>
          <cell r="F673">
            <v>44001</v>
          </cell>
          <cell r="G673">
            <v>44009</v>
          </cell>
          <cell r="H673">
            <v>44011</v>
          </cell>
          <cell r="I673" t="str">
            <v>03.07.2020</v>
          </cell>
          <cell r="J673" t="str">
            <v>01.07.2020</v>
          </cell>
          <cell r="K673" t="str">
            <v>-</v>
          </cell>
          <cell r="L673" t="str">
            <v>OK</v>
          </cell>
        </row>
        <row r="674">
          <cell r="A674" t="str">
            <v>AHW-42586I20</v>
          </cell>
          <cell r="B674">
            <v>80528159</v>
          </cell>
          <cell r="C674" t="str">
            <v>Original</v>
          </cell>
          <cell r="D674" t="str">
            <v>CEVA</v>
          </cell>
          <cell r="E674" t="str">
            <v>Rodoimport</v>
          </cell>
          <cell r="F674">
            <v>44001</v>
          </cell>
          <cell r="G674">
            <v>44009</v>
          </cell>
          <cell r="H674">
            <v>44011</v>
          </cell>
          <cell r="I674" t="str">
            <v>03.07.2020</v>
          </cell>
          <cell r="J674" t="str">
            <v>01.07.2020</v>
          </cell>
          <cell r="K674" t="str">
            <v>-</v>
          </cell>
          <cell r="L674" t="str">
            <v>OK</v>
          </cell>
        </row>
        <row r="675">
          <cell r="A675" t="str">
            <v>AHW-42561I20</v>
          </cell>
          <cell r="B675">
            <v>80528133</v>
          </cell>
          <cell r="C675" t="str">
            <v>Original</v>
          </cell>
          <cell r="D675" t="str">
            <v>CEVA</v>
          </cell>
          <cell r="E675" t="str">
            <v>Rodoimport</v>
          </cell>
          <cell r="F675">
            <v>44004</v>
          </cell>
          <cell r="G675">
            <v>44012</v>
          </cell>
          <cell r="H675">
            <v>44014</v>
          </cell>
          <cell r="I675" t="str">
            <v>07.07.2020</v>
          </cell>
          <cell r="J675" t="str">
            <v>01.07.2020</v>
          </cell>
          <cell r="K675" t="str">
            <v>-</v>
          </cell>
          <cell r="L675" t="str">
            <v>OK</v>
          </cell>
        </row>
        <row r="676">
          <cell r="A676" t="str">
            <v>SHW-42065I20</v>
          </cell>
          <cell r="B676" t="str">
            <v>EGLV149001751173</v>
          </cell>
          <cell r="C676" t="str">
            <v>Original</v>
          </cell>
          <cell r="D676" t="str">
            <v>Panalpina</v>
          </cell>
          <cell r="E676" t="str">
            <v>TACT</v>
          </cell>
          <cell r="F676">
            <v>44004</v>
          </cell>
          <cell r="G676">
            <v>44012</v>
          </cell>
          <cell r="H676">
            <v>44014</v>
          </cell>
          <cell r="I676" t="str">
            <v>24.06.2020</v>
          </cell>
          <cell r="J676" t="str">
            <v>24.06.2020</v>
          </cell>
          <cell r="K676" t="str">
            <v>-</v>
          </cell>
          <cell r="L676" t="str">
            <v>OK</v>
          </cell>
        </row>
        <row r="677">
          <cell r="A677" t="str">
            <v>AHW-42640I20</v>
          </cell>
          <cell r="B677">
            <v>80528172</v>
          </cell>
          <cell r="C677" t="str">
            <v>Original</v>
          </cell>
          <cell r="D677" t="str">
            <v>CEVA</v>
          </cell>
          <cell r="E677" t="str">
            <v>Rodoimport</v>
          </cell>
          <cell r="F677">
            <v>44005</v>
          </cell>
          <cell r="G677">
            <v>44013</v>
          </cell>
          <cell r="H677">
            <v>44015</v>
          </cell>
          <cell r="I677" t="str">
            <v>07.07.2020</v>
          </cell>
          <cell r="J677" t="str">
            <v>01.07.2020</v>
          </cell>
          <cell r="K677" t="str">
            <v>-</v>
          </cell>
          <cell r="L677" t="str">
            <v>OK</v>
          </cell>
        </row>
        <row r="678">
          <cell r="A678" t="str">
            <v>AHW-42557I20</v>
          </cell>
          <cell r="B678">
            <v>80528135</v>
          </cell>
          <cell r="C678" t="str">
            <v>Original</v>
          </cell>
          <cell r="D678" t="str">
            <v>CEVA</v>
          </cell>
          <cell r="E678" t="str">
            <v>Rodoimport</v>
          </cell>
          <cell r="F678">
            <v>44005</v>
          </cell>
          <cell r="G678">
            <v>44013</v>
          </cell>
          <cell r="H678">
            <v>44015</v>
          </cell>
          <cell r="I678" t="str">
            <v>07.07.2020</v>
          </cell>
          <cell r="J678" t="str">
            <v>01.07.2020</v>
          </cell>
          <cell r="K678" t="str">
            <v>-</v>
          </cell>
          <cell r="L678" t="str">
            <v>OK</v>
          </cell>
        </row>
        <row r="679">
          <cell r="A679" t="str">
            <v>AHW-42563I20</v>
          </cell>
          <cell r="B679">
            <v>80528144</v>
          </cell>
          <cell r="C679" t="str">
            <v>Original</v>
          </cell>
          <cell r="D679" t="str">
            <v>CEVA</v>
          </cell>
          <cell r="E679" t="str">
            <v>Rodoimport</v>
          </cell>
          <cell r="F679">
            <v>44005</v>
          </cell>
          <cell r="G679">
            <v>44013</v>
          </cell>
          <cell r="H679">
            <v>44015</v>
          </cell>
          <cell r="I679" t="str">
            <v>07.07.2020</v>
          </cell>
          <cell r="J679" t="str">
            <v>01.07.2020</v>
          </cell>
          <cell r="K679" t="str">
            <v>-</v>
          </cell>
          <cell r="L679" t="str">
            <v>OK</v>
          </cell>
        </row>
        <row r="680">
          <cell r="A680" t="str">
            <v>AHW-42641I20</v>
          </cell>
          <cell r="B680">
            <v>80528182</v>
          </cell>
          <cell r="C680" t="str">
            <v>Original</v>
          </cell>
          <cell r="D680" t="str">
            <v>CEVA</v>
          </cell>
          <cell r="E680" t="str">
            <v>Rodoimport</v>
          </cell>
          <cell r="F680">
            <v>44005</v>
          </cell>
          <cell r="G680">
            <v>44013</v>
          </cell>
          <cell r="H680">
            <v>44015</v>
          </cell>
          <cell r="I680" t="str">
            <v>07.07.2020</v>
          </cell>
          <cell r="J680" t="str">
            <v>01.07.2020</v>
          </cell>
          <cell r="K680" t="str">
            <v>-</v>
          </cell>
          <cell r="L680" t="str">
            <v>OK</v>
          </cell>
        </row>
        <row r="681">
          <cell r="A681" t="str">
            <v>AHW-42647I20</v>
          </cell>
          <cell r="B681">
            <v>128323</v>
          </cell>
          <cell r="C681" t="str">
            <v>Original</v>
          </cell>
          <cell r="D681" t="str">
            <v>CTS</v>
          </cell>
          <cell r="E681" t="str">
            <v>Rodoimport</v>
          </cell>
          <cell r="F681">
            <v>44005</v>
          </cell>
          <cell r="G681">
            <v>44013</v>
          </cell>
          <cell r="H681">
            <v>44015</v>
          </cell>
          <cell r="I681" t="str">
            <v>03.07.2020</v>
          </cell>
          <cell r="J681" t="str">
            <v>01.07.2020</v>
          </cell>
          <cell r="K681" t="str">
            <v>-</v>
          </cell>
          <cell r="L681" t="str">
            <v>OK</v>
          </cell>
        </row>
        <row r="682">
          <cell r="A682" t="str">
            <v>AHW-42649I20</v>
          </cell>
          <cell r="B682">
            <v>128324</v>
          </cell>
          <cell r="C682" t="str">
            <v>Original</v>
          </cell>
          <cell r="D682" t="str">
            <v>CTS</v>
          </cell>
          <cell r="E682" t="str">
            <v>Rodoimport</v>
          </cell>
          <cell r="F682">
            <v>44005</v>
          </cell>
          <cell r="G682">
            <v>44013</v>
          </cell>
          <cell r="H682">
            <v>44015</v>
          </cell>
          <cell r="I682" t="str">
            <v>03.07.2020</v>
          </cell>
          <cell r="J682" t="str">
            <v>01.07.2020</v>
          </cell>
          <cell r="K682" t="str">
            <v>-</v>
          </cell>
          <cell r="L682" t="str">
            <v>OK</v>
          </cell>
        </row>
        <row r="683">
          <cell r="A683" t="str">
            <v>AHW-42722I20</v>
          </cell>
          <cell r="B683">
            <v>127649</v>
          </cell>
          <cell r="C683" t="str">
            <v>Original</v>
          </cell>
          <cell r="D683" t="str">
            <v>CTS</v>
          </cell>
          <cell r="E683" t="str">
            <v>Rodoimport</v>
          </cell>
          <cell r="F683">
            <v>44005</v>
          </cell>
          <cell r="G683">
            <v>44013</v>
          </cell>
          <cell r="H683">
            <v>44015</v>
          </cell>
          <cell r="I683" t="str">
            <v>07.07.2020</v>
          </cell>
          <cell r="J683" t="str">
            <v>01.07.2020</v>
          </cell>
          <cell r="K683" t="str">
            <v>-</v>
          </cell>
          <cell r="L683" t="str">
            <v>OK</v>
          </cell>
        </row>
        <row r="684">
          <cell r="A684" t="str">
            <v>AHW-42587I20</v>
          </cell>
          <cell r="B684">
            <v>80528147</v>
          </cell>
          <cell r="C684" t="str">
            <v>Original</v>
          </cell>
          <cell r="D684" t="str">
            <v>CEVA</v>
          </cell>
          <cell r="E684" t="str">
            <v>Rodoimport</v>
          </cell>
          <cell r="F684">
            <v>44006</v>
          </cell>
          <cell r="G684">
            <v>44014</v>
          </cell>
          <cell r="H684">
            <v>44016</v>
          </cell>
          <cell r="I684" t="str">
            <v>03.07.2020</v>
          </cell>
          <cell r="J684" t="str">
            <v>01.07.2020</v>
          </cell>
          <cell r="K684" t="str">
            <v>-</v>
          </cell>
          <cell r="L684" t="str">
            <v>OK</v>
          </cell>
        </row>
        <row r="685">
          <cell r="A685" t="str">
            <v>AHW-42642I20</v>
          </cell>
          <cell r="B685">
            <v>80528203</v>
          </cell>
          <cell r="C685" t="str">
            <v>Original</v>
          </cell>
          <cell r="D685" t="str">
            <v>CEVA</v>
          </cell>
          <cell r="E685" t="str">
            <v>Rodoimport</v>
          </cell>
          <cell r="F685">
            <v>44006</v>
          </cell>
          <cell r="G685">
            <v>44014</v>
          </cell>
          <cell r="H685">
            <v>44016</v>
          </cell>
          <cell r="I685" t="str">
            <v>03.07.2020</v>
          </cell>
          <cell r="J685" t="str">
            <v>01.07.2020</v>
          </cell>
          <cell r="K685" t="str">
            <v>-</v>
          </cell>
          <cell r="L685" t="str">
            <v>OK</v>
          </cell>
        </row>
        <row r="686">
          <cell r="A686" t="str">
            <v>AHW-42645I20</v>
          </cell>
          <cell r="B686">
            <v>128323</v>
          </cell>
          <cell r="C686" t="str">
            <v>Original</v>
          </cell>
          <cell r="D686" t="str">
            <v>CTS</v>
          </cell>
          <cell r="E686" t="str">
            <v>Rodoimport</v>
          </cell>
          <cell r="F686">
            <v>44006</v>
          </cell>
          <cell r="G686">
            <v>44014</v>
          </cell>
          <cell r="H686">
            <v>44016</v>
          </cell>
          <cell r="I686" t="str">
            <v>03.07.2020</v>
          </cell>
          <cell r="J686" t="str">
            <v>01.07.2020</v>
          </cell>
          <cell r="K686" t="str">
            <v>-</v>
          </cell>
          <cell r="L686" t="str">
            <v>OK</v>
          </cell>
        </row>
        <row r="687">
          <cell r="A687" t="str">
            <v>AHW-42646I20</v>
          </cell>
          <cell r="B687">
            <v>80528191</v>
          </cell>
          <cell r="C687" t="str">
            <v>Original</v>
          </cell>
          <cell r="D687" t="str">
            <v>CEVA</v>
          </cell>
          <cell r="E687" t="str">
            <v>Rodoimport</v>
          </cell>
          <cell r="F687">
            <v>44006</v>
          </cell>
          <cell r="G687">
            <v>44014</v>
          </cell>
          <cell r="H687">
            <v>44016</v>
          </cell>
          <cell r="I687" t="str">
            <v>07.07.2020</v>
          </cell>
          <cell r="J687" t="str">
            <v>01.07.2020</v>
          </cell>
          <cell r="K687" t="str">
            <v>-</v>
          </cell>
          <cell r="L687" t="str">
            <v>OK</v>
          </cell>
        </row>
        <row r="688">
          <cell r="A688" t="str">
            <v>AHW-42650I20</v>
          </cell>
          <cell r="B688">
            <v>80528204</v>
          </cell>
          <cell r="C688" t="str">
            <v>Original</v>
          </cell>
          <cell r="D688" t="str">
            <v>CEVA</v>
          </cell>
          <cell r="E688" t="str">
            <v>Rodoimport</v>
          </cell>
          <cell r="F688">
            <v>44006</v>
          </cell>
          <cell r="G688">
            <v>44014</v>
          </cell>
          <cell r="H688">
            <v>44016</v>
          </cell>
          <cell r="I688" t="str">
            <v>03.07.2020</v>
          </cell>
          <cell r="J688" t="str">
            <v>01.07.2020</v>
          </cell>
          <cell r="K688" t="str">
            <v>-</v>
          </cell>
          <cell r="L688" t="str">
            <v>OK</v>
          </cell>
        </row>
        <row r="689">
          <cell r="A689" t="str">
            <v>AHW-42663I20</v>
          </cell>
          <cell r="B689">
            <v>80528221</v>
          </cell>
          <cell r="C689" t="str">
            <v>Original</v>
          </cell>
          <cell r="D689" t="str">
            <v>CEVA</v>
          </cell>
          <cell r="E689" t="str">
            <v>Rodoimport</v>
          </cell>
          <cell r="F689">
            <v>44006</v>
          </cell>
          <cell r="G689">
            <v>44014</v>
          </cell>
          <cell r="H689">
            <v>44016</v>
          </cell>
          <cell r="I689" t="str">
            <v>03.07.2020</v>
          </cell>
          <cell r="J689" t="str">
            <v>01.07.2020</v>
          </cell>
          <cell r="K689" t="str">
            <v>-</v>
          </cell>
          <cell r="L689" t="str">
            <v>OK</v>
          </cell>
        </row>
        <row r="690">
          <cell r="A690" t="str">
            <v>SHW-42136I20</v>
          </cell>
          <cell r="B690" t="str">
            <v>EGLV149001917683</v>
          </cell>
          <cell r="C690" t="str">
            <v>Original</v>
          </cell>
          <cell r="D690" t="str">
            <v>Panalpina</v>
          </cell>
          <cell r="E690" t="str">
            <v>TACT</v>
          </cell>
          <cell r="F690">
            <v>44007</v>
          </cell>
          <cell r="G690">
            <v>44015</v>
          </cell>
          <cell r="H690">
            <v>44017</v>
          </cell>
          <cell r="I690" t="str">
            <v>03.07.2020</v>
          </cell>
          <cell r="J690" t="str">
            <v>02.07.2020</v>
          </cell>
          <cell r="K690" t="str">
            <v>-</v>
          </cell>
          <cell r="L690" t="str">
            <v>OK</v>
          </cell>
        </row>
        <row r="691">
          <cell r="A691" t="str">
            <v>AHW-42725I20</v>
          </cell>
          <cell r="B691">
            <v>80528236</v>
          </cell>
          <cell r="C691" t="str">
            <v>Original</v>
          </cell>
          <cell r="D691" t="str">
            <v>CEVA</v>
          </cell>
          <cell r="E691" t="str">
            <v>Rodoimport</v>
          </cell>
          <cell r="F691">
            <v>44008</v>
          </cell>
          <cell r="G691">
            <v>44016</v>
          </cell>
          <cell r="H691">
            <v>44018</v>
          </cell>
          <cell r="I691" t="str">
            <v>03.07.2020</v>
          </cell>
          <cell r="J691" t="str">
            <v>01.07.2020</v>
          </cell>
          <cell r="K691" t="str">
            <v>-</v>
          </cell>
          <cell r="L691" t="str">
            <v>OK</v>
          </cell>
        </row>
        <row r="692">
          <cell r="A692" t="str">
            <v>AHW-42742I20</v>
          </cell>
          <cell r="B692">
            <v>127655</v>
          </cell>
          <cell r="C692" t="str">
            <v>Original</v>
          </cell>
          <cell r="D692" t="str">
            <v>CTS</v>
          </cell>
          <cell r="E692" t="str">
            <v>Rodoimport</v>
          </cell>
          <cell r="F692">
            <v>44008</v>
          </cell>
          <cell r="G692">
            <v>44016</v>
          </cell>
          <cell r="H692">
            <v>44018</v>
          </cell>
          <cell r="I692" t="str">
            <v>07.07.2020</v>
          </cell>
          <cell r="J692" t="str">
            <v>01.07.2020</v>
          </cell>
          <cell r="K692" t="str">
            <v>-</v>
          </cell>
          <cell r="L692" t="str">
            <v>OK</v>
          </cell>
        </row>
        <row r="693">
          <cell r="A693" t="str">
            <v>AHW-42743I20</v>
          </cell>
          <cell r="B693">
            <v>80528253</v>
          </cell>
          <cell r="C693" t="str">
            <v>Original</v>
          </cell>
          <cell r="D693" t="str">
            <v>CEVA</v>
          </cell>
          <cell r="E693" t="str">
            <v>Rodoimport</v>
          </cell>
          <cell r="F693">
            <v>44008</v>
          </cell>
          <cell r="G693">
            <v>44016</v>
          </cell>
          <cell r="H693">
            <v>44018</v>
          </cell>
          <cell r="I693" t="str">
            <v>03.07.2020</v>
          </cell>
          <cell r="J693" t="str">
            <v>01.07.2020</v>
          </cell>
          <cell r="K693" t="str">
            <v>-</v>
          </cell>
          <cell r="L693" t="str">
            <v>OK</v>
          </cell>
        </row>
        <row r="694">
          <cell r="A694" t="str">
            <v>AHW-42753I20</v>
          </cell>
          <cell r="B694">
            <v>127659</v>
          </cell>
          <cell r="C694" t="str">
            <v>Original</v>
          </cell>
          <cell r="D694" t="str">
            <v>CTS</v>
          </cell>
          <cell r="E694" t="str">
            <v>Rodoimport</v>
          </cell>
          <cell r="F694">
            <v>44008</v>
          </cell>
          <cell r="G694">
            <v>44016</v>
          </cell>
          <cell r="H694">
            <v>44018</v>
          </cell>
          <cell r="I694" t="str">
            <v>07.07.2020</v>
          </cell>
          <cell r="J694" t="str">
            <v>01.07.2020</v>
          </cell>
          <cell r="K694" t="str">
            <v>-</v>
          </cell>
          <cell r="L694" t="str">
            <v>OK</v>
          </cell>
        </row>
        <row r="695">
          <cell r="A695" t="str">
            <v>AHW-42636I20</v>
          </cell>
          <cell r="B695">
            <v>80528196</v>
          </cell>
          <cell r="C695" t="str">
            <v>Original</v>
          </cell>
          <cell r="D695" t="str">
            <v>CEVA</v>
          </cell>
          <cell r="E695" t="str">
            <v>Rodoimport</v>
          </cell>
          <cell r="F695">
            <v>44011</v>
          </cell>
          <cell r="G695">
            <v>44019</v>
          </cell>
          <cell r="H695">
            <v>44021</v>
          </cell>
          <cell r="I695" t="str">
            <v>03.07.2020</v>
          </cell>
          <cell r="J695" t="str">
            <v>07.07.2020</v>
          </cell>
          <cell r="K695" t="str">
            <v>-</v>
          </cell>
          <cell r="L695" t="str">
            <v>OK</v>
          </cell>
        </row>
        <row r="696">
          <cell r="A696" t="str">
            <v>AHW-42724I20</v>
          </cell>
          <cell r="B696">
            <v>80528235</v>
          </cell>
          <cell r="C696" t="str">
            <v>Original</v>
          </cell>
          <cell r="D696" t="str">
            <v>CEVA</v>
          </cell>
          <cell r="E696" t="str">
            <v>Rodoimport</v>
          </cell>
          <cell r="F696">
            <v>44011</v>
          </cell>
          <cell r="G696">
            <v>44019</v>
          </cell>
          <cell r="H696">
            <v>44021</v>
          </cell>
          <cell r="I696" t="str">
            <v>03.07.2020</v>
          </cell>
          <cell r="J696" t="str">
            <v>07.07.2020</v>
          </cell>
          <cell r="K696" t="str">
            <v>-</v>
          </cell>
          <cell r="L696" t="str">
            <v>OK</v>
          </cell>
        </row>
        <row r="697">
          <cell r="A697" t="str">
            <v>AHW-42752I20</v>
          </cell>
          <cell r="B697">
            <v>127668</v>
          </cell>
          <cell r="C697" t="str">
            <v>Original</v>
          </cell>
          <cell r="D697" t="str">
            <v>CTS</v>
          </cell>
          <cell r="E697" t="str">
            <v>Rodoimport</v>
          </cell>
          <cell r="F697">
            <v>44011</v>
          </cell>
          <cell r="G697">
            <v>44019</v>
          </cell>
          <cell r="H697">
            <v>44021</v>
          </cell>
          <cell r="I697" t="str">
            <v>03.07.2020</v>
          </cell>
          <cell r="J697" t="str">
            <v>07.07.2020</v>
          </cell>
          <cell r="K697" t="str">
            <v>-</v>
          </cell>
          <cell r="L697" t="str">
            <v>OK</v>
          </cell>
        </row>
        <row r="698">
          <cell r="A698" t="str">
            <v>SHW-42241I20</v>
          </cell>
          <cell r="B698" t="str">
            <v>EGLV149001937404</v>
          </cell>
          <cell r="C698" t="str">
            <v>Original</v>
          </cell>
          <cell r="D698" t="str">
            <v>Panalpina</v>
          </cell>
          <cell r="E698" t="str">
            <v>TACT</v>
          </cell>
          <cell r="F698">
            <v>44011</v>
          </cell>
          <cell r="G698">
            <v>44019</v>
          </cell>
          <cell r="H698">
            <v>44021</v>
          </cell>
          <cell r="I698" t="str">
            <v>03.07.2020</v>
          </cell>
          <cell r="J698" t="str">
            <v>02.07.2020</v>
          </cell>
          <cell r="K698" t="str">
            <v>-</v>
          </cell>
          <cell r="L698" t="str">
            <v>OK</v>
          </cell>
        </row>
        <row r="699">
          <cell r="A699" t="str">
            <v>AHW-42744I20</v>
          </cell>
          <cell r="B699">
            <v>80528261</v>
          </cell>
          <cell r="C699" t="str">
            <v>Original</v>
          </cell>
          <cell r="D699" t="str">
            <v>CEVA</v>
          </cell>
          <cell r="E699" t="str">
            <v>Rodoimport</v>
          </cell>
          <cell r="F699">
            <v>44012</v>
          </cell>
          <cell r="G699">
            <v>44020</v>
          </cell>
          <cell r="H699">
            <v>44022</v>
          </cell>
          <cell r="I699" t="str">
            <v>03.07.2020</v>
          </cell>
          <cell r="J699" t="str">
            <v>07.07.2020</v>
          </cell>
          <cell r="K699" t="str">
            <v>-</v>
          </cell>
          <cell r="L699" t="str">
            <v>OK</v>
          </cell>
        </row>
        <row r="700">
          <cell r="A700" t="str">
            <v>AHW-42757I20</v>
          </cell>
          <cell r="B700">
            <v>127670</v>
          </cell>
          <cell r="C700" t="str">
            <v>Original</v>
          </cell>
          <cell r="D700" t="str">
            <v>CTS</v>
          </cell>
          <cell r="E700" t="str">
            <v>Rodoimport</v>
          </cell>
          <cell r="F700">
            <v>44012</v>
          </cell>
          <cell r="G700">
            <v>44020</v>
          </cell>
          <cell r="H700">
            <v>44022</v>
          </cell>
          <cell r="I700" t="str">
            <v>07.07.2020</v>
          </cell>
          <cell r="J700" t="str">
            <v>07.07.2020</v>
          </cell>
          <cell r="K700" t="str">
            <v>-</v>
          </cell>
          <cell r="L700" t="str">
            <v>OK</v>
          </cell>
        </row>
        <row r="701">
          <cell r="A701" t="str">
            <v>AHW-42816I20</v>
          </cell>
          <cell r="B701">
            <v>127683</v>
          </cell>
          <cell r="C701" t="str">
            <v>Original</v>
          </cell>
          <cell r="D701" t="str">
            <v>CTS</v>
          </cell>
          <cell r="E701" t="str">
            <v>Rodoimport</v>
          </cell>
          <cell r="F701">
            <v>44012</v>
          </cell>
          <cell r="G701">
            <v>44020</v>
          </cell>
          <cell r="H701">
            <v>44022</v>
          </cell>
          <cell r="I701" t="str">
            <v>07.07.2020</v>
          </cell>
          <cell r="J701" t="str">
            <v>07.07.2020</v>
          </cell>
          <cell r="K701" t="str">
            <v>-</v>
          </cell>
          <cell r="L701" t="str">
            <v>OK</v>
          </cell>
        </row>
        <row r="702">
          <cell r="A702" t="str">
            <v>AHW-42754I20</v>
          </cell>
          <cell r="B702">
            <v>80528275</v>
          </cell>
          <cell r="C702" t="str">
            <v>Original</v>
          </cell>
          <cell r="D702" t="str">
            <v>CEVA</v>
          </cell>
          <cell r="E702" t="str">
            <v>Rodoimport</v>
          </cell>
          <cell r="F702">
            <v>44014</v>
          </cell>
          <cell r="G702">
            <v>44022</v>
          </cell>
          <cell r="H702">
            <v>44024</v>
          </cell>
          <cell r="I702" t="str">
            <v>08.07.2020</v>
          </cell>
          <cell r="J702" t="str">
            <v>07.07.2020</v>
          </cell>
          <cell r="K702" t="str">
            <v>-</v>
          </cell>
          <cell r="L702" t="str">
            <v>OK</v>
          </cell>
        </row>
        <row r="703">
          <cell r="A703" t="str">
            <v>AHW-42756I20</v>
          </cell>
          <cell r="B703">
            <v>80528274</v>
          </cell>
          <cell r="C703" t="str">
            <v>Original</v>
          </cell>
          <cell r="D703" t="str">
            <v>CEVA</v>
          </cell>
          <cell r="E703" t="str">
            <v>Rodoimport</v>
          </cell>
          <cell r="F703">
            <v>44014</v>
          </cell>
          <cell r="G703">
            <v>44022</v>
          </cell>
          <cell r="H703">
            <v>44024</v>
          </cell>
          <cell r="I703" t="str">
            <v>08.07.2020</v>
          </cell>
          <cell r="J703" t="str">
            <v>07.07.2020</v>
          </cell>
          <cell r="K703" t="str">
            <v>-</v>
          </cell>
          <cell r="L703" t="str">
            <v>OK</v>
          </cell>
        </row>
        <row r="704">
          <cell r="A704" t="str">
            <v>SHW-42381I20</v>
          </cell>
          <cell r="B704" t="str">
            <v>EGLV149002116714</v>
          </cell>
          <cell r="C704" t="str">
            <v>Original</v>
          </cell>
          <cell r="D704" t="str">
            <v>Panalpina</v>
          </cell>
          <cell r="E704" t="str">
            <v>TACT</v>
          </cell>
          <cell r="F704">
            <v>44014</v>
          </cell>
          <cell r="G704">
            <v>44022</v>
          </cell>
          <cell r="H704">
            <v>44024</v>
          </cell>
          <cell r="I704" t="str">
            <v>03.07.2020</v>
          </cell>
          <cell r="J704" t="str">
            <v>02.07.2020</v>
          </cell>
          <cell r="K704" t="str">
            <v>-</v>
          </cell>
          <cell r="L704" t="str">
            <v>OK</v>
          </cell>
        </row>
        <row r="705">
          <cell r="A705" t="str">
            <v>AHW-42801I20</v>
          </cell>
          <cell r="B705">
            <v>127676</v>
          </cell>
          <cell r="C705" t="str">
            <v>Original</v>
          </cell>
          <cell r="D705" t="str">
            <v>CTS</v>
          </cell>
          <cell r="E705" t="str">
            <v>Rodoimport</v>
          </cell>
          <cell r="F705">
            <v>44015</v>
          </cell>
          <cell r="G705">
            <v>44023</v>
          </cell>
          <cell r="H705">
            <v>44025</v>
          </cell>
          <cell r="I705" t="str">
            <v>21.08.2020</v>
          </cell>
          <cell r="J705" t="str">
            <v>18.08.2020</v>
          </cell>
          <cell r="K705" t="str">
            <v>-</v>
          </cell>
          <cell r="L705" t="str">
            <v>OK</v>
          </cell>
        </row>
        <row r="706">
          <cell r="A706" t="str">
            <v>AHW-42815I20</v>
          </cell>
          <cell r="B706">
            <v>80528294</v>
          </cell>
          <cell r="C706" t="str">
            <v>Original</v>
          </cell>
          <cell r="D706" t="str">
            <v>CEVA</v>
          </cell>
          <cell r="E706" t="str">
            <v>Rodoimport</v>
          </cell>
          <cell r="F706">
            <v>44015</v>
          </cell>
          <cell r="G706">
            <v>44023</v>
          </cell>
          <cell r="H706">
            <v>44025</v>
          </cell>
          <cell r="I706" t="str">
            <v>08.07.2020</v>
          </cell>
          <cell r="J706" t="str">
            <v>07.07.2020</v>
          </cell>
          <cell r="K706" t="str">
            <v>-</v>
          </cell>
          <cell r="L706" t="str">
            <v>OK</v>
          </cell>
        </row>
        <row r="707">
          <cell r="A707" t="str">
            <v>AHW-42873I20</v>
          </cell>
          <cell r="B707">
            <v>127238</v>
          </cell>
          <cell r="C707" t="str">
            <v>Original</v>
          </cell>
          <cell r="D707" t="str">
            <v>CTS</v>
          </cell>
          <cell r="E707" t="str">
            <v>Rodoimport</v>
          </cell>
          <cell r="F707">
            <v>44015</v>
          </cell>
          <cell r="G707">
            <v>44023</v>
          </cell>
          <cell r="H707">
            <v>44025</v>
          </cell>
          <cell r="I707" t="str">
            <v>15.07.2020</v>
          </cell>
          <cell r="J707" t="str">
            <v>07.07.2020</v>
          </cell>
          <cell r="K707" t="str">
            <v>-</v>
          </cell>
          <cell r="L707" t="str">
            <v>OK</v>
          </cell>
        </row>
        <row r="708">
          <cell r="A708" t="str">
            <v>AHW-42874I20</v>
          </cell>
          <cell r="B708">
            <v>127686</v>
          </cell>
          <cell r="C708" t="str">
            <v>Original</v>
          </cell>
          <cell r="D708" t="str">
            <v>CTS</v>
          </cell>
          <cell r="E708" t="str">
            <v>Rodoimport</v>
          </cell>
          <cell r="F708">
            <v>44015</v>
          </cell>
          <cell r="G708">
            <v>44023</v>
          </cell>
          <cell r="H708">
            <v>44025</v>
          </cell>
          <cell r="I708" t="str">
            <v>15.07.2020</v>
          </cell>
          <cell r="J708" t="str">
            <v>07.07.2020</v>
          </cell>
          <cell r="K708" t="str">
            <v>-</v>
          </cell>
          <cell r="L708" t="str">
            <v>OK</v>
          </cell>
        </row>
        <row r="709">
          <cell r="A709" t="str">
            <v>SHW-42299I20</v>
          </cell>
          <cell r="B709" t="str">
            <v>EGLV149002117010</v>
          </cell>
          <cell r="C709" t="str">
            <v>Original</v>
          </cell>
          <cell r="D709" t="str">
            <v>Panalpina</v>
          </cell>
          <cell r="E709" t="str">
            <v>TACT</v>
          </cell>
          <cell r="F709">
            <v>44015</v>
          </cell>
          <cell r="G709">
            <v>44023</v>
          </cell>
          <cell r="H709">
            <v>44025</v>
          </cell>
          <cell r="I709" t="str">
            <v>03.07.2020</v>
          </cell>
          <cell r="J709" t="str">
            <v>08.07.2020</v>
          </cell>
          <cell r="K709" t="str">
            <v>-</v>
          </cell>
          <cell r="L709" t="str">
            <v>OK</v>
          </cell>
        </row>
        <row r="710">
          <cell r="A710" t="str">
            <v>AHW-42817I20</v>
          </cell>
          <cell r="B710">
            <v>80528304</v>
          </cell>
          <cell r="C710" t="str">
            <v>Original</v>
          </cell>
          <cell r="D710" t="str">
            <v>CEVA</v>
          </cell>
          <cell r="E710" t="str">
            <v>Rodoimport</v>
          </cell>
          <cell r="F710">
            <v>44019</v>
          </cell>
          <cell r="G710">
            <v>44027</v>
          </cell>
          <cell r="H710">
            <v>44029</v>
          </cell>
          <cell r="I710" t="str">
            <v>15.07.2020</v>
          </cell>
          <cell r="J710" t="str">
            <v>21.07.2020</v>
          </cell>
          <cell r="K710" t="str">
            <v>-</v>
          </cell>
          <cell r="L710" t="str">
            <v>OK</v>
          </cell>
        </row>
        <row r="711">
          <cell r="A711" t="str">
            <v>AHW-42872I20</v>
          </cell>
          <cell r="B711">
            <v>80528309</v>
          </cell>
          <cell r="C711" t="str">
            <v>Original</v>
          </cell>
          <cell r="D711" t="str">
            <v>CEVA</v>
          </cell>
          <cell r="E711" t="str">
            <v>Rodoimport</v>
          </cell>
          <cell r="F711">
            <v>44019</v>
          </cell>
          <cell r="G711">
            <v>44027</v>
          </cell>
          <cell r="H711">
            <v>44029</v>
          </cell>
          <cell r="I711" t="str">
            <v>15.07.2020</v>
          </cell>
          <cell r="J711" t="str">
            <v>21.07.2020</v>
          </cell>
          <cell r="K711" t="str">
            <v>-</v>
          </cell>
          <cell r="L711" t="str">
            <v>OK</v>
          </cell>
        </row>
        <row r="712">
          <cell r="A712" t="str">
            <v>AHW-42875I20</v>
          </cell>
          <cell r="B712">
            <v>80528310</v>
          </cell>
          <cell r="C712" t="str">
            <v>Original</v>
          </cell>
          <cell r="D712" t="str">
            <v>CEVA</v>
          </cell>
          <cell r="E712" t="str">
            <v>Rodoimport</v>
          </cell>
          <cell r="F712">
            <v>44019</v>
          </cell>
          <cell r="G712">
            <v>44027</v>
          </cell>
          <cell r="H712">
            <v>44029</v>
          </cell>
          <cell r="I712" t="str">
            <v>15.07.2020</v>
          </cell>
          <cell r="J712" t="str">
            <v>21.07.2020</v>
          </cell>
          <cell r="K712" t="str">
            <v>-</v>
          </cell>
          <cell r="L712" t="str">
            <v>OK</v>
          </cell>
        </row>
        <row r="713">
          <cell r="A713" t="str">
            <v>AHW-42899I20</v>
          </cell>
          <cell r="B713">
            <v>127709</v>
          </cell>
          <cell r="C713" t="str">
            <v>Original</v>
          </cell>
          <cell r="D713" t="str">
            <v>CTS</v>
          </cell>
          <cell r="E713" t="str">
            <v>Rodoimport</v>
          </cell>
          <cell r="F713">
            <v>44019</v>
          </cell>
          <cell r="G713">
            <v>44027</v>
          </cell>
          <cell r="H713">
            <v>44029</v>
          </cell>
          <cell r="I713" t="str">
            <v>15.07.2020</v>
          </cell>
          <cell r="J713" t="str">
            <v>21.07.2020</v>
          </cell>
          <cell r="K713" t="str">
            <v>-</v>
          </cell>
          <cell r="L713" t="str">
            <v>OK</v>
          </cell>
        </row>
        <row r="714">
          <cell r="A714" t="str">
            <v>AHW-42901I20</v>
          </cell>
          <cell r="B714">
            <v>127710</v>
          </cell>
          <cell r="C714" t="str">
            <v>Original</v>
          </cell>
          <cell r="D714" t="str">
            <v>CTS</v>
          </cell>
          <cell r="E714" t="str">
            <v>Rodoimport</v>
          </cell>
          <cell r="F714">
            <v>44019</v>
          </cell>
          <cell r="G714">
            <v>44027</v>
          </cell>
          <cell r="H714">
            <v>44029</v>
          </cell>
          <cell r="I714" t="str">
            <v>15.07.2020</v>
          </cell>
          <cell r="J714" t="str">
            <v>21.07.2020</v>
          </cell>
          <cell r="K714" t="str">
            <v>-</v>
          </cell>
          <cell r="L714" t="str">
            <v>OK</v>
          </cell>
        </row>
        <row r="715">
          <cell r="A715" t="str">
            <v>SHW-42490I20</v>
          </cell>
          <cell r="B715" t="str">
            <v>EGLV149002294809</v>
          </cell>
          <cell r="C715" t="str">
            <v>Original</v>
          </cell>
          <cell r="D715" t="str">
            <v>Panalpina</v>
          </cell>
          <cell r="E715" t="str">
            <v>TACT</v>
          </cell>
          <cell r="F715">
            <v>44020</v>
          </cell>
          <cell r="G715">
            <v>44028</v>
          </cell>
          <cell r="H715">
            <v>44030</v>
          </cell>
          <cell r="I715" t="str">
            <v>15.07.2020</v>
          </cell>
          <cell r="J715" t="str">
            <v>15.07.2020</v>
          </cell>
          <cell r="K715" t="str">
            <v>-</v>
          </cell>
          <cell r="L715" t="str">
            <v>OK</v>
          </cell>
        </row>
        <row r="716">
          <cell r="A716" t="str">
            <v>SHW-42446I20</v>
          </cell>
          <cell r="B716" t="str">
            <v>EGLV149002293306</v>
          </cell>
          <cell r="C716" t="str">
            <v>Original</v>
          </cell>
          <cell r="D716" t="str">
            <v>Panalpina</v>
          </cell>
          <cell r="E716" t="str">
            <v>TACT</v>
          </cell>
          <cell r="F716">
            <v>44021</v>
          </cell>
          <cell r="G716">
            <v>44029</v>
          </cell>
          <cell r="H716">
            <v>44031</v>
          </cell>
          <cell r="I716" t="str">
            <v>15.07.2020</v>
          </cell>
          <cell r="J716" t="str">
            <v>15.07.2020</v>
          </cell>
          <cell r="K716" t="str">
            <v>-</v>
          </cell>
          <cell r="L716" t="str">
            <v>OK</v>
          </cell>
        </row>
        <row r="717">
          <cell r="A717" t="str">
            <v>SHW-42444I20</v>
          </cell>
          <cell r="B717" t="str">
            <v>EGLV149002218673</v>
          </cell>
          <cell r="C717" t="str">
            <v>Original</v>
          </cell>
          <cell r="D717" t="str">
            <v>Panalpina</v>
          </cell>
          <cell r="E717" t="str">
            <v>TACT</v>
          </cell>
          <cell r="F717">
            <v>44021</v>
          </cell>
          <cell r="G717">
            <v>44029</v>
          </cell>
          <cell r="H717">
            <v>44031</v>
          </cell>
          <cell r="I717" t="str">
            <v>15.07.2020</v>
          </cell>
          <cell r="J717" t="str">
            <v>15.07.2020</v>
          </cell>
          <cell r="K717" t="str">
            <v>-</v>
          </cell>
          <cell r="L717" t="str">
            <v>OK</v>
          </cell>
        </row>
        <row r="718">
          <cell r="A718" t="str">
            <v>SHW-42445I20</v>
          </cell>
          <cell r="B718" t="str">
            <v>EGLV149002293331</v>
          </cell>
          <cell r="C718" t="str">
            <v>Original</v>
          </cell>
          <cell r="D718" t="str">
            <v>Panalpina</v>
          </cell>
          <cell r="E718" t="str">
            <v>TACT</v>
          </cell>
          <cell r="F718">
            <v>44022</v>
          </cell>
          <cell r="G718">
            <v>44030</v>
          </cell>
          <cell r="H718">
            <v>44032</v>
          </cell>
          <cell r="I718" t="str">
            <v>15.07.2020</v>
          </cell>
          <cell r="J718" t="str">
            <v>15.07.2020</v>
          </cell>
          <cell r="K718" t="str">
            <v>-</v>
          </cell>
          <cell r="L718" t="str">
            <v>OK</v>
          </cell>
        </row>
        <row r="719">
          <cell r="A719" t="str">
            <v>SHW-42524I20</v>
          </cell>
          <cell r="B719" t="str">
            <v>EGLV149001713743</v>
          </cell>
          <cell r="C719" t="str">
            <v>Original</v>
          </cell>
          <cell r="D719" t="str">
            <v>Panalpina</v>
          </cell>
          <cell r="E719" t="str">
            <v>TACT</v>
          </cell>
          <cell r="F719">
            <v>44029</v>
          </cell>
          <cell r="G719">
            <v>44037</v>
          </cell>
          <cell r="H719">
            <v>44039</v>
          </cell>
          <cell r="I719" t="str">
            <v>20.07.2020</v>
          </cell>
          <cell r="J719" t="str">
            <v>07.08.2020</v>
          </cell>
          <cell r="K719" t="str">
            <v>-</v>
          </cell>
          <cell r="L719" t="str">
            <v>OK</v>
          </cell>
        </row>
        <row r="720">
          <cell r="A720" t="str">
            <v>SHW-42525I20</v>
          </cell>
          <cell r="B720" t="str">
            <v>EGLV149002457546</v>
          </cell>
          <cell r="C720" t="str">
            <v>Original</v>
          </cell>
          <cell r="D720" t="str">
            <v>Panalpina</v>
          </cell>
          <cell r="E720" t="str">
            <v>TACT</v>
          </cell>
          <cell r="F720">
            <v>44029</v>
          </cell>
          <cell r="G720">
            <v>44037</v>
          </cell>
          <cell r="H720">
            <v>44039</v>
          </cell>
          <cell r="I720" t="str">
            <v>20.07.2020</v>
          </cell>
          <cell r="J720" t="str">
            <v>24.07.2020</v>
          </cell>
          <cell r="K720" t="str">
            <v>-</v>
          </cell>
          <cell r="L720" t="str">
            <v>OK</v>
          </cell>
        </row>
        <row r="721">
          <cell r="A721" t="str">
            <v>SHW-42564I20</v>
          </cell>
          <cell r="B721" t="str">
            <v>EGLV149002454067</v>
          </cell>
          <cell r="C721" t="str">
            <v>Original</v>
          </cell>
          <cell r="D721" t="str">
            <v>Panalpina</v>
          </cell>
          <cell r="E721" t="str">
            <v>TACT</v>
          </cell>
          <cell r="F721">
            <v>44032</v>
          </cell>
          <cell r="G721">
            <v>44040</v>
          </cell>
          <cell r="H721">
            <v>44042</v>
          </cell>
          <cell r="I721" t="str">
            <v>22.07.2020</v>
          </cell>
          <cell r="J721" t="str">
            <v>24.07.2020</v>
          </cell>
          <cell r="K721" t="str">
            <v>-</v>
          </cell>
          <cell r="L721" t="str">
            <v>OK</v>
          </cell>
        </row>
        <row r="722">
          <cell r="A722" t="str">
            <v>SHW-42566I20</v>
          </cell>
          <cell r="B722">
            <v>203302294</v>
          </cell>
          <cell r="C722" t="str">
            <v>Original</v>
          </cell>
          <cell r="D722" t="str">
            <v>Panalpina</v>
          </cell>
          <cell r="E722" t="str">
            <v>TACT</v>
          </cell>
          <cell r="F722">
            <v>44032</v>
          </cell>
          <cell r="G722">
            <v>44040</v>
          </cell>
          <cell r="H722">
            <v>44042</v>
          </cell>
          <cell r="I722" t="str">
            <v>22.07.2020</v>
          </cell>
          <cell r="J722" t="str">
            <v>24.07.2020</v>
          </cell>
          <cell r="K722" t="str">
            <v>-</v>
          </cell>
          <cell r="L722" t="str">
            <v>OK</v>
          </cell>
        </row>
        <row r="723">
          <cell r="A723" t="str">
            <v>AHW-43063I20</v>
          </cell>
          <cell r="B723">
            <v>127732</v>
          </cell>
          <cell r="C723" t="str">
            <v>Original</v>
          </cell>
          <cell r="D723" t="str">
            <v>CTS</v>
          </cell>
          <cell r="E723" t="str">
            <v>Rodoimport</v>
          </cell>
          <cell r="F723">
            <v>44033</v>
          </cell>
          <cell r="G723">
            <v>44041</v>
          </cell>
          <cell r="H723">
            <v>44043</v>
          </cell>
          <cell r="I723" t="str">
            <v>05.08.2020</v>
          </cell>
          <cell r="J723" t="str">
            <v>04.05.2020</v>
          </cell>
          <cell r="K723" t="str">
            <v>-</v>
          </cell>
          <cell r="L723" t="str">
            <v>OK</v>
          </cell>
        </row>
        <row r="724">
          <cell r="A724" t="str">
            <v>AHW-43064I20</v>
          </cell>
          <cell r="B724">
            <v>127741</v>
          </cell>
          <cell r="C724" t="str">
            <v>Original</v>
          </cell>
          <cell r="D724" t="str">
            <v>CTS</v>
          </cell>
          <cell r="E724" t="str">
            <v>Rodoimport</v>
          </cell>
          <cell r="F724">
            <v>44033</v>
          </cell>
          <cell r="G724">
            <v>44041</v>
          </cell>
          <cell r="H724">
            <v>44043</v>
          </cell>
          <cell r="I724" t="str">
            <v>05.08.2020</v>
          </cell>
          <cell r="J724" t="str">
            <v>04.05.2020</v>
          </cell>
          <cell r="K724" t="str">
            <v>-</v>
          </cell>
          <cell r="L724" t="str">
            <v>OK</v>
          </cell>
        </row>
        <row r="725">
          <cell r="A725" t="str">
            <v>SHW-42565I20</v>
          </cell>
          <cell r="B725" t="str">
            <v>EGLV149002454237</v>
          </cell>
          <cell r="C725" t="str">
            <v>Original</v>
          </cell>
          <cell r="D725" t="str">
            <v>Panalpina</v>
          </cell>
          <cell r="E725" t="str">
            <v>TACT</v>
          </cell>
          <cell r="F725">
            <v>44033</v>
          </cell>
          <cell r="G725">
            <v>44041</v>
          </cell>
          <cell r="H725">
            <v>44043</v>
          </cell>
          <cell r="I725" t="str">
            <v>22.07.2020</v>
          </cell>
          <cell r="J725" t="str">
            <v>24.07.2020</v>
          </cell>
          <cell r="K725" t="str">
            <v>-</v>
          </cell>
          <cell r="L725" t="str">
            <v>OK</v>
          </cell>
        </row>
        <row r="726">
          <cell r="A726" t="str">
            <v>SHW-42726I20</v>
          </cell>
          <cell r="B726" t="str">
            <v>EGLV149002646802</v>
          </cell>
          <cell r="C726" t="str">
            <v>Original</v>
          </cell>
          <cell r="D726" t="str">
            <v>Panalpina</v>
          </cell>
          <cell r="E726" t="str">
            <v>TACT</v>
          </cell>
          <cell r="F726">
            <v>44036</v>
          </cell>
          <cell r="G726">
            <v>44044</v>
          </cell>
          <cell r="H726">
            <v>44046</v>
          </cell>
          <cell r="I726" t="str">
            <v>05.08.2020</v>
          </cell>
          <cell r="J726" t="str">
            <v>24.07.2020</v>
          </cell>
          <cell r="K726" t="str">
            <v>-</v>
          </cell>
          <cell r="L726" t="str">
            <v>OK</v>
          </cell>
        </row>
        <row r="727">
          <cell r="A727" t="str">
            <v>AHW-43065I20</v>
          </cell>
          <cell r="B727">
            <v>127747</v>
          </cell>
          <cell r="C727" t="str">
            <v>Original</v>
          </cell>
          <cell r="D727" t="str">
            <v>CTS</v>
          </cell>
          <cell r="E727" t="str">
            <v>Rodoimport</v>
          </cell>
          <cell r="F727">
            <v>44036</v>
          </cell>
          <cell r="G727">
            <v>44044</v>
          </cell>
          <cell r="H727">
            <v>44046</v>
          </cell>
          <cell r="I727" t="str">
            <v>05.08.2020</v>
          </cell>
          <cell r="J727" t="str">
            <v>04.08.2020</v>
          </cell>
          <cell r="K727" t="str">
            <v>-</v>
          </cell>
          <cell r="L727" t="str">
            <v>OK</v>
          </cell>
        </row>
        <row r="728">
          <cell r="A728" t="str">
            <v>AHW-43093I20</v>
          </cell>
          <cell r="B728">
            <v>127762</v>
          </cell>
          <cell r="C728" t="str">
            <v>Original</v>
          </cell>
          <cell r="D728" t="str">
            <v>CTS</v>
          </cell>
          <cell r="E728" t="str">
            <v>Rodoimport</v>
          </cell>
          <cell r="F728">
            <v>44036</v>
          </cell>
          <cell r="G728">
            <v>44044</v>
          </cell>
          <cell r="H728">
            <v>44046</v>
          </cell>
          <cell r="I728" t="str">
            <v>21.08.2020</v>
          </cell>
          <cell r="J728" t="str">
            <v>04.08.2020</v>
          </cell>
          <cell r="K728" t="str">
            <v>-</v>
          </cell>
          <cell r="L728" t="str">
            <v>OK</v>
          </cell>
        </row>
        <row r="729">
          <cell r="A729" t="str">
            <v>AHW-43098I20</v>
          </cell>
          <cell r="B729">
            <v>127765</v>
          </cell>
          <cell r="C729" t="str">
            <v>Original</v>
          </cell>
          <cell r="D729" t="str">
            <v>CTS</v>
          </cell>
          <cell r="E729" t="str">
            <v>Rodoimport</v>
          </cell>
          <cell r="F729">
            <v>44036</v>
          </cell>
          <cell r="G729">
            <v>44044</v>
          </cell>
          <cell r="H729">
            <v>44046</v>
          </cell>
          <cell r="I729" t="str">
            <v>05.08.2020</v>
          </cell>
          <cell r="J729" t="str">
            <v>04.08.2020</v>
          </cell>
          <cell r="K729" t="str">
            <v>-</v>
          </cell>
          <cell r="L729" t="str">
            <v>OK</v>
          </cell>
        </row>
        <row r="730">
          <cell r="A730" t="str">
            <v>SHW-42590I20</v>
          </cell>
          <cell r="B730" t="str">
            <v>EGLV149002567066</v>
          </cell>
          <cell r="C730" t="str">
            <v>Original</v>
          </cell>
          <cell r="D730" t="str">
            <v>Panalpina</v>
          </cell>
          <cell r="E730" t="str">
            <v>TACT</v>
          </cell>
          <cell r="F730">
            <v>44039</v>
          </cell>
          <cell r="G730">
            <v>44047</v>
          </cell>
          <cell r="H730">
            <v>44049</v>
          </cell>
          <cell r="I730" t="str">
            <v>05.08.2020</v>
          </cell>
          <cell r="J730" t="str">
            <v>05.08.2020</v>
          </cell>
          <cell r="K730" t="str">
            <v>-</v>
          </cell>
          <cell r="L730" t="str">
            <v>OK</v>
          </cell>
        </row>
        <row r="731">
          <cell r="A731" t="str">
            <v>SHW-42727I20</v>
          </cell>
          <cell r="B731" t="str">
            <v>EGLV149002598379</v>
          </cell>
          <cell r="C731" t="str">
            <v>Original</v>
          </cell>
          <cell r="D731" t="str">
            <v>Panalpina</v>
          </cell>
          <cell r="E731" t="str">
            <v>TACT</v>
          </cell>
          <cell r="F731">
            <v>44039</v>
          </cell>
          <cell r="G731">
            <v>44047</v>
          </cell>
          <cell r="H731">
            <v>44049</v>
          </cell>
          <cell r="I731" t="str">
            <v>05.08.2020</v>
          </cell>
          <cell r="J731" t="str">
            <v>05.08.2020</v>
          </cell>
          <cell r="K731" t="str">
            <v>-</v>
          </cell>
          <cell r="L731" t="str">
            <v>OK</v>
          </cell>
        </row>
        <row r="732">
          <cell r="A732" t="str">
            <v>SHW-42728I20</v>
          </cell>
          <cell r="B732">
            <v>607102987</v>
          </cell>
          <cell r="C732" t="str">
            <v>Original</v>
          </cell>
          <cell r="D732" t="str">
            <v>Panalpina</v>
          </cell>
          <cell r="E732" t="str">
            <v>TACT</v>
          </cell>
          <cell r="F732">
            <v>44040</v>
          </cell>
          <cell r="G732">
            <v>44048</v>
          </cell>
          <cell r="H732">
            <v>44050</v>
          </cell>
          <cell r="I732" t="str">
            <v>05.08.2020</v>
          </cell>
          <cell r="J732" t="str">
            <v>03.08.2020</v>
          </cell>
          <cell r="K732" t="str">
            <v>-</v>
          </cell>
          <cell r="L732" t="str">
            <v>OK</v>
          </cell>
        </row>
        <row r="733">
          <cell r="A733" t="str">
            <v>SHW-42730I20</v>
          </cell>
          <cell r="B733">
            <v>607144168</v>
          </cell>
          <cell r="C733" t="str">
            <v>Original</v>
          </cell>
          <cell r="D733" t="str">
            <v>Panalpina</v>
          </cell>
          <cell r="E733" t="str">
            <v>TACT</v>
          </cell>
          <cell r="F733">
            <v>44040</v>
          </cell>
          <cell r="G733">
            <v>44048</v>
          </cell>
          <cell r="H733">
            <v>44050</v>
          </cell>
          <cell r="I733" t="str">
            <v>05.08.2020</v>
          </cell>
          <cell r="J733" t="str">
            <v>13.08.2020</v>
          </cell>
          <cell r="K733" t="str">
            <v>-</v>
          </cell>
          <cell r="L733" t="str">
            <v>OK</v>
          </cell>
        </row>
        <row r="734">
          <cell r="A734" t="str">
            <v>AHW-43121I20</v>
          </cell>
          <cell r="B734">
            <v>127773</v>
          </cell>
          <cell r="C734" t="str">
            <v>Original</v>
          </cell>
          <cell r="D734" t="str">
            <v>CTS</v>
          </cell>
          <cell r="E734" t="str">
            <v>Rodoimport</v>
          </cell>
          <cell r="F734">
            <v>44043</v>
          </cell>
          <cell r="G734">
            <v>44051</v>
          </cell>
          <cell r="H734">
            <v>44053</v>
          </cell>
          <cell r="I734" t="str">
            <v>07.08.2020</v>
          </cell>
          <cell r="J734" t="str">
            <v>04.08.2020</v>
          </cell>
          <cell r="K734" t="str">
            <v>-</v>
          </cell>
          <cell r="L734" t="str">
            <v>OK</v>
          </cell>
        </row>
        <row r="735">
          <cell r="A735" t="str">
            <v>AHW-43122I20</v>
          </cell>
          <cell r="B735">
            <v>127770</v>
          </cell>
          <cell r="C735" t="str">
            <v>Original</v>
          </cell>
          <cell r="D735" t="str">
            <v>CTS</v>
          </cell>
          <cell r="E735" t="str">
            <v>Rodoimport</v>
          </cell>
          <cell r="F735">
            <v>44043</v>
          </cell>
          <cell r="G735">
            <v>44051</v>
          </cell>
          <cell r="H735">
            <v>44053</v>
          </cell>
          <cell r="I735" t="str">
            <v>05.08.2020</v>
          </cell>
          <cell r="J735" t="str">
            <v>04.08.2020</v>
          </cell>
          <cell r="K735" t="str">
            <v>-</v>
          </cell>
          <cell r="L735" t="str">
            <v>OK</v>
          </cell>
        </row>
        <row r="736">
          <cell r="A736" t="str">
            <v>AHW-43153I20</v>
          </cell>
          <cell r="B736">
            <v>127788</v>
          </cell>
          <cell r="C736" t="str">
            <v>Original</v>
          </cell>
          <cell r="D736" t="str">
            <v>CTS</v>
          </cell>
          <cell r="E736" t="str">
            <v>Rodoimport</v>
          </cell>
          <cell r="F736">
            <v>44043</v>
          </cell>
          <cell r="G736">
            <v>44051</v>
          </cell>
          <cell r="H736">
            <v>44053</v>
          </cell>
          <cell r="I736" t="str">
            <v>05.08.2020</v>
          </cell>
          <cell r="J736" t="str">
            <v>04.08.2020</v>
          </cell>
          <cell r="K736" t="str">
            <v>-</v>
          </cell>
          <cell r="L736" t="str">
            <v>OK</v>
          </cell>
        </row>
        <row r="737">
          <cell r="A737" t="str">
            <v>AHW-43155I20</v>
          </cell>
          <cell r="B737">
            <v>127785</v>
          </cell>
          <cell r="C737" t="str">
            <v>Original</v>
          </cell>
          <cell r="D737" t="str">
            <v>CTS</v>
          </cell>
          <cell r="E737" t="str">
            <v>Rodoimport</v>
          </cell>
          <cell r="F737">
            <v>44043</v>
          </cell>
          <cell r="G737">
            <v>44051</v>
          </cell>
          <cell r="H737">
            <v>44053</v>
          </cell>
          <cell r="I737" t="str">
            <v>05.08.2020</v>
          </cell>
          <cell r="J737" t="str">
            <v>04.08.2020</v>
          </cell>
          <cell r="K737" t="str">
            <v>-</v>
          </cell>
          <cell r="L737" t="str">
            <v>OK</v>
          </cell>
        </row>
        <row r="738">
          <cell r="A738" t="str">
            <v>SHW-42747I20</v>
          </cell>
          <cell r="B738" t="str">
            <v>EGLV149002800330</v>
          </cell>
          <cell r="C738" t="str">
            <v>Original</v>
          </cell>
          <cell r="D738" t="str">
            <v>Panalpina</v>
          </cell>
          <cell r="E738" t="str">
            <v>TACT</v>
          </cell>
          <cell r="F738">
            <v>44046</v>
          </cell>
          <cell r="G738">
            <v>44054</v>
          </cell>
          <cell r="H738">
            <v>44056</v>
          </cell>
          <cell r="I738" t="str">
            <v>05.08.2020</v>
          </cell>
          <cell r="J738" t="str">
            <v>05.08.2020</v>
          </cell>
          <cell r="K738" t="str">
            <v>-</v>
          </cell>
          <cell r="L738" t="str">
            <v>OK</v>
          </cell>
        </row>
        <row r="739">
          <cell r="A739" t="str">
            <v>SHW-42729I20</v>
          </cell>
          <cell r="B739" t="str">
            <v>EGLV149002413336</v>
          </cell>
          <cell r="C739" t="str">
            <v>Original</v>
          </cell>
          <cell r="D739" t="str">
            <v>Panalpina</v>
          </cell>
          <cell r="E739" t="str">
            <v>TACT</v>
          </cell>
          <cell r="F739">
            <v>44046</v>
          </cell>
          <cell r="G739">
            <v>44054</v>
          </cell>
          <cell r="H739">
            <v>44056</v>
          </cell>
          <cell r="I739" t="str">
            <v>05.08.2020</v>
          </cell>
          <cell r="J739" t="str">
            <v>05.08.2020</v>
          </cell>
          <cell r="K739" t="str">
            <v>-</v>
          </cell>
          <cell r="L739" t="str">
            <v>OK</v>
          </cell>
        </row>
        <row r="740">
          <cell r="A740" t="str">
            <v>SHW-42731I20</v>
          </cell>
          <cell r="B740" t="str">
            <v>EGLV149002773545</v>
          </cell>
          <cell r="C740" t="str">
            <v>Original</v>
          </cell>
          <cell r="D740" t="str">
            <v>Panalpina</v>
          </cell>
          <cell r="E740" t="str">
            <v>TACT</v>
          </cell>
          <cell r="F740">
            <v>44046</v>
          </cell>
          <cell r="G740">
            <v>44054</v>
          </cell>
          <cell r="H740">
            <v>44056</v>
          </cell>
          <cell r="I740" t="str">
            <v>05.08.2020</v>
          </cell>
          <cell r="J740" t="str">
            <v>05.08.2020</v>
          </cell>
          <cell r="K740" t="str">
            <v>-</v>
          </cell>
          <cell r="L740" t="str">
            <v>OK</v>
          </cell>
        </row>
        <row r="741">
          <cell r="A741" t="str">
            <v>AHW-43227I20</v>
          </cell>
          <cell r="B741">
            <v>127809</v>
          </cell>
          <cell r="C741" t="str">
            <v>Original</v>
          </cell>
          <cell r="D741" t="str">
            <v>CTS</v>
          </cell>
          <cell r="E741" t="str">
            <v>Rodoimport</v>
          </cell>
          <cell r="F741">
            <v>44048</v>
          </cell>
          <cell r="G741">
            <v>44056</v>
          </cell>
          <cell r="H741">
            <v>44058</v>
          </cell>
          <cell r="I741" t="str">
            <v>11.08.2020</v>
          </cell>
          <cell r="J741" t="str">
            <v>18.08.2020</v>
          </cell>
          <cell r="K741" t="str">
            <v>-</v>
          </cell>
          <cell r="L741" t="str">
            <v>OK</v>
          </cell>
        </row>
        <row r="742">
          <cell r="A742" t="str">
            <v>AHW-43239I20</v>
          </cell>
          <cell r="B742">
            <v>127811</v>
          </cell>
          <cell r="C742" t="str">
            <v>Original</v>
          </cell>
          <cell r="D742" t="str">
            <v>CTS</v>
          </cell>
          <cell r="E742" t="str">
            <v>Rodoimport</v>
          </cell>
          <cell r="F742">
            <v>44048</v>
          </cell>
          <cell r="G742">
            <v>44056</v>
          </cell>
          <cell r="H742">
            <v>44058</v>
          </cell>
          <cell r="I742" t="str">
            <v>11.08.2020</v>
          </cell>
          <cell r="J742" t="str">
            <v>18.08.2020</v>
          </cell>
          <cell r="K742" t="str">
            <v>-</v>
          </cell>
          <cell r="L742" t="str">
            <v>OK</v>
          </cell>
        </row>
        <row r="743">
          <cell r="A743" t="str">
            <v>AHW-43240I20</v>
          </cell>
          <cell r="B743">
            <v>127814</v>
          </cell>
          <cell r="C743" t="str">
            <v>Original</v>
          </cell>
          <cell r="D743" t="str">
            <v>CTS</v>
          </cell>
          <cell r="E743" t="str">
            <v>Rodoimport</v>
          </cell>
          <cell r="F743">
            <v>44048</v>
          </cell>
          <cell r="G743">
            <v>44056</v>
          </cell>
          <cell r="H743">
            <v>44058</v>
          </cell>
          <cell r="I743" t="str">
            <v>11.08.2020</v>
          </cell>
          <cell r="J743" t="str">
            <v>18.08.2020</v>
          </cell>
          <cell r="K743" t="str">
            <v>-</v>
          </cell>
          <cell r="L743" t="str">
            <v>OK</v>
          </cell>
        </row>
        <row r="744">
          <cell r="A744" t="str">
            <v>AHW-43269I20</v>
          </cell>
          <cell r="B744">
            <v>127815</v>
          </cell>
          <cell r="C744" t="str">
            <v>Original</v>
          </cell>
          <cell r="D744" t="str">
            <v>CTS</v>
          </cell>
          <cell r="E744" t="str">
            <v>Rodoimport</v>
          </cell>
          <cell r="F744">
            <v>44048</v>
          </cell>
          <cell r="G744">
            <v>44056</v>
          </cell>
          <cell r="H744">
            <v>44058</v>
          </cell>
          <cell r="I744" t="str">
            <v>11.08.2020</v>
          </cell>
          <cell r="J744" t="str">
            <v>18.08.2020</v>
          </cell>
          <cell r="K744" t="str">
            <v>-</v>
          </cell>
          <cell r="L744" t="str">
            <v>OK</v>
          </cell>
        </row>
        <row r="745">
          <cell r="A745" t="str">
            <v>AHW-43270I20</v>
          </cell>
          <cell r="B745">
            <v>127819</v>
          </cell>
          <cell r="C745" t="str">
            <v>Original</v>
          </cell>
          <cell r="D745" t="str">
            <v>CTS</v>
          </cell>
          <cell r="E745" t="str">
            <v>Rodoimport</v>
          </cell>
          <cell r="F745">
            <v>44048</v>
          </cell>
          <cell r="G745">
            <v>44056</v>
          </cell>
          <cell r="H745">
            <v>44058</v>
          </cell>
          <cell r="I745" t="str">
            <v>11.08.2020</v>
          </cell>
          <cell r="J745" t="str">
            <v>18.08.2020</v>
          </cell>
          <cell r="K745" t="str">
            <v>-</v>
          </cell>
          <cell r="L745" t="str">
            <v>OK</v>
          </cell>
        </row>
        <row r="746">
          <cell r="A746" t="str">
            <v>AHW-43271I20</v>
          </cell>
          <cell r="B746">
            <v>127820</v>
          </cell>
          <cell r="C746" t="str">
            <v>Original</v>
          </cell>
          <cell r="D746" t="str">
            <v>CTS</v>
          </cell>
          <cell r="E746" t="str">
            <v>Rodoimport</v>
          </cell>
          <cell r="F746">
            <v>44048</v>
          </cell>
          <cell r="G746">
            <v>44056</v>
          </cell>
          <cell r="H746">
            <v>44058</v>
          </cell>
          <cell r="I746" t="str">
            <v>11.08.2020</v>
          </cell>
          <cell r="J746" t="str">
            <v>18.08.2020</v>
          </cell>
          <cell r="K746" t="str">
            <v>-</v>
          </cell>
          <cell r="L746" t="str">
            <v>OK</v>
          </cell>
        </row>
        <row r="747">
          <cell r="A747" t="str">
            <v>SHW-42876I20</v>
          </cell>
          <cell r="B747" t="str">
            <v>EGLV149002977485</v>
          </cell>
          <cell r="C747" t="str">
            <v>Original</v>
          </cell>
          <cell r="D747" t="str">
            <v>Panalpina</v>
          </cell>
          <cell r="E747" t="str">
            <v>TACT</v>
          </cell>
          <cell r="F747">
            <v>44050</v>
          </cell>
          <cell r="G747">
            <v>44058</v>
          </cell>
          <cell r="H747">
            <v>44060</v>
          </cell>
          <cell r="I747" t="str">
            <v>13.08.2020</v>
          </cell>
          <cell r="J747" t="str">
            <v>07.08.2020</v>
          </cell>
          <cell r="K747" t="str">
            <v>-</v>
          </cell>
          <cell r="L747" t="str">
            <v>OK</v>
          </cell>
        </row>
        <row r="748">
          <cell r="A748" t="str">
            <v>AHW-43274I20</v>
          </cell>
          <cell r="B748">
            <v>127326</v>
          </cell>
          <cell r="C748" t="str">
            <v>Original</v>
          </cell>
          <cell r="D748" t="str">
            <v>CTS</v>
          </cell>
          <cell r="E748" t="str">
            <v>TSA</v>
          </cell>
          <cell r="F748">
            <v>44055</v>
          </cell>
          <cell r="G748">
            <v>44063</v>
          </cell>
          <cell r="H748">
            <v>44065</v>
          </cell>
          <cell r="I748" t="str">
            <v>21.08.2020</v>
          </cell>
          <cell r="J748" t="str">
            <v>18.08.2020</v>
          </cell>
          <cell r="K748" t="str">
            <v>-</v>
          </cell>
          <cell r="L748" t="str">
            <v>OK</v>
          </cell>
        </row>
        <row r="749">
          <cell r="A749" t="str">
            <v>AHW-43288I20</v>
          </cell>
          <cell r="B749">
            <v>127327</v>
          </cell>
          <cell r="C749" t="str">
            <v>Original</v>
          </cell>
          <cell r="D749" t="str">
            <v>CTS</v>
          </cell>
          <cell r="E749" t="str">
            <v>TSA</v>
          </cell>
          <cell r="F749">
            <v>44055</v>
          </cell>
          <cell r="G749">
            <v>44063</v>
          </cell>
          <cell r="H749">
            <v>44065</v>
          </cell>
          <cell r="I749" t="str">
            <v>21.08.2020</v>
          </cell>
          <cell r="J749" t="str">
            <v>18.08.2020</v>
          </cell>
          <cell r="K749" t="str">
            <v>-</v>
          </cell>
          <cell r="L749" t="str">
            <v>OK</v>
          </cell>
        </row>
        <row r="750">
          <cell r="A750" t="str">
            <v>AHW-43326I20</v>
          </cell>
          <cell r="B750">
            <v>127984</v>
          </cell>
          <cell r="C750" t="str">
            <v>Original</v>
          </cell>
          <cell r="D750" t="str">
            <v>CTS</v>
          </cell>
          <cell r="E750" t="str">
            <v>TSA</v>
          </cell>
          <cell r="F750">
            <v>44055</v>
          </cell>
          <cell r="G750">
            <v>44063</v>
          </cell>
          <cell r="H750">
            <v>44065</v>
          </cell>
          <cell r="I750" t="str">
            <v>21.08.2020</v>
          </cell>
          <cell r="J750" t="str">
            <v>18.08.2020</v>
          </cell>
          <cell r="K750" t="str">
            <v>-</v>
          </cell>
          <cell r="L750" t="str">
            <v>OK</v>
          </cell>
        </row>
        <row r="751">
          <cell r="A751" t="str">
            <v>AHW-43327I20</v>
          </cell>
          <cell r="B751">
            <v>127985</v>
          </cell>
          <cell r="C751" t="str">
            <v>Original</v>
          </cell>
          <cell r="D751" t="str">
            <v>CTS</v>
          </cell>
          <cell r="E751" t="str">
            <v>TSA</v>
          </cell>
          <cell r="F751">
            <v>44057</v>
          </cell>
          <cell r="G751">
            <v>44065</v>
          </cell>
          <cell r="H751">
            <v>44067</v>
          </cell>
          <cell r="I751" t="str">
            <v>21.08.2020</v>
          </cell>
          <cell r="J751" t="str">
            <v>18.08.2020</v>
          </cell>
          <cell r="K751" t="str">
            <v>-</v>
          </cell>
          <cell r="L751" t="str">
            <v>OK</v>
          </cell>
        </row>
        <row r="752">
          <cell r="A752" t="str">
            <v>AHW-43390I20</v>
          </cell>
          <cell r="B752">
            <v>127987</v>
          </cell>
          <cell r="C752" t="str">
            <v>Original</v>
          </cell>
          <cell r="D752" t="str">
            <v>CTS</v>
          </cell>
          <cell r="E752" t="str">
            <v>TSA</v>
          </cell>
          <cell r="F752">
            <v>44057</v>
          </cell>
          <cell r="G752">
            <v>44065</v>
          </cell>
          <cell r="H752">
            <v>44067</v>
          </cell>
          <cell r="I752" t="str">
            <v>21.08.2020</v>
          </cell>
          <cell r="J752" t="str">
            <v>18.08.2020</v>
          </cell>
          <cell r="K752" t="str">
            <v>-</v>
          </cell>
          <cell r="L752" t="str">
            <v>OK</v>
          </cell>
        </row>
        <row r="753">
          <cell r="A753" t="str">
            <v>SHW-42881I20</v>
          </cell>
          <cell r="B753" t="str">
            <v>EGLV149003048801</v>
          </cell>
          <cell r="C753" t="str">
            <v>Original</v>
          </cell>
          <cell r="D753" t="str">
            <v>Panalpina</v>
          </cell>
          <cell r="E753" t="str">
            <v>TACT</v>
          </cell>
          <cell r="F753">
            <v>44057</v>
          </cell>
          <cell r="G753">
            <v>44065</v>
          </cell>
          <cell r="H753">
            <v>44067</v>
          </cell>
          <cell r="I753" t="str">
            <v>19.08.2020</v>
          </cell>
          <cell r="J753" t="str">
            <v>17.08.2020</v>
          </cell>
          <cell r="K753" t="str">
            <v>-</v>
          </cell>
          <cell r="L753" t="str">
            <v>OK</v>
          </cell>
        </row>
        <row r="754">
          <cell r="A754" t="str">
            <v>SHW-42880I20</v>
          </cell>
          <cell r="B754">
            <v>607144171</v>
          </cell>
          <cell r="C754" t="str">
            <v>Original</v>
          </cell>
          <cell r="D754" t="str">
            <v>Panalpina</v>
          </cell>
          <cell r="E754" t="str">
            <v>TACT</v>
          </cell>
          <cell r="F754">
            <v>44057</v>
          </cell>
          <cell r="G754">
            <v>44065</v>
          </cell>
          <cell r="H754">
            <v>44067</v>
          </cell>
          <cell r="I754" t="str">
            <v>19.08.2020</v>
          </cell>
          <cell r="J754" t="str">
            <v>17.08.2020</v>
          </cell>
          <cell r="K754" t="str">
            <v>-</v>
          </cell>
          <cell r="L754" t="str">
            <v>OK</v>
          </cell>
        </row>
        <row r="755">
          <cell r="A755" t="str">
            <v>AHW-43430I20</v>
          </cell>
          <cell r="B755">
            <v>127999</v>
          </cell>
          <cell r="C755" t="str">
            <v>Original</v>
          </cell>
          <cell r="D755" t="str">
            <v>CTS</v>
          </cell>
          <cell r="E755" t="str">
            <v>TSA</v>
          </cell>
          <cell r="F755">
            <v>44064</v>
          </cell>
          <cell r="G755">
            <v>44072</v>
          </cell>
          <cell r="H755">
            <v>44074</v>
          </cell>
          <cell r="I755" t="str">
            <v>08.09.2020</v>
          </cell>
          <cell r="J755" t="str">
            <v>01.09.2020</v>
          </cell>
          <cell r="K755" t="str">
            <v>-</v>
          </cell>
          <cell r="L755" t="str">
            <v>OK</v>
          </cell>
        </row>
        <row r="756">
          <cell r="A756" t="str">
            <v>AHW-43472I20</v>
          </cell>
          <cell r="B756">
            <v>128011</v>
          </cell>
          <cell r="C756" t="str">
            <v>Original</v>
          </cell>
          <cell r="D756" t="str">
            <v>CTS</v>
          </cell>
          <cell r="E756" t="str">
            <v>TSA</v>
          </cell>
          <cell r="F756">
            <v>44067</v>
          </cell>
          <cell r="G756">
            <v>44075</v>
          </cell>
          <cell r="H756">
            <v>44077</v>
          </cell>
          <cell r="I756" t="str">
            <v>08.09.2020</v>
          </cell>
          <cell r="J756" t="str">
            <v>01.09.2020</v>
          </cell>
          <cell r="K756" t="str">
            <v>-</v>
          </cell>
          <cell r="L756" t="str">
            <v>OK</v>
          </cell>
        </row>
        <row r="757">
          <cell r="A757" t="str">
            <v>AHW-43497I20</v>
          </cell>
          <cell r="B757">
            <v>128017</v>
          </cell>
          <cell r="C757" t="str">
            <v>Original</v>
          </cell>
          <cell r="D757" t="str">
            <v>CTS</v>
          </cell>
          <cell r="E757" t="str">
            <v>TSA</v>
          </cell>
          <cell r="F757">
            <v>44067</v>
          </cell>
          <cell r="G757">
            <v>44075</v>
          </cell>
          <cell r="H757">
            <v>44077</v>
          </cell>
          <cell r="I757" t="str">
            <v>08.09.2020</v>
          </cell>
          <cell r="J757" t="str">
            <v>01.09.2020</v>
          </cell>
          <cell r="K757" t="str">
            <v>-</v>
          </cell>
          <cell r="L757" t="str">
            <v>OK</v>
          </cell>
        </row>
        <row r="758">
          <cell r="A758" t="str">
            <v>SHW-43066I20</v>
          </cell>
          <cell r="B758" t="str">
            <v>EGLV149003319953</v>
          </cell>
          <cell r="C758" t="str">
            <v>Original</v>
          </cell>
          <cell r="D758" t="str">
            <v>Panalpina</v>
          </cell>
          <cell r="E758" t="str">
            <v>TACT</v>
          </cell>
          <cell r="F758">
            <v>44067</v>
          </cell>
          <cell r="G758">
            <v>44075</v>
          </cell>
          <cell r="H758">
            <v>44077</v>
          </cell>
          <cell r="I758" t="str">
            <v>08.09.2020</v>
          </cell>
          <cell r="J758" t="str">
            <v>27.08.2020</v>
          </cell>
          <cell r="K758" t="str">
            <v>-</v>
          </cell>
          <cell r="L758" t="str">
            <v>OK</v>
          </cell>
        </row>
        <row r="759">
          <cell r="A759" t="str">
            <v>SHW-43123I20</v>
          </cell>
          <cell r="B759" t="str">
            <v>EGLV149003473111</v>
          </cell>
          <cell r="C759" t="str">
            <v>Original</v>
          </cell>
          <cell r="D759" t="str">
            <v>Panalpina</v>
          </cell>
          <cell r="E759" t="str">
            <v>TACT</v>
          </cell>
          <cell r="F759">
            <v>44070</v>
          </cell>
          <cell r="G759">
            <v>44078</v>
          </cell>
          <cell r="H759">
            <v>44080</v>
          </cell>
          <cell r="I759" t="str">
            <v>08.09.2020</v>
          </cell>
          <cell r="J759" t="str">
            <v>02.09.2020</v>
          </cell>
          <cell r="K759" t="str">
            <v>-</v>
          </cell>
          <cell r="L759" t="str">
            <v>OK</v>
          </cell>
        </row>
        <row r="760">
          <cell r="A760" t="str">
            <v>AHW-43561I20</v>
          </cell>
          <cell r="B760">
            <v>127298</v>
          </cell>
          <cell r="C760" t="str">
            <v>Original</v>
          </cell>
          <cell r="D760" t="str">
            <v>CTS</v>
          </cell>
          <cell r="E760" t="str">
            <v>TSA</v>
          </cell>
          <cell r="F760">
            <v>44074</v>
          </cell>
          <cell r="G760">
            <v>44082</v>
          </cell>
          <cell r="H760">
            <v>44084</v>
          </cell>
          <cell r="I760" t="str">
            <v>08.09.2020</v>
          </cell>
          <cell r="J760" t="str">
            <v>16.09.2020</v>
          </cell>
          <cell r="K760" t="str">
            <v>-</v>
          </cell>
          <cell r="L760" t="str">
            <v>OK</v>
          </cell>
        </row>
        <row r="761">
          <cell r="A761" t="str">
            <v>AHW-43513I20</v>
          </cell>
          <cell r="B761">
            <v>128023</v>
          </cell>
          <cell r="C761" t="str">
            <v>Original</v>
          </cell>
          <cell r="D761" t="str">
            <v>CTS</v>
          </cell>
          <cell r="E761" t="str">
            <v>TSA</v>
          </cell>
          <cell r="F761">
            <v>44074</v>
          </cell>
          <cell r="G761">
            <v>44082</v>
          </cell>
          <cell r="H761">
            <v>44084</v>
          </cell>
          <cell r="I761" t="str">
            <v>08.09.2020</v>
          </cell>
          <cell r="J761" t="str">
            <v>16.09.2020</v>
          </cell>
          <cell r="K761" t="str">
            <v>-</v>
          </cell>
          <cell r="L761" t="str">
            <v>OK</v>
          </cell>
        </row>
        <row r="762">
          <cell r="A762" t="str">
            <v>AHW-43533I20</v>
          </cell>
          <cell r="B762">
            <v>4000002</v>
          </cell>
          <cell r="C762" t="str">
            <v>Original</v>
          </cell>
          <cell r="D762" t="str">
            <v>CTS</v>
          </cell>
          <cell r="E762" t="str">
            <v>TSA</v>
          </cell>
          <cell r="F762">
            <v>44074</v>
          </cell>
          <cell r="G762">
            <v>44082</v>
          </cell>
          <cell r="H762">
            <v>44084</v>
          </cell>
          <cell r="I762" t="str">
            <v>08.09.2020</v>
          </cell>
          <cell r="J762" t="str">
            <v>16.09.2020</v>
          </cell>
          <cell r="K762" t="str">
            <v>-</v>
          </cell>
          <cell r="L762" t="str">
            <v>OK</v>
          </cell>
        </row>
        <row r="763">
          <cell r="A763" t="str">
            <v>AHW-43562I20</v>
          </cell>
          <cell r="B763">
            <v>4000004</v>
          </cell>
          <cell r="C763" t="str">
            <v>Original</v>
          </cell>
          <cell r="D763" t="str">
            <v>CTS</v>
          </cell>
          <cell r="E763" t="str">
            <v>TSA</v>
          </cell>
          <cell r="F763">
            <v>44074</v>
          </cell>
          <cell r="G763">
            <v>44082</v>
          </cell>
          <cell r="H763">
            <v>44084</v>
          </cell>
          <cell r="I763" t="str">
            <v>08.09.2020</v>
          </cell>
          <cell r="J763" t="str">
            <v>16.09.2020</v>
          </cell>
          <cell r="K763" t="str">
            <v>-</v>
          </cell>
          <cell r="L763" t="str">
            <v>OK</v>
          </cell>
        </row>
        <row r="764">
          <cell r="A764" t="str">
            <v>AHW-43563I20</v>
          </cell>
          <cell r="B764">
            <v>127299</v>
          </cell>
          <cell r="C764" t="str">
            <v>Original</v>
          </cell>
          <cell r="D764" t="str">
            <v>CTS</v>
          </cell>
          <cell r="E764" t="str">
            <v>TSA</v>
          </cell>
          <cell r="F764">
            <v>44074</v>
          </cell>
          <cell r="G764">
            <v>44082</v>
          </cell>
          <cell r="H764">
            <v>44084</v>
          </cell>
          <cell r="I764" t="str">
            <v>08.09.2020</v>
          </cell>
          <cell r="J764" t="str">
            <v>16.09.2020</v>
          </cell>
          <cell r="K764" t="str">
            <v>-</v>
          </cell>
          <cell r="L764" t="str">
            <v>OK</v>
          </cell>
        </row>
        <row r="765">
          <cell r="A765" t="str">
            <v>AHW-43564I20</v>
          </cell>
          <cell r="B765">
            <v>4000003</v>
          </cell>
          <cell r="C765" t="str">
            <v>Original</v>
          </cell>
          <cell r="D765" t="str">
            <v>CTS</v>
          </cell>
          <cell r="E765" t="str">
            <v>TSA</v>
          </cell>
          <cell r="F765">
            <v>44074</v>
          </cell>
          <cell r="G765">
            <v>44082</v>
          </cell>
          <cell r="H765">
            <v>44084</v>
          </cell>
          <cell r="I765" t="str">
            <v>08.09.2020</v>
          </cell>
          <cell r="J765" t="str">
            <v>16.09.2020</v>
          </cell>
          <cell r="K765" t="str">
            <v>-</v>
          </cell>
          <cell r="L765" t="str">
            <v>OK</v>
          </cell>
        </row>
        <row r="766">
          <cell r="A766" t="str">
            <v>AHW-43565I20</v>
          </cell>
          <cell r="B766">
            <v>127300</v>
          </cell>
          <cell r="C766" t="str">
            <v>Original</v>
          </cell>
          <cell r="D766" t="str">
            <v>CTS</v>
          </cell>
          <cell r="E766" t="str">
            <v>TSA</v>
          </cell>
          <cell r="F766">
            <v>44074</v>
          </cell>
          <cell r="G766">
            <v>44082</v>
          </cell>
          <cell r="H766">
            <v>44084</v>
          </cell>
          <cell r="I766" t="str">
            <v>08.09.2020</v>
          </cell>
          <cell r="J766" t="str">
            <v>16.09.2020</v>
          </cell>
          <cell r="K766" t="str">
            <v>-</v>
          </cell>
          <cell r="L766" t="str">
            <v>OK</v>
          </cell>
        </row>
        <row r="767">
          <cell r="A767" t="str">
            <v>AHW-43593I20</v>
          </cell>
          <cell r="B767">
            <v>4000006</v>
          </cell>
          <cell r="C767" t="str">
            <v>Original</v>
          </cell>
          <cell r="D767" t="str">
            <v>CTS</v>
          </cell>
          <cell r="E767" t="str">
            <v>TSA</v>
          </cell>
          <cell r="F767">
            <v>44074</v>
          </cell>
          <cell r="G767">
            <v>44082</v>
          </cell>
          <cell r="H767">
            <v>44084</v>
          </cell>
          <cell r="I767" t="str">
            <v>08.09.2020</v>
          </cell>
          <cell r="J767" t="str">
            <v>16.09.2020</v>
          </cell>
          <cell r="K767" t="str">
            <v>-</v>
          </cell>
          <cell r="L767" t="str">
            <v>OK</v>
          </cell>
        </row>
        <row r="768">
          <cell r="A768" t="str">
            <v>AHW-43594I20</v>
          </cell>
          <cell r="B768">
            <v>4000009</v>
          </cell>
          <cell r="C768" t="str">
            <v>Original</v>
          </cell>
          <cell r="D768" t="str">
            <v>CTS</v>
          </cell>
          <cell r="E768" t="str">
            <v>TSA</v>
          </cell>
          <cell r="F768">
            <v>44074</v>
          </cell>
          <cell r="G768">
            <v>44082</v>
          </cell>
          <cell r="H768">
            <v>44084</v>
          </cell>
          <cell r="I768" t="str">
            <v>08.09.2020</v>
          </cell>
          <cell r="J768" t="str">
            <v>16.09.2020</v>
          </cell>
          <cell r="K768" t="str">
            <v>-</v>
          </cell>
          <cell r="L768" t="str">
            <v>OK</v>
          </cell>
        </row>
        <row r="769">
          <cell r="A769" t="str">
            <v>AHW-43595I20</v>
          </cell>
          <cell r="B769">
            <v>4000010</v>
          </cell>
          <cell r="C769" t="str">
            <v>Original</v>
          </cell>
          <cell r="D769" t="str">
            <v>CTS</v>
          </cell>
          <cell r="E769" t="str">
            <v>TSA</v>
          </cell>
          <cell r="F769">
            <v>44074</v>
          </cell>
          <cell r="G769">
            <v>44082</v>
          </cell>
          <cell r="H769">
            <v>44084</v>
          </cell>
          <cell r="I769" t="str">
            <v>08.09.2020</v>
          </cell>
          <cell r="J769" t="str">
            <v>16.09.2020</v>
          </cell>
          <cell r="K769" t="str">
            <v>-</v>
          </cell>
          <cell r="L769" t="str">
            <v>OK</v>
          </cell>
        </row>
        <row r="770">
          <cell r="A770" t="str">
            <v>AHW-43634I20</v>
          </cell>
          <cell r="B770">
            <v>4000014</v>
          </cell>
          <cell r="C770" t="str">
            <v>Original</v>
          </cell>
          <cell r="D770" t="str">
            <v>CTS</v>
          </cell>
          <cell r="E770" t="str">
            <v>TSA</v>
          </cell>
          <cell r="F770">
            <v>44078</v>
          </cell>
          <cell r="G770">
            <v>44086</v>
          </cell>
          <cell r="H770">
            <v>44088</v>
          </cell>
          <cell r="I770" t="str">
            <v>14.09.2020</v>
          </cell>
          <cell r="J770" t="str">
            <v>16.09.2020</v>
          </cell>
          <cell r="K770" t="str">
            <v>-</v>
          </cell>
          <cell r="L770" t="str">
            <v>OK</v>
          </cell>
        </row>
        <row r="771">
          <cell r="A771" t="str">
            <v>AHW-43635I20</v>
          </cell>
          <cell r="B771">
            <v>4000015</v>
          </cell>
          <cell r="C771" t="str">
            <v>Original</v>
          </cell>
          <cell r="D771" t="str">
            <v>CTS</v>
          </cell>
          <cell r="E771" t="str">
            <v>TSA</v>
          </cell>
          <cell r="F771">
            <v>44078</v>
          </cell>
          <cell r="G771">
            <v>44086</v>
          </cell>
          <cell r="H771">
            <v>44088</v>
          </cell>
          <cell r="I771" t="str">
            <v>14.09.2020</v>
          </cell>
          <cell r="J771" t="str">
            <v>16.09.2020</v>
          </cell>
          <cell r="K771" t="str">
            <v>-</v>
          </cell>
          <cell r="L771" t="str">
            <v>OK</v>
          </cell>
        </row>
        <row r="772">
          <cell r="A772" t="str">
            <v>AHW-43747I20</v>
          </cell>
          <cell r="B772">
            <v>4000035</v>
          </cell>
          <cell r="C772" t="str">
            <v>Original</v>
          </cell>
          <cell r="D772" t="str">
            <v>CTS</v>
          </cell>
          <cell r="E772" t="str">
            <v>TSA</v>
          </cell>
          <cell r="F772">
            <v>44082</v>
          </cell>
          <cell r="G772">
            <v>44090</v>
          </cell>
          <cell r="H772">
            <v>44092</v>
          </cell>
          <cell r="I772" t="str">
            <v>18.09.2020</v>
          </cell>
          <cell r="J772" t="str">
            <v>16.09.2020</v>
          </cell>
          <cell r="K772" t="str">
            <v>-</v>
          </cell>
          <cell r="L772" t="str">
            <v>OK</v>
          </cell>
        </row>
        <row r="773">
          <cell r="A773" t="str">
            <v>AHW-43815I20</v>
          </cell>
          <cell r="B773">
            <v>4000063</v>
          </cell>
          <cell r="C773" t="str">
            <v>Original</v>
          </cell>
          <cell r="D773" t="str">
            <v>CTS</v>
          </cell>
          <cell r="E773" t="str">
            <v>TSA</v>
          </cell>
          <cell r="F773">
            <v>44085</v>
          </cell>
          <cell r="G773">
            <v>44093</v>
          </cell>
          <cell r="H773">
            <v>44095</v>
          </cell>
          <cell r="I773" t="str">
            <v>22.09.2020</v>
          </cell>
          <cell r="J773" t="str">
            <v>16.09.2020</v>
          </cell>
          <cell r="K773" t="str">
            <v>-</v>
          </cell>
          <cell r="L773" t="str">
            <v>OK</v>
          </cell>
        </row>
        <row r="774">
          <cell r="A774" t="str">
            <v>AHW-43814I20</v>
          </cell>
          <cell r="B774">
            <v>4000068</v>
          </cell>
          <cell r="C774" t="str">
            <v>Original</v>
          </cell>
          <cell r="D774" t="str">
            <v>CTS</v>
          </cell>
          <cell r="E774" t="str">
            <v>TSA</v>
          </cell>
          <cell r="F774">
            <v>44092</v>
          </cell>
          <cell r="G774">
            <v>44100</v>
          </cell>
          <cell r="H774">
            <v>44102</v>
          </cell>
          <cell r="I774" t="str">
            <v>08.10.2020</v>
          </cell>
          <cell r="J774" t="str">
            <v>01.10.2020</v>
          </cell>
          <cell r="K774" t="str">
            <v>-</v>
          </cell>
          <cell r="L774" t="str">
            <v>OK</v>
          </cell>
        </row>
        <row r="775">
          <cell r="A775" t="str">
            <v>AHW-43816I20</v>
          </cell>
          <cell r="B775">
            <v>4000082</v>
          </cell>
          <cell r="C775" t="str">
            <v>Original</v>
          </cell>
          <cell r="D775" t="str">
            <v>CTS</v>
          </cell>
          <cell r="E775" t="str">
            <v>TSA</v>
          </cell>
          <cell r="F775">
            <v>44095</v>
          </cell>
          <cell r="G775">
            <v>44103</v>
          </cell>
          <cell r="H775">
            <v>44105</v>
          </cell>
          <cell r="I775" t="str">
            <v>08.10.2020</v>
          </cell>
          <cell r="J775" t="str">
            <v>01.10.2020</v>
          </cell>
          <cell r="K775" t="str">
            <v>-</v>
          </cell>
          <cell r="L775" t="str">
            <v>OK</v>
          </cell>
        </row>
        <row r="776">
          <cell r="A776" t="str">
            <v>AHW-43869I20</v>
          </cell>
          <cell r="B776">
            <v>4000055</v>
          </cell>
          <cell r="C776" t="str">
            <v>Original</v>
          </cell>
          <cell r="D776" t="str">
            <v>CTS</v>
          </cell>
          <cell r="E776" t="str">
            <v>TSA</v>
          </cell>
          <cell r="F776">
            <v>44095</v>
          </cell>
          <cell r="G776">
            <v>44103</v>
          </cell>
          <cell r="H776">
            <v>44105</v>
          </cell>
          <cell r="I776" t="str">
            <v>08.10.2020</v>
          </cell>
          <cell r="J776" t="str">
            <v>01.10.2020</v>
          </cell>
          <cell r="K776" t="str">
            <v>-</v>
          </cell>
          <cell r="L776" t="str">
            <v>OK</v>
          </cell>
        </row>
        <row r="777">
          <cell r="A777" t="str">
            <v>AHW-43870I20</v>
          </cell>
          <cell r="B777">
            <v>4000081</v>
          </cell>
          <cell r="C777" t="str">
            <v>Original</v>
          </cell>
          <cell r="D777" t="str">
            <v>CTS</v>
          </cell>
          <cell r="E777" t="str">
            <v>TSA</v>
          </cell>
          <cell r="F777">
            <v>44095</v>
          </cell>
          <cell r="G777">
            <v>44103</v>
          </cell>
          <cell r="H777">
            <v>44105</v>
          </cell>
          <cell r="I777" t="str">
            <v>08.10.2020</v>
          </cell>
          <cell r="J777" t="str">
            <v>01.10.2020</v>
          </cell>
          <cell r="K777" t="str">
            <v>-</v>
          </cell>
          <cell r="L777" t="str">
            <v>OK</v>
          </cell>
        </row>
        <row r="778">
          <cell r="A778" t="str">
            <v>SHW-43355I20</v>
          </cell>
          <cell r="B778" t="str">
            <v>EGVL149003494895</v>
          </cell>
          <cell r="C778" t="str">
            <v>Original</v>
          </cell>
          <cell r="D778" t="str">
            <v>Panalpina</v>
          </cell>
          <cell r="E778" t="str">
            <v>TACT</v>
          </cell>
          <cell r="F778">
            <v>44095</v>
          </cell>
          <cell r="G778">
            <v>44103</v>
          </cell>
          <cell r="H778">
            <v>44105</v>
          </cell>
          <cell r="I778" t="str">
            <v>08.10.2020</v>
          </cell>
          <cell r="J778" t="str">
            <v>24.09.2020</v>
          </cell>
          <cell r="K778" t="str">
            <v>-</v>
          </cell>
          <cell r="L778" t="str">
            <v>OK</v>
          </cell>
        </row>
        <row r="779">
          <cell r="A779" t="str">
            <v>AHW-43817I20</v>
          </cell>
          <cell r="B779">
            <v>4000074</v>
          </cell>
          <cell r="C779" t="str">
            <v>Original</v>
          </cell>
          <cell r="D779" t="str">
            <v>CTS</v>
          </cell>
          <cell r="E779" t="str">
            <v>TSA</v>
          </cell>
          <cell r="F779">
            <v>44096</v>
          </cell>
          <cell r="G779">
            <v>44104</v>
          </cell>
          <cell r="H779">
            <v>44106</v>
          </cell>
          <cell r="I779" t="str">
            <v>08.10.2020</v>
          </cell>
          <cell r="J779" t="str">
            <v>01.10.2020</v>
          </cell>
          <cell r="K779" t="str">
            <v>-</v>
          </cell>
          <cell r="L779" t="str">
            <v>OK</v>
          </cell>
        </row>
        <row r="780">
          <cell r="A780" t="str">
            <v>AHW-43872I20</v>
          </cell>
          <cell r="B780">
            <v>4000092</v>
          </cell>
          <cell r="C780" t="str">
            <v>Original</v>
          </cell>
          <cell r="D780" t="str">
            <v>CTS</v>
          </cell>
          <cell r="E780" t="str">
            <v>TSA</v>
          </cell>
          <cell r="F780">
            <v>44096</v>
          </cell>
          <cell r="G780">
            <v>44104</v>
          </cell>
          <cell r="H780">
            <v>44106</v>
          </cell>
          <cell r="I780" t="str">
            <v>08.10.2020</v>
          </cell>
          <cell r="J780" t="str">
            <v>01.10.2020</v>
          </cell>
          <cell r="K780" t="str">
            <v>-</v>
          </cell>
          <cell r="L780" t="str">
            <v>OK</v>
          </cell>
        </row>
        <row r="781">
          <cell r="A781" t="str">
            <v>AHW-43873I20</v>
          </cell>
          <cell r="B781">
            <v>4000091</v>
          </cell>
          <cell r="C781" t="str">
            <v>Original</v>
          </cell>
          <cell r="D781" t="str">
            <v>CTS</v>
          </cell>
          <cell r="E781" t="str">
            <v>TSA</v>
          </cell>
          <cell r="F781">
            <v>44096</v>
          </cell>
          <cell r="G781">
            <v>44104</v>
          </cell>
          <cell r="H781">
            <v>44106</v>
          </cell>
          <cell r="I781" t="str">
            <v>08.10.2020</v>
          </cell>
          <cell r="J781" t="str">
            <v>01.10.2020</v>
          </cell>
          <cell r="K781" t="str">
            <v>-</v>
          </cell>
          <cell r="L781" t="str">
            <v>OK</v>
          </cell>
        </row>
        <row r="782">
          <cell r="A782" t="str">
            <v>SHW-43418I20</v>
          </cell>
          <cell r="B782">
            <v>608028949</v>
          </cell>
          <cell r="C782" t="str">
            <v>Original</v>
          </cell>
          <cell r="D782" t="str">
            <v>Panalpina</v>
          </cell>
          <cell r="E782" t="str">
            <v>TACT</v>
          </cell>
          <cell r="F782">
            <v>44096</v>
          </cell>
          <cell r="G782">
            <v>44104</v>
          </cell>
          <cell r="H782">
            <v>44106</v>
          </cell>
          <cell r="I782" t="str">
            <v>22.09.2020</v>
          </cell>
          <cell r="J782" t="str">
            <v>24.09.2020</v>
          </cell>
          <cell r="K782" t="str">
            <v>-</v>
          </cell>
          <cell r="L782" t="str">
            <v>OK</v>
          </cell>
        </row>
        <row r="783">
          <cell r="A783" t="str">
            <v>SHW-43391I20</v>
          </cell>
          <cell r="B783" t="str">
            <v>EGVL149004106546</v>
          </cell>
          <cell r="C783" t="str">
            <v>Original</v>
          </cell>
          <cell r="D783" t="str">
            <v>Panalpina</v>
          </cell>
          <cell r="E783" t="str">
            <v>TACT</v>
          </cell>
          <cell r="F783">
            <v>44098</v>
          </cell>
          <cell r="G783">
            <v>44106</v>
          </cell>
          <cell r="H783">
            <v>44108</v>
          </cell>
          <cell r="I783" t="str">
            <v>08.10.2020</v>
          </cell>
          <cell r="J783" t="str">
            <v>24.09.2020</v>
          </cell>
          <cell r="K783" t="str">
            <v>-</v>
          </cell>
          <cell r="L783" t="str">
            <v>OK</v>
          </cell>
        </row>
        <row r="784">
          <cell r="A784" t="str">
            <v>SHW-43468I20</v>
          </cell>
          <cell r="B784">
            <v>911113404</v>
          </cell>
          <cell r="C784" t="str">
            <v>Original</v>
          </cell>
          <cell r="D784" t="str">
            <v>Panalpina</v>
          </cell>
          <cell r="E784" t="str">
            <v>TACT</v>
          </cell>
          <cell r="F784">
            <v>44098</v>
          </cell>
          <cell r="G784">
            <v>44106</v>
          </cell>
          <cell r="H784">
            <v>44108</v>
          </cell>
          <cell r="I784" t="str">
            <v>08.10.2020</v>
          </cell>
          <cell r="J784" t="str">
            <v>08.10.2020</v>
          </cell>
          <cell r="K784" t="str">
            <v>-</v>
          </cell>
          <cell r="L784" t="str">
            <v>OK</v>
          </cell>
        </row>
        <row r="785">
          <cell r="A785" t="str">
            <v>SHW-43434I20</v>
          </cell>
          <cell r="B785">
            <v>608043806</v>
          </cell>
          <cell r="C785" t="str">
            <v>Original</v>
          </cell>
          <cell r="D785" t="str">
            <v>Panalpina</v>
          </cell>
          <cell r="E785" t="str">
            <v>Coopercarga</v>
          </cell>
          <cell r="F785">
            <v>44099</v>
          </cell>
          <cell r="G785">
            <v>44107</v>
          </cell>
          <cell r="H785">
            <v>44109</v>
          </cell>
          <cell r="I785" t="str">
            <v>08.10.2020</v>
          </cell>
          <cell r="J785" t="str">
            <v>08.10.2020</v>
          </cell>
          <cell r="K785" t="str">
            <v>-</v>
          </cell>
          <cell r="L785" t="str">
            <v>OK</v>
          </cell>
        </row>
        <row r="786">
          <cell r="A786" t="str">
            <v>AHW-44027I20</v>
          </cell>
          <cell r="B786">
            <v>4000115</v>
          </cell>
          <cell r="C786" t="str">
            <v>Original</v>
          </cell>
          <cell r="D786" t="str">
            <v>CTS</v>
          </cell>
          <cell r="E786" t="str">
            <v>TSA</v>
          </cell>
          <cell r="F786">
            <v>44102</v>
          </cell>
          <cell r="G786">
            <v>44110</v>
          </cell>
          <cell r="H786">
            <v>44112</v>
          </cell>
          <cell r="I786" t="str">
            <v>08.10.2020</v>
          </cell>
          <cell r="J786" t="str">
            <v>01.10.2020</v>
          </cell>
          <cell r="K786" t="str">
            <v>-</v>
          </cell>
          <cell r="L786" t="str">
            <v>OK</v>
          </cell>
        </row>
        <row r="787">
          <cell r="A787" t="str">
            <v>AHW-44039I20</v>
          </cell>
          <cell r="B787">
            <v>40001225</v>
          </cell>
          <cell r="C787" t="str">
            <v>Original</v>
          </cell>
          <cell r="D787" t="str">
            <v>CTS</v>
          </cell>
          <cell r="E787" t="str">
            <v>TSA</v>
          </cell>
          <cell r="F787">
            <v>44102</v>
          </cell>
          <cell r="G787">
            <v>44110</v>
          </cell>
          <cell r="H787">
            <v>44112</v>
          </cell>
          <cell r="I787" t="str">
            <v>08.10.2020</v>
          </cell>
          <cell r="J787" t="str">
            <v>01.10.2020</v>
          </cell>
          <cell r="K787" t="str">
            <v>-</v>
          </cell>
          <cell r="L787" t="str">
            <v>OK</v>
          </cell>
        </row>
        <row r="788">
          <cell r="A788" t="str">
            <v>AHW-43970I20</v>
          </cell>
          <cell r="B788">
            <v>4000107</v>
          </cell>
          <cell r="C788" t="str">
            <v>Original</v>
          </cell>
          <cell r="D788" t="str">
            <v>CTS</v>
          </cell>
          <cell r="E788" t="str">
            <v>TSA</v>
          </cell>
          <cell r="F788">
            <v>44103</v>
          </cell>
          <cell r="G788">
            <v>44111</v>
          </cell>
          <cell r="H788">
            <v>44113</v>
          </cell>
          <cell r="I788" t="str">
            <v>08.10.2020</v>
          </cell>
          <cell r="J788" t="str">
            <v>21.10.2020</v>
          </cell>
          <cell r="K788" t="str">
            <v>-</v>
          </cell>
          <cell r="L788" t="str">
            <v>OK</v>
          </cell>
        </row>
        <row r="789">
          <cell r="A789" t="str">
            <v>AHW-44037I20</v>
          </cell>
          <cell r="B789">
            <v>4000118</v>
          </cell>
          <cell r="C789" t="str">
            <v>Original</v>
          </cell>
          <cell r="D789" t="str">
            <v>CTS</v>
          </cell>
          <cell r="E789" t="str">
            <v>TSA</v>
          </cell>
          <cell r="F789">
            <v>44103</v>
          </cell>
          <cell r="G789">
            <v>44111</v>
          </cell>
          <cell r="H789">
            <v>44113</v>
          </cell>
          <cell r="I789" t="str">
            <v>08.10.2020</v>
          </cell>
          <cell r="J789" t="str">
            <v>21.10.2020</v>
          </cell>
          <cell r="K789" t="str">
            <v>-</v>
          </cell>
          <cell r="L789" t="str">
            <v>OK</v>
          </cell>
        </row>
        <row r="790">
          <cell r="A790" t="str">
            <v>AHW-44038I20</v>
          </cell>
          <cell r="B790">
            <v>4000122</v>
          </cell>
          <cell r="C790" t="str">
            <v>Original</v>
          </cell>
          <cell r="D790" t="str">
            <v>CTS</v>
          </cell>
          <cell r="E790" t="str">
            <v>TSA</v>
          </cell>
          <cell r="F790">
            <v>44103</v>
          </cell>
          <cell r="G790">
            <v>44111</v>
          </cell>
          <cell r="H790">
            <v>44113</v>
          </cell>
          <cell r="I790" t="str">
            <v>08.10.2020</v>
          </cell>
          <cell r="J790" t="str">
            <v>21.10.2020</v>
          </cell>
          <cell r="K790" t="str">
            <v>-</v>
          </cell>
          <cell r="L790" t="str">
            <v>OK</v>
          </cell>
        </row>
        <row r="791">
          <cell r="A791" t="str">
            <v>SHW-43596I20</v>
          </cell>
          <cell r="B791" t="str">
            <v>EGVL149004550144</v>
          </cell>
          <cell r="C791" t="str">
            <v>Original</v>
          </cell>
          <cell r="D791" t="str">
            <v>DSV</v>
          </cell>
          <cell r="E791" t="str">
            <v>TACT</v>
          </cell>
          <cell r="F791">
            <v>44106</v>
          </cell>
          <cell r="G791">
            <v>44114</v>
          </cell>
          <cell r="H791">
            <v>44116</v>
          </cell>
          <cell r="I791" t="str">
            <v>09.10.2020</v>
          </cell>
          <cell r="J791" t="str">
            <v>08.10.2020</v>
          </cell>
          <cell r="K791" t="str">
            <v>-</v>
          </cell>
          <cell r="L791" t="str">
            <v>OK</v>
          </cell>
        </row>
        <row r="792">
          <cell r="A792" t="str">
            <v>AHW-44070I20</v>
          </cell>
          <cell r="B792">
            <v>4000147</v>
          </cell>
          <cell r="C792" t="str">
            <v>Original</v>
          </cell>
          <cell r="D792" t="str">
            <v>CTS</v>
          </cell>
          <cell r="E792" t="str">
            <v>TSA</v>
          </cell>
          <cell r="F792">
            <v>44110</v>
          </cell>
          <cell r="G792">
            <v>44118</v>
          </cell>
          <cell r="H792">
            <v>44120</v>
          </cell>
          <cell r="I792" t="str">
            <v>16.10.2020</v>
          </cell>
          <cell r="J792" t="str">
            <v>21.10.2020</v>
          </cell>
          <cell r="K792" t="str">
            <v>-</v>
          </cell>
          <cell r="L792" t="str">
            <v>OK</v>
          </cell>
        </row>
        <row r="793">
          <cell r="A793" t="str">
            <v>SHW-43658I20</v>
          </cell>
          <cell r="B793" t="str">
            <v>EGVL149004733273</v>
          </cell>
          <cell r="C793" t="str">
            <v>Original</v>
          </cell>
          <cell r="D793" t="str">
            <v>Panalpina</v>
          </cell>
          <cell r="E793" t="str">
            <v>TACT</v>
          </cell>
          <cell r="F793">
            <v>44112</v>
          </cell>
          <cell r="G793">
            <v>44120</v>
          </cell>
          <cell r="H793">
            <v>44122</v>
          </cell>
          <cell r="I793" t="str">
            <v>16.10.2020</v>
          </cell>
          <cell r="J793" t="str">
            <v>09.10.2020</v>
          </cell>
          <cell r="K793" t="str">
            <v>-</v>
          </cell>
          <cell r="L793" t="str">
            <v>OK</v>
          </cell>
        </row>
        <row r="794">
          <cell r="A794" t="str">
            <v>SHW-43659I20</v>
          </cell>
          <cell r="B794">
            <v>608045375</v>
          </cell>
          <cell r="C794" t="str">
            <v>Original</v>
          </cell>
          <cell r="D794" t="str">
            <v>Panalpina</v>
          </cell>
          <cell r="E794" t="str">
            <v>TACT</v>
          </cell>
          <cell r="F794">
            <v>44112</v>
          </cell>
          <cell r="G794">
            <v>44120</v>
          </cell>
          <cell r="H794">
            <v>44122</v>
          </cell>
          <cell r="I794" t="str">
            <v>16.10.2020</v>
          </cell>
          <cell r="J794" t="str">
            <v>15.10.2020</v>
          </cell>
          <cell r="K794" t="str">
            <v>-</v>
          </cell>
          <cell r="L794" t="str">
            <v>OK</v>
          </cell>
        </row>
        <row r="795">
          <cell r="A795" t="str">
            <v>SHW-43498I20</v>
          </cell>
          <cell r="B795">
            <v>608049018</v>
          </cell>
          <cell r="C795" t="str">
            <v>Original</v>
          </cell>
          <cell r="D795" t="str">
            <v>Panalpina</v>
          </cell>
          <cell r="E795" t="str">
            <v>Coopercarga</v>
          </cell>
          <cell r="F795">
            <v>44113</v>
          </cell>
          <cell r="G795">
            <v>44121</v>
          </cell>
          <cell r="H795">
            <v>44123</v>
          </cell>
          <cell r="I795" t="str">
            <v>16.10.2020</v>
          </cell>
          <cell r="J795" t="str">
            <v>15.10.2020</v>
          </cell>
          <cell r="K795" t="str">
            <v>-</v>
          </cell>
          <cell r="L795" t="str">
            <v>OK</v>
          </cell>
        </row>
        <row r="796">
          <cell r="A796" t="str">
            <v>AHW-44141I20</v>
          </cell>
          <cell r="B796">
            <v>4000187</v>
          </cell>
          <cell r="C796" t="str">
            <v>Original</v>
          </cell>
          <cell r="D796" t="str">
            <v>CTS</v>
          </cell>
          <cell r="E796" t="str">
            <v>TSA</v>
          </cell>
          <cell r="F796">
            <v>44117</v>
          </cell>
          <cell r="G796">
            <v>44125</v>
          </cell>
          <cell r="H796">
            <v>44127</v>
          </cell>
          <cell r="I796" t="str">
            <v>20.10.2020</v>
          </cell>
          <cell r="J796" t="str">
            <v>21.10.2020</v>
          </cell>
          <cell r="K796" t="str">
            <v>-</v>
          </cell>
          <cell r="L796" t="str">
            <v>OK</v>
          </cell>
        </row>
        <row r="797">
          <cell r="A797" t="str">
            <v>AHW-44142I20</v>
          </cell>
          <cell r="B797">
            <v>4000215</v>
          </cell>
          <cell r="C797" t="str">
            <v>Original</v>
          </cell>
          <cell r="D797" t="str">
            <v>CTS</v>
          </cell>
          <cell r="E797" t="str">
            <v>TSA</v>
          </cell>
          <cell r="F797">
            <v>44117</v>
          </cell>
          <cell r="G797">
            <v>44125</v>
          </cell>
          <cell r="H797">
            <v>44127</v>
          </cell>
          <cell r="I797" t="str">
            <v>20.10.2020</v>
          </cell>
          <cell r="J797" t="str">
            <v>21.10.2020</v>
          </cell>
          <cell r="K797" t="str">
            <v>-</v>
          </cell>
          <cell r="L797" t="str">
            <v>OK</v>
          </cell>
        </row>
        <row r="798">
          <cell r="A798" t="str">
            <v>AHW-44143I20</v>
          </cell>
          <cell r="B798">
            <v>4000179</v>
          </cell>
          <cell r="C798" t="str">
            <v>Original</v>
          </cell>
          <cell r="D798" t="str">
            <v>CTS</v>
          </cell>
          <cell r="E798" t="str">
            <v>TSA</v>
          </cell>
          <cell r="F798">
            <v>44117</v>
          </cell>
          <cell r="G798">
            <v>44125</v>
          </cell>
          <cell r="H798">
            <v>44127</v>
          </cell>
          <cell r="I798" t="str">
            <v>20.10.2020</v>
          </cell>
          <cell r="J798" t="str">
            <v>21.10.2020</v>
          </cell>
          <cell r="K798" t="str">
            <v>-</v>
          </cell>
          <cell r="L798" t="str">
            <v>OK</v>
          </cell>
        </row>
        <row r="799">
          <cell r="A799" t="str">
            <v>AHW-44207I20</v>
          </cell>
          <cell r="B799">
            <v>4000190</v>
          </cell>
          <cell r="C799" t="str">
            <v>Original</v>
          </cell>
          <cell r="D799" t="str">
            <v>CTS</v>
          </cell>
          <cell r="E799" t="str">
            <v>TSA</v>
          </cell>
          <cell r="F799">
            <v>44117</v>
          </cell>
          <cell r="G799">
            <v>44125</v>
          </cell>
          <cell r="H799">
            <v>44127</v>
          </cell>
          <cell r="I799" t="str">
            <v>20.10.2020</v>
          </cell>
          <cell r="J799" t="str">
            <v>21.10.2020</v>
          </cell>
          <cell r="K799" t="str">
            <v>-</v>
          </cell>
          <cell r="L799" t="str">
            <v>OK</v>
          </cell>
        </row>
        <row r="800">
          <cell r="A800" t="str">
            <v>AHW-44208I20</v>
          </cell>
          <cell r="B800">
            <v>4000198</v>
          </cell>
          <cell r="C800" t="str">
            <v>Original</v>
          </cell>
          <cell r="D800" t="str">
            <v>CTS</v>
          </cell>
          <cell r="E800" t="str">
            <v>TSA</v>
          </cell>
          <cell r="F800">
            <v>44117</v>
          </cell>
          <cell r="G800">
            <v>44125</v>
          </cell>
          <cell r="H800">
            <v>44127</v>
          </cell>
          <cell r="I800" t="str">
            <v>20.10.2020</v>
          </cell>
          <cell r="J800" t="str">
            <v>21.10.2020</v>
          </cell>
          <cell r="K800" t="str">
            <v>-</v>
          </cell>
          <cell r="L800" t="str">
            <v>OK</v>
          </cell>
        </row>
        <row r="801">
          <cell r="A801" t="str">
            <v>SHW-43660I20</v>
          </cell>
          <cell r="B801">
            <v>911094653</v>
          </cell>
          <cell r="C801" t="str">
            <v>Original</v>
          </cell>
          <cell r="D801" t="str">
            <v>Panalpina</v>
          </cell>
          <cell r="E801" t="str">
            <v>TACT</v>
          </cell>
          <cell r="F801">
            <v>44113</v>
          </cell>
          <cell r="G801">
            <v>44121</v>
          </cell>
          <cell r="H801">
            <v>44123</v>
          </cell>
          <cell r="I801" t="str">
            <v>16.10.2020</v>
          </cell>
          <cell r="J801" t="str">
            <v>15.10.2020</v>
          </cell>
          <cell r="K801" t="str">
            <v>-</v>
          </cell>
          <cell r="L801" t="str">
            <v>OK</v>
          </cell>
        </row>
        <row r="802">
          <cell r="A802" t="str">
            <v>AHW-44276I20</v>
          </cell>
          <cell r="B802">
            <v>4000236</v>
          </cell>
          <cell r="C802" t="str">
            <v>Original</v>
          </cell>
          <cell r="D802" t="str">
            <v>CTS</v>
          </cell>
          <cell r="E802" t="str">
            <v>TSA</v>
          </cell>
          <cell r="F802">
            <v>44120</v>
          </cell>
          <cell r="G802">
            <v>44128</v>
          </cell>
          <cell r="H802">
            <v>44130</v>
          </cell>
          <cell r="I802" t="str">
            <v>09.11.2020</v>
          </cell>
          <cell r="J802" t="str">
            <v>06.11.2020</v>
          </cell>
          <cell r="K802" t="str">
            <v>-</v>
          </cell>
          <cell r="L802" t="str">
            <v>OK</v>
          </cell>
        </row>
        <row r="803">
          <cell r="A803" t="str">
            <v>AHW-44316I20</v>
          </cell>
          <cell r="B803">
            <v>4000406</v>
          </cell>
          <cell r="C803" t="str">
            <v>Original</v>
          </cell>
          <cell r="D803" t="str">
            <v>CTS</v>
          </cell>
          <cell r="E803" t="str">
            <v>TSA</v>
          </cell>
          <cell r="F803">
            <v>44126</v>
          </cell>
          <cell r="G803">
            <v>44134</v>
          </cell>
          <cell r="H803">
            <v>44136</v>
          </cell>
          <cell r="I803" t="str">
            <v>09.11.2020</v>
          </cell>
          <cell r="J803" t="str">
            <v>06.11.2020</v>
          </cell>
          <cell r="K803" t="str">
            <v>-</v>
          </cell>
          <cell r="L803" t="str">
            <v>OK</v>
          </cell>
        </row>
        <row r="804">
          <cell r="A804" t="str">
            <v>SHW-43657I20</v>
          </cell>
          <cell r="B804">
            <v>608045385</v>
          </cell>
          <cell r="C804" t="str">
            <v>Original</v>
          </cell>
          <cell r="D804" t="str">
            <v>Panalpina</v>
          </cell>
          <cell r="E804" t="str">
            <v>TACT</v>
          </cell>
          <cell r="F804">
            <v>44127</v>
          </cell>
          <cell r="G804">
            <v>44135</v>
          </cell>
          <cell r="H804">
            <v>44137</v>
          </cell>
          <cell r="I804" t="str">
            <v>06.11.2020</v>
          </cell>
          <cell r="J804" t="str">
            <v>03.11.2020</v>
          </cell>
          <cell r="K804" t="str">
            <v>-</v>
          </cell>
          <cell r="L804" t="str">
            <v>OK</v>
          </cell>
        </row>
        <row r="805">
          <cell r="A805" t="str">
            <v>SHW-43953I20</v>
          </cell>
          <cell r="B805">
            <v>911207930</v>
          </cell>
          <cell r="C805" t="str">
            <v>Original</v>
          </cell>
          <cell r="D805" t="str">
            <v>Panalpina</v>
          </cell>
          <cell r="E805" t="str">
            <v>TACT</v>
          </cell>
          <cell r="F805">
            <v>44127</v>
          </cell>
          <cell r="G805">
            <v>44135</v>
          </cell>
          <cell r="H805">
            <v>44137</v>
          </cell>
          <cell r="I805" t="str">
            <v>06.11.2020</v>
          </cell>
          <cell r="J805" t="str">
            <v>03.11.2020</v>
          </cell>
          <cell r="K805" t="str">
            <v>-</v>
          </cell>
          <cell r="L805" t="str">
            <v>OK</v>
          </cell>
        </row>
        <row r="806">
          <cell r="A806" t="str">
            <v>AHW-44315I20</v>
          </cell>
          <cell r="B806">
            <v>4000246</v>
          </cell>
          <cell r="C806" t="str">
            <v>Original</v>
          </cell>
          <cell r="D806" t="str">
            <v>CTS</v>
          </cell>
          <cell r="E806" t="str">
            <v>TSA</v>
          </cell>
          <cell r="F806">
            <v>44127</v>
          </cell>
          <cell r="G806">
            <v>44135</v>
          </cell>
          <cell r="H806">
            <v>44137</v>
          </cell>
          <cell r="I806" t="str">
            <v>09.11.2020</v>
          </cell>
          <cell r="J806" t="str">
            <v>06.11.2020</v>
          </cell>
          <cell r="K806" t="str">
            <v>-</v>
          </cell>
          <cell r="L806" t="str">
            <v>OK</v>
          </cell>
        </row>
        <row r="807">
          <cell r="A807" t="str">
            <v>AHW-44428I20</v>
          </cell>
          <cell r="B807">
            <v>4000441</v>
          </cell>
          <cell r="C807" t="str">
            <v>Original</v>
          </cell>
          <cell r="D807" t="str">
            <v>CTS</v>
          </cell>
          <cell r="E807" t="str">
            <v>TSA</v>
          </cell>
          <cell r="F807">
            <v>44134</v>
          </cell>
          <cell r="G807">
            <v>44142</v>
          </cell>
          <cell r="H807">
            <v>44144</v>
          </cell>
          <cell r="I807" t="str">
            <v>11.11.2020</v>
          </cell>
          <cell r="J807" t="str">
            <v>06.11.2020</v>
          </cell>
          <cell r="K807" t="str">
            <v>-</v>
          </cell>
          <cell r="L807" t="str">
            <v>OK</v>
          </cell>
        </row>
        <row r="808">
          <cell r="A808" t="str">
            <v>AHW-44317I20</v>
          </cell>
          <cell r="B808">
            <v>4000408</v>
          </cell>
          <cell r="C808" t="str">
            <v>Original</v>
          </cell>
          <cell r="D808" t="str">
            <v>CTS</v>
          </cell>
          <cell r="E808" t="str">
            <v>TSA</v>
          </cell>
          <cell r="F808">
            <v>44138</v>
          </cell>
          <cell r="G808">
            <v>44146</v>
          </cell>
          <cell r="H808">
            <v>44148</v>
          </cell>
          <cell r="I808" t="str">
            <v>11.11.2020</v>
          </cell>
          <cell r="J808" t="str">
            <v>18.11.2020</v>
          </cell>
          <cell r="K808" t="str">
            <v>-</v>
          </cell>
          <cell r="L808" t="str">
            <v>OK</v>
          </cell>
        </row>
        <row r="809">
          <cell r="A809" t="str">
            <v>AHW-44369I20</v>
          </cell>
          <cell r="B809">
            <v>4000416</v>
          </cell>
          <cell r="C809" t="str">
            <v>Original</v>
          </cell>
          <cell r="D809" t="str">
            <v>CTS</v>
          </cell>
          <cell r="E809" t="str">
            <v>TSA</v>
          </cell>
          <cell r="F809">
            <v>44139</v>
          </cell>
          <cell r="G809">
            <v>44147</v>
          </cell>
          <cell r="H809">
            <v>44149</v>
          </cell>
          <cell r="I809" t="str">
            <v>11.11.2020</v>
          </cell>
          <cell r="J809" t="str">
            <v>18.11.2020</v>
          </cell>
          <cell r="K809" t="str">
            <v>-</v>
          </cell>
          <cell r="L809" t="str">
            <v>OK</v>
          </cell>
        </row>
        <row r="810">
          <cell r="A810" t="str">
            <v>AHW-44430I20</v>
          </cell>
          <cell r="B810">
            <v>4000449</v>
          </cell>
          <cell r="C810" t="str">
            <v>Original</v>
          </cell>
          <cell r="D810" t="str">
            <v>CTS</v>
          </cell>
          <cell r="E810" t="str">
            <v>TSA</v>
          </cell>
          <cell r="F810">
            <v>44139</v>
          </cell>
          <cell r="G810">
            <v>44147</v>
          </cell>
          <cell r="H810">
            <v>44149</v>
          </cell>
          <cell r="I810" t="str">
            <v>11.11.2020</v>
          </cell>
          <cell r="J810" t="str">
            <v>18.11.2020</v>
          </cell>
          <cell r="K810" t="str">
            <v>-</v>
          </cell>
          <cell r="L810" t="str">
            <v>OK</v>
          </cell>
        </row>
        <row r="811">
          <cell r="A811" t="str">
            <v>AHW-44431I20</v>
          </cell>
          <cell r="B811">
            <v>4000446</v>
          </cell>
          <cell r="C811" t="str">
            <v>Original</v>
          </cell>
          <cell r="D811" t="str">
            <v>CTS</v>
          </cell>
          <cell r="E811" t="str">
            <v>TSA</v>
          </cell>
          <cell r="F811">
            <v>44139</v>
          </cell>
          <cell r="G811">
            <v>44147</v>
          </cell>
          <cell r="H811">
            <v>44149</v>
          </cell>
          <cell r="I811" t="str">
            <v>11.11.2020</v>
          </cell>
          <cell r="J811" t="str">
            <v>18.11.2020</v>
          </cell>
          <cell r="K811" t="str">
            <v>-</v>
          </cell>
          <cell r="L811" t="str">
            <v>OK</v>
          </cell>
        </row>
        <row r="812">
          <cell r="A812" t="str">
            <v>AHW-44449I20</v>
          </cell>
          <cell r="B812">
            <v>4000454</v>
          </cell>
          <cell r="C812" t="str">
            <v>Original</v>
          </cell>
          <cell r="D812" t="str">
            <v>CTS</v>
          </cell>
          <cell r="E812" t="str">
            <v>TSA</v>
          </cell>
          <cell r="F812">
            <v>44139</v>
          </cell>
          <cell r="G812">
            <v>44147</v>
          </cell>
          <cell r="H812">
            <v>44149</v>
          </cell>
          <cell r="I812" t="str">
            <v>11.11.2020</v>
          </cell>
          <cell r="J812" t="str">
            <v>18.11.2020</v>
          </cell>
          <cell r="K812" t="str">
            <v>-</v>
          </cell>
          <cell r="L812" t="str">
            <v>OK</v>
          </cell>
        </row>
        <row r="813">
          <cell r="A813" t="str">
            <v>AHW-44457I20</v>
          </cell>
          <cell r="B813">
            <v>4000464</v>
          </cell>
          <cell r="C813" t="str">
            <v>Original</v>
          </cell>
          <cell r="D813" t="str">
            <v>CTS</v>
          </cell>
          <cell r="E813" t="str">
            <v>TSA</v>
          </cell>
          <cell r="F813">
            <v>44139</v>
          </cell>
          <cell r="G813">
            <v>44147</v>
          </cell>
          <cell r="H813">
            <v>44149</v>
          </cell>
          <cell r="I813" t="str">
            <v>11.11.2020</v>
          </cell>
          <cell r="J813" t="str">
            <v>18.11.2020</v>
          </cell>
          <cell r="K813" t="str">
            <v>-</v>
          </cell>
          <cell r="L813" t="str">
            <v>OK</v>
          </cell>
        </row>
        <row r="814">
          <cell r="A814" t="str">
            <v>AHW-44458I20</v>
          </cell>
          <cell r="B814">
            <v>4000472</v>
          </cell>
          <cell r="C814" t="str">
            <v>Original</v>
          </cell>
          <cell r="D814" t="str">
            <v>CTS</v>
          </cell>
          <cell r="E814" t="str">
            <v>TSA</v>
          </cell>
          <cell r="F814">
            <v>44139</v>
          </cell>
          <cell r="G814">
            <v>44147</v>
          </cell>
          <cell r="H814">
            <v>44149</v>
          </cell>
          <cell r="I814" t="str">
            <v>11.11.2020</v>
          </cell>
          <cell r="J814" t="str">
            <v>18.11.2020</v>
          </cell>
          <cell r="K814" t="str">
            <v>-</v>
          </cell>
          <cell r="L814" t="str">
            <v>OK</v>
          </cell>
        </row>
        <row r="815">
          <cell r="A815" t="str">
            <v>AHW-44484I20</v>
          </cell>
          <cell r="B815">
            <v>4000489</v>
          </cell>
          <cell r="C815" t="str">
            <v>Original</v>
          </cell>
          <cell r="D815" t="str">
            <v>CTS</v>
          </cell>
          <cell r="E815" t="str">
            <v>TSA</v>
          </cell>
          <cell r="F815">
            <v>44141</v>
          </cell>
          <cell r="G815">
            <v>44149</v>
          </cell>
          <cell r="H815">
            <v>44151</v>
          </cell>
          <cell r="I815" t="str">
            <v>04.12.2020</v>
          </cell>
          <cell r="J815" t="str">
            <v>08.12.2020</v>
          </cell>
          <cell r="K815" t="str">
            <v>-</v>
          </cell>
          <cell r="L815" t="str">
            <v>OK</v>
          </cell>
        </row>
        <row r="816">
          <cell r="A816" t="str">
            <v>AHW-44528I20</v>
          </cell>
          <cell r="B816">
            <v>4000496</v>
          </cell>
          <cell r="C816" t="str">
            <v>Original</v>
          </cell>
          <cell r="D816" t="str">
            <v>CTS</v>
          </cell>
          <cell r="E816" t="str">
            <v>TSA</v>
          </cell>
          <cell r="F816">
            <v>44141</v>
          </cell>
          <cell r="G816">
            <v>44149</v>
          </cell>
          <cell r="H816">
            <v>44151</v>
          </cell>
          <cell r="I816" t="str">
            <v>16.11.2020</v>
          </cell>
          <cell r="J816" t="str">
            <v>18.11.2020</v>
          </cell>
          <cell r="K816" t="str">
            <v>-</v>
          </cell>
          <cell r="L816" t="str">
            <v>OK</v>
          </cell>
        </row>
        <row r="817">
          <cell r="A817" t="str">
            <v>AHW-44567I20</v>
          </cell>
          <cell r="B817">
            <v>4000511</v>
          </cell>
          <cell r="C817" t="str">
            <v>Original</v>
          </cell>
          <cell r="D817" t="str">
            <v>CTS</v>
          </cell>
          <cell r="E817" t="str">
            <v>TSA</v>
          </cell>
          <cell r="F817">
            <v>44141</v>
          </cell>
          <cell r="G817">
            <v>44149</v>
          </cell>
          <cell r="H817">
            <v>44151</v>
          </cell>
          <cell r="I817" t="str">
            <v>16.11.2020</v>
          </cell>
          <cell r="J817" t="str">
            <v>18.11.2020</v>
          </cell>
          <cell r="K817" t="str">
            <v>-</v>
          </cell>
          <cell r="L817" t="str">
            <v>OK</v>
          </cell>
        </row>
        <row r="818">
          <cell r="A818" t="str">
            <v>AHW-44568I20</v>
          </cell>
          <cell r="B818">
            <v>4000515</v>
          </cell>
          <cell r="C818" t="str">
            <v>Original</v>
          </cell>
          <cell r="D818" t="str">
            <v>CTS</v>
          </cell>
          <cell r="E818" t="str">
            <v>TSA</v>
          </cell>
          <cell r="F818">
            <v>44141</v>
          </cell>
          <cell r="G818">
            <v>44149</v>
          </cell>
          <cell r="H818">
            <v>44151</v>
          </cell>
          <cell r="I818" t="str">
            <v>16.11.2020</v>
          </cell>
          <cell r="J818" t="str">
            <v>18.11.2020</v>
          </cell>
          <cell r="K818" t="str">
            <v>-</v>
          </cell>
          <cell r="L818" t="str">
            <v>OK</v>
          </cell>
        </row>
        <row r="819">
          <cell r="A819" t="str">
            <v>SHW-43800I20</v>
          </cell>
          <cell r="B819">
            <v>911181262</v>
          </cell>
          <cell r="C819" t="str">
            <v>Original</v>
          </cell>
          <cell r="D819" t="str">
            <v>Panalpina</v>
          </cell>
          <cell r="E819" t="str">
            <v>TACT</v>
          </cell>
          <cell r="F819">
            <v>44134</v>
          </cell>
          <cell r="G819">
            <v>44142</v>
          </cell>
          <cell r="H819">
            <v>44144</v>
          </cell>
          <cell r="I819" t="str">
            <v>06.11.2020</v>
          </cell>
          <cell r="J819" t="str">
            <v>03.11.2020</v>
          </cell>
          <cell r="K819" t="str">
            <v>-</v>
          </cell>
          <cell r="L819" t="str">
            <v>OK</v>
          </cell>
        </row>
        <row r="820">
          <cell r="A820" t="str">
            <v>AHW-44715I20</v>
          </cell>
          <cell r="B820">
            <v>4000563</v>
          </cell>
          <cell r="C820" t="str">
            <v>Original</v>
          </cell>
          <cell r="D820" t="str">
            <v>CTS</v>
          </cell>
          <cell r="E820" t="str">
            <v>TSA</v>
          </cell>
          <cell r="F820">
            <v>44151</v>
          </cell>
          <cell r="G820">
            <v>44159</v>
          </cell>
          <cell r="H820">
            <v>44161</v>
          </cell>
          <cell r="I820" t="str">
            <v>19.11.2020</v>
          </cell>
          <cell r="J820" t="str">
            <v>08.12.2020</v>
          </cell>
          <cell r="K820" t="str">
            <v>-</v>
          </cell>
          <cell r="L820" t="str">
            <v>OK</v>
          </cell>
        </row>
        <row r="821">
          <cell r="A821" t="str">
            <v>AHW-44658I20</v>
          </cell>
          <cell r="B821">
            <v>4000536</v>
          </cell>
          <cell r="C821" t="str">
            <v>Original</v>
          </cell>
          <cell r="D821" t="str">
            <v>CTS</v>
          </cell>
          <cell r="E821" t="str">
            <v>TSA</v>
          </cell>
          <cell r="F821">
            <v>44152</v>
          </cell>
          <cell r="G821">
            <v>44160</v>
          </cell>
          <cell r="H821">
            <v>44162</v>
          </cell>
          <cell r="I821" t="str">
            <v>01.12.2020</v>
          </cell>
          <cell r="J821" t="str">
            <v>08.12.2020</v>
          </cell>
          <cell r="K821" t="str">
            <v>-</v>
          </cell>
          <cell r="L821" t="str">
            <v>OK</v>
          </cell>
        </row>
        <row r="822">
          <cell r="A822" t="str">
            <v>SHW-44227I20</v>
          </cell>
          <cell r="B822">
            <v>911226198</v>
          </cell>
          <cell r="C822" t="str">
            <v>Original</v>
          </cell>
          <cell r="D822" t="str">
            <v>Panalpina</v>
          </cell>
          <cell r="E822" t="str">
            <v>TACT</v>
          </cell>
          <cell r="F822">
            <v>44151</v>
          </cell>
          <cell r="G822">
            <v>44159</v>
          </cell>
          <cell r="H822">
            <v>44161</v>
          </cell>
          <cell r="I822" t="str">
            <v>19.11.2020</v>
          </cell>
          <cell r="J822" t="str">
            <v>19.11.2020</v>
          </cell>
          <cell r="K822" t="str">
            <v>-</v>
          </cell>
          <cell r="L822" t="str">
            <v>OK</v>
          </cell>
        </row>
        <row r="823">
          <cell r="A823" t="str">
            <v>AHW-44744I20</v>
          </cell>
          <cell r="B823">
            <v>4000581</v>
          </cell>
          <cell r="C823" t="str">
            <v>Original</v>
          </cell>
          <cell r="D823" t="str">
            <v>CTS</v>
          </cell>
          <cell r="E823" t="str">
            <v>TSA</v>
          </cell>
          <cell r="F823">
            <v>44158</v>
          </cell>
          <cell r="G823">
            <v>44166</v>
          </cell>
          <cell r="H823">
            <v>44168</v>
          </cell>
          <cell r="I823" t="str">
            <v>04.12.2020</v>
          </cell>
          <cell r="J823" t="str">
            <v>08.12.2020</v>
          </cell>
          <cell r="K823" t="str">
            <v>-</v>
          </cell>
          <cell r="L823" t="str">
            <v>OK</v>
          </cell>
        </row>
        <row r="824">
          <cell r="A824" t="str">
            <v>AHW-44659I20</v>
          </cell>
          <cell r="B824">
            <v>4000548</v>
          </cell>
          <cell r="C824" t="str">
            <v>Original</v>
          </cell>
          <cell r="D824" t="str">
            <v>CTS</v>
          </cell>
          <cell r="E824" t="str">
            <v>TSA</v>
          </cell>
          <cell r="F824">
            <v>44158</v>
          </cell>
          <cell r="G824">
            <v>44166</v>
          </cell>
          <cell r="H824">
            <v>44168</v>
          </cell>
          <cell r="I824" t="str">
            <v>04.12.2020</v>
          </cell>
          <cell r="J824" t="str">
            <v>08.12.2020</v>
          </cell>
          <cell r="K824" t="str">
            <v>-</v>
          </cell>
          <cell r="L824" t="str">
            <v>OK</v>
          </cell>
        </row>
        <row r="825">
          <cell r="A825" t="str">
            <v>SHW-44318I20</v>
          </cell>
          <cell r="B825">
            <v>911224561</v>
          </cell>
          <cell r="C825" t="str">
            <v>Original</v>
          </cell>
          <cell r="D825" t="str">
            <v>Panalpina</v>
          </cell>
          <cell r="E825" t="str">
            <v>TACT</v>
          </cell>
          <cell r="F825">
            <v>44161</v>
          </cell>
          <cell r="G825">
            <v>44169</v>
          </cell>
          <cell r="H825">
            <v>44171</v>
          </cell>
          <cell r="I825" t="str">
            <v>04.12.2020</v>
          </cell>
          <cell r="J825" t="str">
            <v>01.12.2020</v>
          </cell>
          <cell r="K825" t="str">
            <v>-</v>
          </cell>
          <cell r="L825" t="str">
            <v>OK</v>
          </cell>
        </row>
        <row r="826">
          <cell r="A826" t="str">
            <v>SHW-44461I20</v>
          </cell>
          <cell r="B826">
            <v>911225598</v>
          </cell>
          <cell r="C826" t="str">
            <v>Original</v>
          </cell>
          <cell r="D826" t="str">
            <v>Panalpina</v>
          </cell>
          <cell r="E826" t="str">
            <v>TACT</v>
          </cell>
          <cell r="F826">
            <v>44161</v>
          </cell>
          <cell r="G826">
            <v>44169</v>
          </cell>
          <cell r="H826">
            <v>44171</v>
          </cell>
          <cell r="I826" t="str">
            <v>04.12.2020</v>
          </cell>
          <cell r="J826" t="str">
            <v>01.12.2020</v>
          </cell>
          <cell r="K826" t="str">
            <v>-</v>
          </cell>
          <cell r="L826" t="str">
            <v>OK</v>
          </cell>
        </row>
        <row r="827">
          <cell r="A827" t="str">
            <v>SHW-44488I20</v>
          </cell>
          <cell r="B827">
            <v>206057349</v>
          </cell>
          <cell r="C827" t="str">
            <v>Original</v>
          </cell>
          <cell r="D827" t="str">
            <v>Panalpina</v>
          </cell>
          <cell r="E827" t="str">
            <v>TACT</v>
          </cell>
          <cell r="F827">
            <v>44162</v>
          </cell>
          <cell r="G827">
            <v>44170</v>
          </cell>
          <cell r="H827">
            <v>44172</v>
          </cell>
          <cell r="I827" t="str">
            <v>04.12.2020</v>
          </cell>
          <cell r="J827" t="str">
            <v>01.12.2020</v>
          </cell>
          <cell r="K827" t="str">
            <v>-</v>
          </cell>
          <cell r="L827" t="str">
            <v>OK</v>
          </cell>
        </row>
        <row r="828">
          <cell r="A828" t="str">
            <v>AHW-44802I20</v>
          </cell>
          <cell r="B828">
            <v>4000708</v>
          </cell>
          <cell r="C828" t="str">
            <v>Original</v>
          </cell>
          <cell r="D828" t="str">
            <v>CTS</v>
          </cell>
          <cell r="E828" t="str">
            <v>TSA</v>
          </cell>
          <cell r="F828">
            <v>44161</v>
          </cell>
          <cell r="G828">
            <v>44169</v>
          </cell>
          <cell r="H828">
            <v>44171</v>
          </cell>
          <cell r="I828" t="str">
            <v>04.12.2020</v>
          </cell>
          <cell r="J828" t="str">
            <v>08.12.2020</v>
          </cell>
          <cell r="K828" t="str">
            <v>-</v>
          </cell>
          <cell r="L828" t="str">
            <v>OK</v>
          </cell>
        </row>
        <row r="829">
          <cell r="A829" t="str">
            <v>AHW-44829I20</v>
          </cell>
          <cell r="B829">
            <v>4000747</v>
          </cell>
          <cell r="C829" t="str">
            <v>Original</v>
          </cell>
          <cell r="D829" t="str">
            <v>CTS</v>
          </cell>
          <cell r="E829" t="str">
            <v>TSA</v>
          </cell>
          <cell r="F829">
            <v>44166</v>
          </cell>
          <cell r="G829">
            <v>44174</v>
          </cell>
          <cell r="H829">
            <v>44176</v>
          </cell>
          <cell r="I829" t="str">
            <v>09.12.2020</v>
          </cell>
          <cell r="J829" t="str">
            <v>21.12.2020</v>
          </cell>
          <cell r="K829" t="str">
            <v>-</v>
          </cell>
          <cell r="L829" t="str">
            <v>OK</v>
          </cell>
        </row>
        <row r="830">
          <cell r="A830" t="str">
            <v>AHW-44935I20</v>
          </cell>
          <cell r="B830">
            <v>4000748</v>
          </cell>
          <cell r="C830" t="str">
            <v>Original</v>
          </cell>
          <cell r="D830" t="str">
            <v>CTS</v>
          </cell>
          <cell r="E830" t="str">
            <v>TSA</v>
          </cell>
          <cell r="F830">
            <v>44166</v>
          </cell>
          <cell r="G830">
            <v>44174</v>
          </cell>
          <cell r="H830">
            <v>44176</v>
          </cell>
          <cell r="I830" t="str">
            <v>09.12.2020</v>
          </cell>
          <cell r="J830" t="str">
            <v>21.12.2020</v>
          </cell>
          <cell r="K830" t="str">
            <v>-</v>
          </cell>
          <cell r="L830" t="str">
            <v>OK</v>
          </cell>
        </row>
        <row r="831">
          <cell r="A831" t="str">
            <v>AHW-44937I20</v>
          </cell>
          <cell r="B831">
            <v>4000750</v>
          </cell>
          <cell r="C831" t="str">
            <v>Original</v>
          </cell>
          <cell r="D831" t="str">
            <v>CTS</v>
          </cell>
          <cell r="E831" t="str">
            <v>TSA</v>
          </cell>
          <cell r="F831">
            <v>44166</v>
          </cell>
          <cell r="G831">
            <v>44174</v>
          </cell>
          <cell r="H831">
            <v>44176</v>
          </cell>
          <cell r="I831" t="str">
            <v>09.12.2020</v>
          </cell>
          <cell r="J831" t="str">
            <v>21.12.2020</v>
          </cell>
          <cell r="K831" t="str">
            <v>-</v>
          </cell>
          <cell r="L831" t="str">
            <v>OK</v>
          </cell>
        </row>
        <row r="832">
          <cell r="A832" t="str">
            <v>AHW-44975I20</v>
          </cell>
          <cell r="B832" t="str">
            <v>4000291B</v>
          </cell>
          <cell r="C832" t="str">
            <v>Original</v>
          </cell>
          <cell r="D832" t="str">
            <v>CTS</v>
          </cell>
          <cell r="E832" t="str">
            <v>TSA</v>
          </cell>
          <cell r="F832">
            <v>44167</v>
          </cell>
          <cell r="G832">
            <v>44175</v>
          </cell>
          <cell r="H832">
            <v>44177</v>
          </cell>
          <cell r="I832" t="str">
            <v>09.12.2020</v>
          </cell>
          <cell r="J832" t="str">
            <v>21.12.2020</v>
          </cell>
          <cell r="K832" t="str">
            <v>-</v>
          </cell>
          <cell r="L832" t="str">
            <v>OK</v>
          </cell>
        </row>
        <row r="833">
          <cell r="A833" t="str">
            <v>AHW-44977I20</v>
          </cell>
          <cell r="B833">
            <v>4000737</v>
          </cell>
          <cell r="C833" t="str">
            <v>Original</v>
          </cell>
          <cell r="D833" t="str">
            <v>CTS</v>
          </cell>
          <cell r="E833" t="str">
            <v>TSA</v>
          </cell>
          <cell r="F833">
            <v>44167</v>
          </cell>
          <cell r="G833">
            <v>44175</v>
          </cell>
          <cell r="H833">
            <v>44177</v>
          </cell>
          <cell r="I833" t="str">
            <v>11.12.2020</v>
          </cell>
          <cell r="J833" t="str">
            <v>21.12.2020</v>
          </cell>
          <cell r="K833" t="str">
            <v>-</v>
          </cell>
          <cell r="L833" t="str">
            <v>OK</v>
          </cell>
        </row>
        <row r="834">
          <cell r="A834" t="str">
            <v>AHW-44938I20</v>
          </cell>
          <cell r="B834" t="str">
            <v>4000291A</v>
          </cell>
          <cell r="C834" t="str">
            <v>Original</v>
          </cell>
          <cell r="D834" t="str">
            <v>CTS</v>
          </cell>
          <cell r="E834" t="str">
            <v>TSA</v>
          </cell>
          <cell r="F834">
            <v>44167</v>
          </cell>
          <cell r="G834">
            <v>44175</v>
          </cell>
          <cell r="H834">
            <v>44177</v>
          </cell>
          <cell r="I834" t="str">
            <v>09.12.2020</v>
          </cell>
          <cell r="J834" t="str">
            <v>21.12.2020</v>
          </cell>
          <cell r="K834" t="str">
            <v>-</v>
          </cell>
          <cell r="L834" t="str">
            <v>OK</v>
          </cell>
        </row>
        <row r="835">
          <cell r="A835" t="str">
            <v>AHW-44803I20</v>
          </cell>
          <cell r="B835">
            <v>4000713</v>
          </cell>
          <cell r="C835" t="str">
            <v>Original</v>
          </cell>
          <cell r="D835" t="str">
            <v>CTS</v>
          </cell>
          <cell r="E835" t="str">
            <v>TSA</v>
          </cell>
          <cell r="F835">
            <v>44167</v>
          </cell>
          <cell r="G835">
            <v>44175</v>
          </cell>
          <cell r="H835">
            <v>44177</v>
          </cell>
          <cell r="I835" t="str">
            <v>09.12.2020</v>
          </cell>
          <cell r="J835" t="str">
            <v>21.12.2020</v>
          </cell>
          <cell r="K835" t="str">
            <v>-</v>
          </cell>
          <cell r="L835" t="str">
            <v>OK</v>
          </cell>
        </row>
        <row r="836">
          <cell r="A836" t="str">
            <v>AHW-44936I20</v>
          </cell>
          <cell r="B836">
            <v>4000749</v>
          </cell>
          <cell r="C836" t="str">
            <v>Original</v>
          </cell>
          <cell r="D836" t="str">
            <v>CTS</v>
          </cell>
          <cell r="E836" t="str">
            <v>TSA</v>
          </cell>
          <cell r="F836">
            <v>44167</v>
          </cell>
          <cell r="G836">
            <v>44175</v>
          </cell>
          <cell r="H836">
            <v>44177</v>
          </cell>
          <cell r="I836" t="str">
            <v>09.12.2020</v>
          </cell>
          <cell r="J836" t="str">
            <v>21.12.2020</v>
          </cell>
          <cell r="K836" t="str">
            <v>-</v>
          </cell>
          <cell r="L836" t="str">
            <v>OK</v>
          </cell>
        </row>
        <row r="837">
          <cell r="A837" t="str">
            <v>AHW-44976I20</v>
          </cell>
          <cell r="B837" t="str">
            <v>4000291C</v>
          </cell>
          <cell r="C837" t="str">
            <v>Original</v>
          </cell>
          <cell r="D837" t="str">
            <v>CTS</v>
          </cell>
          <cell r="E837" t="str">
            <v>TSA</v>
          </cell>
          <cell r="F837">
            <v>44169</v>
          </cell>
          <cell r="G837">
            <v>44177</v>
          </cell>
          <cell r="H837">
            <v>44179</v>
          </cell>
          <cell r="I837" t="str">
            <v>11.12.2020</v>
          </cell>
          <cell r="J837" t="str">
            <v>21.12.2020</v>
          </cell>
          <cell r="K837" t="str">
            <v>-</v>
          </cell>
          <cell r="L837" t="str">
            <v>OK</v>
          </cell>
        </row>
        <row r="838">
          <cell r="A838" t="str">
            <v>AHW-44940I20</v>
          </cell>
          <cell r="B838">
            <v>4000763</v>
          </cell>
          <cell r="C838" t="str">
            <v>Original</v>
          </cell>
          <cell r="D838" t="str">
            <v>CTS</v>
          </cell>
          <cell r="E838" t="str">
            <v>TSA</v>
          </cell>
          <cell r="F838">
            <v>44172</v>
          </cell>
          <cell r="G838">
            <v>44180</v>
          </cell>
          <cell r="H838">
            <v>44182</v>
          </cell>
          <cell r="I838" t="str">
            <v>09.12.2020</v>
          </cell>
          <cell r="J838" t="str">
            <v>21.12.2020</v>
          </cell>
          <cell r="K838" t="str">
            <v>-</v>
          </cell>
          <cell r="L838" t="str">
            <v>OK</v>
          </cell>
        </row>
        <row r="839">
          <cell r="A839" t="str">
            <v>AHW-44944I20</v>
          </cell>
          <cell r="B839">
            <v>4000760</v>
          </cell>
          <cell r="C839" t="str">
            <v>Original</v>
          </cell>
          <cell r="D839" t="str">
            <v>CTS</v>
          </cell>
          <cell r="E839" t="str">
            <v>TSA</v>
          </cell>
          <cell r="F839">
            <v>44172</v>
          </cell>
          <cell r="G839">
            <v>44180</v>
          </cell>
          <cell r="H839">
            <v>44182</v>
          </cell>
          <cell r="I839" t="str">
            <v>09.12.2020</v>
          </cell>
          <cell r="J839" t="str">
            <v>21.12.2020</v>
          </cell>
          <cell r="K839" t="str">
            <v>-</v>
          </cell>
          <cell r="L839" t="str">
            <v>OK</v>
          </cell>
        </row>
        <row r="840">
          <cell r="A840" t="str">
            <v>AHW-45125I20</v>
          </cell>
          <cell r="B840">
            <v>4000797</v>
          </cell>
          <cell r="C840" t="str">
            <v>Original</v>
          </cell>
          <cell r="D840" t="str">
            <v>CTS</v>
          </cell>
          <cell r="E840" t="str">
            <v>TSA</v>
          </cell>
          <cell r="F840">
            <v>44179</v>
          </cell>
          <cell r="G840">
            <v>44187</v>
          </cell>
          <cell r="H840">
            <v>44189</v>
          </cell>
          <cell r="I840" t="str">
            <v>18.12.2020</v>
          </cell>
          <cell r="J840" t="str">
            <v>21.12.2020</v>
          </cell>
          <cell r="K840" t="str">
            <v>-</v>
          </cell>
          <cell r="L840" t="str">
            <v>OK</v>
          </cell>
        </row>
        <row r="841">
          <cell r="A841" t="str">
            <v>AHW-45166I20</v>
          </cell>
          <cell r="B841">
            <v>4001014</v>
          </cell>
          <cell r="C841" t="str">
            <v>Original</v>
          </cell>
          <cell r="D841" t="str">
            <v>CTS</v>
          </cell>
          <cell r="E841" t="str">
            <v>TSA</v>
          </cell>
          <cell r="F841">
            <v>44179</v>
          </cell>
          <cell r="G841">
            <v>44187</v>
          </cell>
          <cell r="H841">
            <v>44189</v>
          </cell>
          <cell r="I841" t="str">
            <v>18.12.2020</v>
          </cell>
          <cell r="J841" t="str">
            <v>21.12.2020</v>
          </cell>
          <cell r="K841" t="str">
            <v>-</v>
          </cell>
          <cell r="L841" t="str">
            <v>OK</v>
          </cell>
        </row>
        <row r="842">
          <cell r="A842" t="str">
            <v>AHW-45168I20</v>
          </cell>
          <cell r="B842">
            <v>4001015</v>
          </cell>
          <cell r="C842" t="str">
            <v>Original</v>
          </cell>
          <cell r="D842" t="str">
            <v>CTS</v>
          </cell>
          <cell r="E842" t="str">
            <v>TSA</v>
          </cell>
          <cell r="F842">
            <v>44179</v>
          </cell>
          <cell r="G842">
            <v>44187</v>
          </cell>
          <cell r="H842">
            <v>44189</v>
          </cell>
          <cell r="I842" t="str">
            <v>18.12.2020</v>
          </cell>
          <cell r="J842" t="str">
            <v>21.12.2020</v>
          </cell>
          <cell r="K842" t="str">
            <v>-</v>
          </cell>
          <cell r="L842" t="str">
            <v>OK</v>
          </cell>
        </row>
        <row r="843">
          <cell r="A843" t="str">
            <v>AHW-45191I20</v>
          </cell>
          <cell r="B843">
            <v>4001023</v>
          </cell>
          <cell r="C843" t="str">
            <v>Original</v>
          </cell>
          <cell r="D843" t="str">
            <v>CTS</v>
          </cell>
          <cell r="E843" t="str">
            <v>TSA</v>
          </cell>
          <cell r="F843">
            <v>44179</v>
          </cell>
          <cell r="G843">
            <v>44187</v>
          </cell>
          <cell r="H843">
            <v>44189</v>
          </cell>
          <cell r="I843" t="str">
            <v>18.12.2020</v>
          </cell>
          <cell r="J843" t="str">
            <v>21.12.2020</v>
          </cell>
          <cell r="K843" t="str">
            <v>-</v>
          </cell>
          <cell r="L843" t="str">
            <v>OK</v>
          </cell>
        </row>
        <row r="844">
          <cell r="A844" t="str">
            <v>AHW-45188I20</v>
          </cell>
          <cell r="B844">
            <v>4001020</v>
          </cell>
          <cell r="C844" t="str">
            <v>Original</v>
          </cell>
          <cell r="D844" t="str">
            <v>CTS</v>
          </cell>
          <cell r="E844" t="str">
            <v>TSA</v>
          </cell>
          <cell r="F844">
            <v>44180</v>
          </cell>
          <cell r="G844">
            <v>44188</v>
          </cell>
          <cell r="H844">
            <v>44190</v>
          </cell>
          <cell r="I844" t="str">
            <v>18.12.2020</v>
          </cell>
          <cell r="J844" t="str">
            <v>21.12.2020</v>
          </cell>
          <cell r="K844" t="str">
            <v>-</v>
          </cell>
          <cell r="L844" t="str">
            <v>OK</v>
          </cell>
        </row>
        <row r="845">
          <cell r="A845" t="str">
            <v>AHW-45193I20</v>
          </cell>
          <cell r="B845">
            <v>4001026</v>
          </cell>
          <cell r="C845" t="str">
            <v>Original</v>
          </cell>
          <cell r="D845" t="str">
            <v>CTS</v>
          </cell>
          <cell r="E845" t="str">
            <v>TSA</v>
          </cell>
          <cell r="F845">
            <v>44180</v>
          </cell>
          <cell r="G845">
            <v>44188</v>
          </cell>
          <cell r="H845">
            <v>44190</v>
          </cell>
          <cell r="I845" t="str">
            <v>18.12.2020</v>
          </cell>
          <cell r="J845" t="str">
            <v>21.12.2020</v>
          </cell>
          <cell r="K845" t="str">
            <v>-</v>
          </cell>
          <cell r="L845" t="str">
            <v>OK</v>
          </cell>
        </row>
        <row r="846">
          <cell r="A846" t="str">
            <v>AHW-45192I20</v>
          </cell>
          <cell r="B846">
            <v>4001025</v>
          </cell>
          <cell r="C846" t="str">
            <v>Original</v>
          </cell>
          <cell r="D846" t="str">
            <v>CTS</v>
          </cell>
          <cell r="E846" t="str">
            <v>TSA</v>
          </cell>
          <cell r="F846">
            <v>44180</v>
          </cell>
          <cell r="G846">
            <v>44188</v>
          </cell>
          <cell r="H846">
            <v>44190</v>
          </cell>
          <cell r="I846" t="str">
            <v>18.12.2020</v>
          </cell>
          <cell r="J846" t="str">
            <v>21.12.2020</v>
          </cell>
          <cell r="K846" t="str">
            <v>-</v>
          </cell>
          <cell r="L846" t="str">
            <v>OK</v>
          </cell>
        </row>
        <row r="847">
          <cell r="A847" t="str">
            <v>AHW-45190I20</v>
          </cell>
          <cell r="B847">
            <v>4001022</v>
          </cell>
          <cell r="C847" t="str">
            <v>Original</v>
          </cell>
          <cell r="D847" t="str">
            <v>CTS</v>
          </cell>
          <cell r="E847" t="str">
            <v>TSA</v>
          </cell>
          <cell r="F847">
            <v>44180</v>
          </cell>
          <cell r="G847">
            <v>44188</v>
          </cell>
          <cell r="H847">
            <v>44190</v>
          </cell>
          <cell r="I847" t="str">
            <v>18.12.2020</v>
          </cell>
          <cell r="J847" t="str">
            <v>21.12.2020</v>
          </cell>
          <cell r="K847" t="str">
            <v>-</v>
          </cell>
          <cell r="L847" t="str">
            <v>OK</v>
          </cell>
        </row>
        <row r="848">
          <cell r="A848" t="str">
            <v>AHW-45196I20</v>
          </cell>
          <cell r="B848">
            <v>4001028</v>
          </cell>
          <cell r="C848" t="str">
            <v>Original</v>
          </cell>
          <cell r="D848" t="str">
            <v>CTS</v>
          </cell>
          <cell r="E848" t="str">
            <v>TSA</v>
          </cell>
          <cell r="F848">
            <v>44180</v>
          </cell>
          <cell r="G848">
            <v>44188</v>
          </cell>
          <cell r="H848">
            <v>44190</v>
          </cell>
          <cell r="I848" t="str">
            <v>18.12.2020</v>
          </cell>
          <cell r="J848" t="str">
            <v>21.12.2020</v>
          </cell>
          <cell r="K848" t="str">
            <v>-</v>
          </cell>
          <cell r="L848" t="str">
            <v>OK</v>
          </cell>
        </row>
        <row r="849">
          <cell r="A849" t="str">
            <v>AHW-45189I20</v>
          </cell>
          <cell r="B849">
            <v>4001021</v>
          </cell>
          <cell r="C849" t="str">
            <v>Original</v>
          </cell>
          <cell r="D849" t="str">
            <v>CTS</v>
          </cell>
          <cell r="E849" t="str">
            <v>TSA</v>
          </cell>
          <cell r="F849">
            <v>44180</v>
          </cell>
          <cell r="G849">
            <v>44188</v>
          </cell>
          <cell r="H849">
            <v>44190</v>
          </cell>
          <cell r="I849" t="str">
            <v>18.12.2020</v>
          </cell>
          <cell r="J849" t="str">
            <v>06.01.2021</v>
          </cell>
          <cell r="K849" t="str">
            <v>-</v>
          </cell>
          <cell r="L849" t="str">
            <v>OK</v>
          </cell>
        </row>
        <row r="850">
          <cell r="A850" t="str">
            <v>AHW-45197I20</v>
          </cell>
          <cell r="B850">
            <v>4001029</v>
          </cell>
          <cell r="C850" t="str">
            <v>Original</v>
          </cell>
          <cell r="D850" t="str">
            <v>CTS</v>
          </cell>
          <cell r="E850" t="str">
            <v>TSA</v>
          </cell>
          <cell r="F850">
            <v>44180</v>
          </cell>
          <cell r="G850">
            <v>44188</v>
          </cell>
          <cell r="H850">
            <v>44190</v>
          </cell>
          <cell r="I850" t="str">
            <v>18.12.2020</v>
          </cell>
          <cell r="J850" t="str">
            <v>21.12.2020</v>
          </cell>
          <cell r="K850" t="str">
            <v>-</v>
          </cell>
          <cell r="L850" t="str">
            <v>OK</v>
          </cell>
        </row>
        <row r="851">
          <cell r="A851" t="str">
            <v>AHW-45198I20</v>
          </cell>
          <cell r="B851">
            <v>4001030</v>
          </cell>
          <cell r="C851" t="str">
            <v>Original</v>
          </cell>
          <cell r="D851" t="str">
            <v>CTS</v>
          </cell>
          <cell r="E851" t="str">
            <v>TSA</v>
          </cell>
          <cell r="F851">
            <v>44180</v>
          </cell>
          <cell r="G851">
            <v>44188</v>
          </cell>
          <cell r="H851">
            <v>44190</v>
          </cell>
          <cell r="I851" t="str">
            <v>18.12.2020</v>
          </cell>
          <cell r="J851" t="str">
            <v>21.12.2020</v>
          </cell>
          <cell r="K851" t="str">
            <v>-</v>
          </cell>
          <cell r="L851" t="str">
            <v>OK</v>
          </cell>
        </row>
        <row r="852">
          <cell r="A852" t="str">
            <v>AHW-45194I20</v>
          </cell>
          <cell r="B852">
            <v>4001027</v>
          </cell>
          <cell r="C852" t="str">
            <v>Original</v>
          </cell>
          <cell r="D852" t="str">
            <v>CTS</v>
          </cell>
          <cell r="E852" t="str">
            <v>TSA</v>
          </cell>
          <cell r="F852">
            <v>44180</v>
          </cell>
          <cell r="G852">
            <v>44188</v>
          </cell>
          <cell r="H852">
            <v>44190</v>
          </cell>
          <cell r="I852" t="str">
            <v>18.12.2020</v>
          </cell>
          <cell r="J852" t="str">
            <v>21.12.2020</v>
          </cell>
          <cell r="K852" t="str">
            <v>-</v>
          </cell>
          <cell r="L852" t="str">
            <v>OK</v>
          </cell>
        </row>
        <row r="853">
          <cell r="A853" t="str">
            <v>AHW-45255I20</v>
          </cell>
          <cell r="B853">
            <v>4001059</v>
          </cell>
          <cell r="C853" t="str">
            <v>Original</v>
          </cell>
          <cell r="D853" t="str">
            <v>CTS</v>
          </cell>
          <cell r="E853" t="str">
            <v>TSA</v>
          </cell>
          <cell r="F853">
            <v>44184</v>
          </cell>
          <cell r="G853">
            <v>44192</v>
          </cell>
          <cell r="H853">
            <v>44194</v>
          </cell>
          <cell r="I853" t="str">
            <v>07.01.2021</v>
          </cell>
          <cell r="J853" t="str">
            <v>06.01.2021</v>
          </cell>
          <cell r="K853" t="str">
            <v>-</v>
          </cell>
          <cell r="L853" t="str">
            <v>OK</v>
          </cell>
        </row>
        <row r="854">
          <cell r="A854" t="str">
            <v>AHW-45250I20</v>
          </cell>
          <cell r="B854">
            <v>4001047</v>
          </cell>
          <cell r="C854" t="str">
            <v>Original</v>
          </cell>
          <cell r="D854" t="str">
            <v>CTS</v>
          </cell>
          <cell r="E854" t="str">
            <v>TSA</v>
          </cell>
          <cell r="F854">
            <v>44184</v>
          </cell>
          <cell r="G854">
            <v>44192</v>
          </cell>
          <cell r="H854">
            <v>44194</v>
          </cell>
          <cell r="I854" t="str">
            <v>07.01.2021</v>
          </cell>
          <cell r="J854" t="str">
            <v>06.01.2021</v>
          </cell>
          <cell r="K854" t="str">
            <v>-</v>
          </cell>
          <cell r="L854" t="str">
            <v>OK</v>
          </cell>
        </row>
        <row r="855">
          <cell r="A855" t="str">
            <v>AHW-45247I20</v>
          </cell>
          <cell r="B855">
            <v>4001046</v>
          </cell>
          <cell r="C855" t="str">
            <v>Original</v>
          </cell>
          <cell r="D855" t="str">
            <v>CTS</v>
          </cell>
          <cell r="E855" t="str">
            <v>TSA</v>
          </cell>
          <cell r="F855">
            <v>44184</v>
          </cell>
          <cell r="G855">
            <v>44192</v>
          </cell>
          <cell r="H855">
            <v>44194</v>
          </cell>
          <cell r="I855" t="str">
            <v>07.01.2021</v>
          </cell>
          <cell r="J855" t="str">
            <v>06.01.2021</v>
          </cell>
          <cell r="K855" t="str">
            <v>-</v>
          </cell>
          <cell r="L855" t="str">
            <v>OK</v>
          </cell>
        </row>
        <row r="856">
          <cell r="A856" t="str">
            <v>AHW-45248I20</v>
          </cell>
          <cell r="B856">
            <v>4001048</v>
          </cell>
          <cell r="C856" t="str">
            <v>Original</v>
          </cell>
          <cell r="D856" t="str">
            <v>CTS</v>
          </cell>
          <cell r="E856" t="str">
            <v>TSA</v>
          </cell>
          <cell r="F856">
            <v>44184</v>
          </cell>
          <cell r="G856">
            <v>44192</v>
          </cell>
          <cell r="H856">
            <v>44194</v>
          </cell>
          <cell r="I856" t="str">
            <v>07.01.2021</v>
          </cell>
          <cell r="J856" t="str">
            <v>06.01.2021</v>
          </cell>
          <cell r="K856" t="str">
            <v>-</v>
          </cell>
          <cell r="L856" t="str">
            <v>OK</v>
          </cell>
        </row>
        <row r="857">
          <cell r="A857" t="str">
            <v>AHW-45195I20</v>
          </cell>
          <cell r="B857">
            <v>4001063</v>
          </cell>
          <cell r="C857" t="str">
            <v>Original</v>
          </cell>
          <cell r="D857" t="str">
            <v>CTS</v>
          </cell>
          <cell r="E857" t="str">
            <v>TSA</v>
          </cell>
          <cell r="F857">
            <v>44186</v>
          </cell>
          <cell r="G857">
            <v>44194</v>
          </cell>
          <cell r="H857">
            <v>44196</v>
          </cell>
          <cell r="I857" t="str">
            <v>07.01.2021</v>
          </cell>
          <cell r="J857" t="str">
            <v>06.01.2021</v>
          </cell>
          <cell r="K857" t="str">
            <v>-</v>
          </cell>
          <cell r="L857" t="str">
            <v>OK</v>
          </cell>
        </row>
        <row r="858">
          <cell r="A858" t="str">
            <v>AHW-45164I20</v>
          </cell>
          <cell r="B858">
            <v>4001037</v>
          </cell>
          <cell r="C858" t="str">
            <v>Original</v>
          </cell>
          <cell r="D858" t="str">
            <v>CTS</v>
          </cell>
          <cell r="E858" t="str">
            <v>TSA</v>
          </cell>
          <cell r="F858">
            <v>44186</v>
          </cell>
          <cell r="G858">
            <v>44194</v>
          </cell>
          <cell r="H858">
            <v>44196</v>
          </cell>
          <cell r="I858" t="str">
            <v>07.01.2021</v>
          </cell>
          <cell r="J858" t="str">
            <v>06.01.2021</v>
          </cell>
          <cell r="K858" t="str">
            <v>-</v>
          </cell>
          <cell r="L858" t="str">
            <v>OK</v>
          </cell>
        </row>
        <row r="859">
          <cell r="A859" t="str">
            <v>AHW-45249I20</v>
          </cell>
          <cell r="B859">
            <v>4000309</v>
          </cell>
          <cell r="C859" t="str">
            <v>Original</v>
          </cell>
          <cell r="D859" t="str">
            <v>CTS</v>
          </cell>
          <cell r="E859" t="str">
            <v>TSA</v>
          </cell>
          <cell r="F859">
            <v>44186</v>
          </cell>
          <cell r="G859">
            <v>44194</v>
          </cell>
          <cell r="H859">
            <v>44196</v>
          </cell>
          <cell r="I859" t="str">
            <v>07.01.2021</v>
          </cell>
          <cell r="J859" t="str">
            <v>06.01.2021</v>
          </cell>
          <cell r="K859" t="str">
            <v>-</v>
          </cell>
          <cell r="L859" t="str">
            <v>OK</v>
          </cell>
        </row>
        <row r="860">
          <cell r="A860" t="str">
            <v>AHW-45303I20</v>
          </cell>
          <cell r="B860">
            <v>4001060</v>
          </cell>
          <cell r="C860" t="str">
            <v>Original</v>
          </cell>
          <cell r="D860" t="str">
            <v>CTS</v>
          </cell>
          <cell r="E860" t="str">
            <v>TSA</v>
          </cell>
          <cell r="F860">
            <v>44186</v>
          </cell>
          <cell r="G860">
            <v>44194</v>
          </cell>
          <cell r="H860">
            <v>44196</v>
          </cell>
          <cell r="I860" t="str">
            <v>07.01.2021</v>
          </cell>
          <cell r="J860" t="str">
            <v>06.01.2021</v>
          </cell>
          <cell r="K860" t="str">
            <v>-</v>
          </cell>
          <cell r="L860" t="str">
            <v>OK</v>
          </cell>
        </row>
        <row r="861">
          <cell r="A861" t="str">
            <v>AHW-45187I20</v>
          </cell>
          <cell r="B861">
            <v>4000310</v>
          </cell>
          <cell r="C861" t="str">
            <v>Original</v>
          </cell>
          <cell r="D861" t="str">
            <v>CTS</v>
          </cell>
          <cell r="E861" t="str">
            <v>TSA</v>
          </cell>
          <cell r="F861">
            <v>44186</v>
          </cell>
          <cell r="G861">
            <v>44194</v>
          </cell>
          <cell r="H861">
            <v>44196</v>
          </cell>
          <cell r="I861" t="str">
            <v>07.01.2021</v>
          </cell>
          <cell r="J861" t="str">
            <v>06.01.2021</v>
          </cell>
          <cell r="K861" t="str">
            <v>-</v>
          </cell>
          <cell r="L861" t="str">
            <v>OK</v>
          </cell>
        </row>
        <row r="862">
          <cell r="A862" t="str">
            <v>AHW-45163I20</v>
          </cell>
          <cell r="B862">
            <v>4001031</v>
          </cell>
          <cell r="C862" t="str">
            <v>Original</v>
          </cell>
          <cell r="D862" t="str">
            <v>CTS</v>
          </cell>
          <cell r="E862" t="str">
            <v>TSA</v>
          </cell>
          <cell r="F862">
            <v>44186</v>
          </cell>
          <cell r="G862">
            <v>44194</v>
          </cell>
          <cell r="H862">
            <v>44196</v>
          </cell>
          <cell r="I862" t="str">
            <v>07.01.2021</v>
          </cell>
          <cell r="J862" t="str">
            <v>06.01.2021</v>
          </cell>
          <cell r="K862" t="str">
            <v>-</v>
          </cell>
          <cell r="L862" t="str">
            <v>OK</v>
          </cell>
        </row>
        <row r="863">
          <cell r="A863" t="str">
            <v>AHW-45313I20</v>
          </cell>
          <cell r="B863">
            <v>4001083</v>
          </cell>
          <cell r="C863" t="str">
            <v>Original</v>
          </cell>
          <cell r="D863" t="str">
            <v>CTS</v>
          </cell>
          <cell r="E863" t="str">
            <v>TSA</v>
          </cell>
          <cell r="F863">
            <v>44201</v>
          </cell>
          <cell r="G863">
            <v>44209</v>
          </cell>
          <cell r="H863">
            <v>44211</v>
          </cell>
          <cell r="I863" t="str">
            <v>12.01.2021</v>
          </cell>
          <cell r="J863" t="str">
            <v>19.01.2021</v>
          </cell>
          <cell r="K863" t="str">
            <v>-</v>
          </cell>
          <cell r="L863" t="str">
            <v>OK</v>
          </cell>
        </row>
        <row r="864">
          <cell r="A864" t="str">
            <v>AHW-45477I20</v>
          </cell>
          <cell r="B864">
            <v>4001126</v>
          </cell>
          <cell r="C864" t="str">
            <v>Original</v>
          </cell>
          <cell r="D864" t="str">
            <v>CTS</v>
          </cell>
          <cell r="E864" t="str">
            <v>TSA</v>
          </cell>
          <cell r="F864">
            <v>44201</v>
          </cell>
          <cell r="G864">
            <v>44209</v>
          </cell>
          <cell r="H864">
            <v>44211</v>
          </cell>
          <cell r="I864" t="str">
            <v>12.01.2021</v>
          </cell>
          <cell r="J864" t="str">
            <v>19.01.2021</v>
          </cell>
          <cell r="K864" t="str">
            <v>-</v>
          </cell>
          <cell r="L864" t="str">
            <v>OK</v>
          </cell>
        </row>
        <row r="865">
          <cell r="A865" t="str">
            <v>AHW-45478I20</v>
          </cell>
          <cell r="B865">
            <v>4001123</v>
          </cell>
          <cell r="C865" t="str">
            <v>Original</v>
          </cell>
          <cell r="D865" t="str">
            <v>CTS</v>
          </cell>
          <cell r="E865" t="str">
            <v>TSA</v>
          </cell>
          <cell r="F865">
            <v>44201</v>
          </cell>
          <cell r="G865">
            <v>44209</v>
          </cell>
          <cell r="H865">
            <v>44211</v>
          </cell>
          <cell r="I865" t="str">
            <v>12.01.2021</v>
          </cell>
          <cell r="J865" t="str">
            <v>19.01.2021</v>
          </cell>
          <cell r="K865" t="str">
            <v>-</v>
          </cell>
          <cell r="L865" t="str">
            <v>OK</v>
          </cell>
        </row>
        <row r="866">
          <cell r="A866" t="str">
            <v>AHW-45676I20</v>
          </cell>
          <cell r="B866">
            <v>4001131</v>
          </cell>
          <cell r="C866" t="str">
            <v>Original</v>
          </cell>
          <cell r="D866" t="str">
            <v>CTS</v>
          </cell>
          <cell r="E866" t="str">
            <v>TSA</v>
          </cell>
          <cell r="F866">
            <v>44201</v>
          </cell>
          <cell r="G866">
            <v>44209</v>
          </cell>
          <cell r="H866">
            <v>44211</v>
          </cell>
          <cell r="I866" t="str">
            <v>12.01.2021</v>
          </cell>
          <cell r="J866" t="str">
            <v>19.01.2021</v>
          </cell>
          <cell r="K866" t="str">
            <v>-</v>
          </cell>
          <cell r="L866" t="str">
            <v>OK</v>
          </cell>
        </row>
        <row r="867">
          <cell r="A867" t="str">
            <v>AHW-45675I20</v>
          </cell>
          <cell r="B867">
            <v>4001132</v>
          </cell>
          <cell r="C867" t="str">
            <v>Original</v>
          </cell>
          <cell r="D867" t="str">
            <v>CTS</v>
          </cell>
          <cell r="E867" t="str">
            <v>TSA</v>
          </cell>
          <cell r="F867">
            <v>44201</v>
          </cell>
          <cell r="G867">
            <v>44209</v>
          </cell>
          <cell r="H867">
            <v>44211</v>
          </cell>
          <cell r="I867" t="str">
            <v>12.01.2021</v>
          </cell>
          <cell r="J867" t="str">
            <v>19.01.2021</v>
          </cell>
          <cell r="K867" t="str">
            <v>-</v>
          </cell>
          <cell r="L867" t="str">
            <v>OK</v>
          </cell>
        </row>
        <row r="868">
          <cell r="A868" t="str">
            <v>AHW-40005I21</v>
          </cell>
          <cell r="B868">
            <v>4001157</v>
          </cell>
          <cell r="C868" t="str">
            <v>Original</v>
          </cell>
          <cell r="D868" t="str">
            <v>CTS</v>
          </cell>
          <cell r="E868" t="str">
            <v>TSA</v>
          </cell>
          <cell r="F868">
            <v>44204</v>
          </cell>
          <cell r="G868">
            <v>44212</v>
          </cell>
          <cell r="H868">
            <v>44214</v>
          </cell>
          <cell r="I868" t="str">
            <v>19.01.2021</v>
          </cell>
          <cell r="J868" t="str">
            <v>19.01.2021</v>
          </cell>
          <cell r="K868" t="str">
            <v>-</v>
          </cell>
          <cell r="L868" t="str">
            <v>OK</v>
          </cell>
        </row>
        <row r="869">
          <cell r="A869" t="str">
            <v>AHW-45557I20</v>
          </cell>
          <cell r="B869">
            <v>4001154</v>
          </cell>
          <cell r="C869" t="str">
            <v>Original</v>
          </cell>
          <cell r="D869" t="str">
            <v>CTS</v>
          </cell>
          <cell r="E869" t="str">
            <v>TSA</v>
          </cell>
          <cell r="F869">
            <v>44207</v>
          </cell>
          <cell r="G869">
            <v>44215</v>
          </cell>
          <cell r="H869">
            <v>44217</v>
          </cell>
          <cell r="I869" t="str">
            <v>20.01.2021</v>
          </cell>
          <cell r="J869" t="str">
            <v>19.01.2021</v>
          </cell>
          <cell r="K869" t="str">
            <v>-</v>
          </cell>
          <cell r="L869" t="str">
            <v>OK</v>
          </cell>
        </row>
        <row r="870">
          <cell r="A870" t="str">
            <v>AHW-40025I21</v>
          </cell>
          <cell r="B870">
            <v>4000359</v>
          </cell>
          <cell r="C870" t="str">
            <v>Original</v>
          </cell>
          <cell r="D870" t="str">
            <v>CTS</v>
          </cell>
          <cell r="E870" t="str">
            <v>TSA</v>
          </cell>
          <cell r="F870">
            <v>44208</v>
          </cell>
          <cell r="G870">
            <v>44216</v>
          </cell>
          <cell r="H870">
            <v>44218</v>
          </cell>
          <cell r="I870" t="str">
            <v>19.01.2021</v>
          </cell>
          <cell r="J870" t="str">
            <v>19.01.2021</v>
          </cell>
          <cell r="K870" t="str">
            <v>-</v>
          </cell>
          <cell r="L870" t="str">
            <v>OK</v>
          </cell>
        </row>
        <row r="871">
          <cell r="A871" t="str">
            <v>AHW-40058I21</v>
          </cell>
          <cell r="B871">
            <v>4000363</v>
          </cell>
          <cell r="C871" t="str">
            <v>Original</v>
          </cell>
          <cell r="D871" t="str">
            <v>CTS</v>
          </cell>
          <cell r="E871" t="str">
            <v>TSA</v>
          </cell>
          <cell r="F871">
            <v>44208</v>
          </cell>
          <cell r="G871">
            <v>44216</v>
          </cell>
          <cell r="H871">
            <v>44218</v>
          </cell>
          <cell r="I871" t="str">
            <v>19.01.2021</v>
          </cell>
          <cell r="J871" t="str">
            <v>19.01.2021</v>
          </cell>
          <cell r="K871" t="str">
            <v>-</v>
          </cell>
          <cell r="L871" t="str">
            <v>OK</v>
          </cell>
        </row>
        <row r="872">
          <cell r="A872" t="str">
            <v>SHW-45199I20</v>
          </cell>
          <cell r="B872">
            <v>206577525</v>
          </cell>
          <cell r="C872" t="str">
            <v>Original</v>
          </cell>
          <cell r="D872" t="str">
            <v>Maersk</v>
          </cell>
          <cell r="E872" t="str">
            <v>TACT</v>
          </cell>
          <cell r="F872">
            <v>44207</v>
          </cell>
          <cell r="G872">
            <v>44215</v>
          </cell>
          <cell r="H872">
            <v>44217</v>
          </cell>
          <cell r="I872" t="str">
            <v>14.01.2021</v>
          </cell>
          <cell r="J872" t="str">
            <v>13.10.2021</v>
          </cell>
          <cell r="K872" t="str">
            <v>-</v>
          </cell>
          <cell r="L872" t="str">
            <v>OK</v>
          </cell>
        </row>
        <row r="873">
          <cell r="A873" t="str">
            <v>AHW-40024I21</v>
          </cell>
          <cell r="B873">
            <v>80582309</v>
          </cell>
          <cell r="C873" t="str">
            <v>Original</v>
          </cell>
          <cell r="D873" t="str">
            <v>CEVA</v>
          </cell>
          <cell r="E873" t="str">
            <v>Rodoimport</v>
          </cell>
          <cell r="F873">
            <v>44211</v>
          </cell>
          <cell r="G873">
            <v>44219</v>
          </cell>
          <cell r="H873">
            <v>44221</v>
          </cell>
          <cell r="I873" t="str">
            <v>20.01.2021</v>
          </cell>
          <cell r="J873" t="str">
            <v>19.01.2021</v>
          </cell>
          <cell r="K873" t="str">
            <v>-</v>
          </cell>
          <cell r="L873" t="str">
            <v>OK</v>
          </cell>
        </row>
        <row r="874">
          <cell r="A874" t="str">
            <v>AHW-40123I21</v>
          </cell>
          <cell r="B874">
            <v>4000381</v>
          </cell>
          <cell r="C874" t="str">
            <v>Original</v>
          </cell>
          <cell r="D874" t="str">
            <v>CTS</v>
          </cell>
          <cell r="E874" t="str">
            <v>TSA</v>
          </cell>
          <cell r="F874">
            <v>44211</v>
          </cell>
          <cell r="G874">
            <v>44219</v>
          </cell>
          <cell r="H874">
            <v>44221</v>
          </cell>
          <cell r="I874" t="str">
            <v>20.01.2021</v>
          </cell>
          <cell r="J874" t="str">
            <v>19.01.2021</v>
          </cell>
          <cell r="K874" t="str">
            <v>-</v>
          </cell>
          <cell r="L874" t="str">
            <v>OK</v>
          </cell>
        </row>
        <row r="875">
          <cell r="A875" t="str">
            <v>AHW-40084I21</v>
          </cell>
          <cell r="B875">
            <v>4000371</v>
          </cell>
          <cell r="C875" t="str">
            <v>Original</v>
          </cell>
          <cell r="D875" t="str">
            <v>CTS</v>
          </cell>
          <cell r="E875" t="str">
            <v>TSA</v>
          </cell>
          <cell r="F875">
            <v>44215</v>
          </cell>
          <cell r="G875">
            <v>44223</v>
          </cell>
          <cell r="H875">
            <v>44225</v>
          </cell>
          <cell r="I875" t="str">
            <v>20.01.2021</v>
          </cell>
          <cell r="J875" t="str">
            <v>08.02.2021</v>
          </cell>
          <cell r="K875" t="str">
            <v>-</v>
          </cell>
          <cell r="L875" t="str">
            <v>OK</v>
          </cell>
        </row>
        <row r="876">
          <cell r="A876" t="str">
            <v>AHW-40124I21</v>
          </cell>
          <cell r="B876">
            <v>80582341</v>
          </cell>
          <cell r="C876" t="str">
            <v>Original</v>
          </cell>
          <cell r="D876" t="str">
            <v>CEVA</v>
          </cell>
          <cell r="E876" t="str">
            <v>Rodoimport</v>
          </cell>
          <cell r="F876">
            <v>44217</v>
          </cell>
          <cell r="G876">
            <v>44225</v>
          </cell>
          <cell r="H876">
            <v>44227</v>
          </cell>
          <cell r="I876" t="str">
            <v>02.02.2021</v>
          </cell>
          <cell r="J876" t="str">
            <v>08.02.2021</v>
          </cell>
          <cell r="K876" t="str">
            <v>-</v>
          </cell>
          <cell r="L876" t="str">
            <v>OK</v>
          </cell>
        </row>
        <row r="877">
          <cell r="A877" t="str">
            <v>AHW-40141I21</v>
          </cell>
          <cell r="B877">
            <v>4001194</v>
          </cell>
          <cell r="C877" t="str">
            <v>Original</v>
          </cell>
          <cell r="D877" t="str">
            <v>CTS</v>
          </cell>
          <cell r="E877" t="str">
            <v>TSA</v>
          </cell>
          <cell r="F877">
            <v>44218</v>
          </cell>
          <cell r="G877">
            <v>44226</v>
          </cell>
          <cell r="H877">
            <v>44228</v>
          </cell>
          <cell r="I877" t="str">
            <v>02.02.2021</v>
          </cell>
          <cell r="J877" t="str">
            <v>08.02.2021</v>
          </cell>
          <cell r="K877" t="str">
            <v>-</v>
          </cell>
          <cell r="L877" t="str">
            <v>OK</v>
          </cell>
        </row>
        <row r="878">
          <cell r="A878" t="str">
            <v>AHW-40204I21</v>
          </cell>
          <cell r="B878">
            <v>4001214</v>
          </cell>
          <cell r="C878" t="str">
            <v>Original</v>
          </cell>
          <cell r="D878" t="str">
            <v>CTS</v>
          </cell>
          <cell r="E878" t="str">
            <v>TSA</v>
          </cell>
          <cell r="F878">
            <v>44218</v>
          </cell>
          <cell r="G878">
            <v>44226</v>
          </cell>
          <cell r="H878">
            <v>44228</v>
          </cell>
          <cell r="I878" t="str">
            <v>02.02.2021</v>
          </cell>
          <cell r="J878" t="str">
            <v>08.02.2021</v>
          </cell>
          <cell r="K878" t="str">
            <v>-</v>
          </cell>
          <cell r="L878" t="str">
            <v>OK</v>
          </cell>
        </row>
        <row r="879">
          <cell r="A879" t="str">
            <v>AHW-40142I21</v>
          </cell>
          <cell r="B879">
            <v>80582368</v>
          </cell>
          <cell r="C879" t="str">
            <v>Original</v>
          </cell>
          <cell r="D879" t="str">
            <v>CEVA</v>
          </cell>
          <cell r="E879" t="str">
            <v>Rodoimport</v>
          </cell>
          <cell r="F879">
            <v>44221</v>
          </cell>
          <cell r="G879">
            <v>44229</v>
          </cell>
          <cell r="H879">
            <v>44231</v>
          </cell>
          <cell r="I879" t="str">
            <v>02.02.2021</v>
          </cell>
          <cell r="J879" t="str">
            <v>08.02.2021</v>
          </cell>
          <cell r="K879" t="str">
            <v>-</v>
          </cell>
          <cell r="L879" t="str">
            <v>OK</v>
          </cell>
        </row>
        <row r="880">
          <cell r="A880" t="str">
            <v>AHW-40203I21</v>
          </cell>
          <cell r="B880">
            <v>80582387</v>
          </cell>
          <cell r="C880" t="str">
            <v>Original</v>
          </cell>
          <cell r="D880" t="str">
            <v>CEVA</v>
          </cell>
          <cell r="E880" t="str">
            <v>Rodoimport</v>
          </cell>
          <cell r="F880">
            <v>44224</v>
          </cell>
          <cell r="G880">
            <v>44232</v>
          </cell>
          <cell r="H880">
            <v>44234</v>
          </cell>
          <cell r="I880" t="str">
            <v>02.02.2021</v>
          </cell>
          <cell r="J880" t="str">
            <v>08.02.2021</v>
          </cell>
          <cell r="K880" t="str">
            <v>-</v>
          </cell>
          <cell r="L880" t="str">
            <v>OK</v>
          </cell>
        </row>
        <row r="881">
          <cell r="A881" t="str">
            <v>AHW-40220I21</v>
          </cell>
          <cell r="B881">
            <v>80582403</v>
          </cell>
          <cell r="C881" t="str">
            <v>Original</v>
          </cell>
          <cell r="D881" t="str">
            <v>CEVA</v>
          </cell>
          <cell r="E881" t="str">
            <v>Rodoimport</v>
          </cell>
          <cell r="F881">
            <v>44226</v>
          </cell>
          <cell r="G881">
            <v>44234</v>
          </cell>
          <cell r="H881">
            <v>44236</v>
          </cell>
          <cell r="I881" t="str">
            <v>04.02.2021</v>
          </cell>
          <cell r="J881" t="str">
            <v>08.02.2021</v>
          </cell>
          <cell r="K881" t="str">
            <v>-</v>
          </cell>
          <cell r="L881" t="str">
            <v>OK</v>
          </cell>
        </row>
        <row r="882">
          <cell r="A882" t="str">
            <v>AHW-40221I21</v>
          </cell>
          <cell r="B882">
            <v>80582413</v>
          </cell>
          <cell r="C882" t="str">
            <v>Original</v>
          </cell>
          <cell r="D882" t="str">
            <v>CEVA</v>
          </cell>
          <cell r="E882" t="str">
            <v>Rodoimport</v>
          </cell>
          <cell r="F882">
            <v>44226</v>
          </cell>
          <cell r="G882">
            <v>44234</v>
          </cell>
          <cell r="H882">
            <v>44236</v>
          </cell>
          <cell r="I882" t="str">
            <v>04.02.2021</v>
          </cell>
          <cell r="J882" t="str">
            <v>08.02.2021</v>
          </cell>
          <cell r="K882" t="str">
            <v>-</v>
          </cell>
          <cell r="L882" t="str">
            <v>OK</v>
          </cell>
        </row>
        <row r="883">
          <cell r="A883" t="str">
            <v>AHW-40222I21</v>
          </cell>
          <cell r="B883">
            <v>4001220</v>
          </cell>
          <cell r="C883" t="str">
            <v>Original</v>
          </cell>
          <cell r="D883" t="str">
            <v>CTS</v>
          </cell>
          <cell r="E883" t="str">
            <v>TSA</v>
          </cell>
          <cell r="F883">
            <v>44225</v>
          </cell>
          <cell r="G883">
            <v>44233</v>
          </cell>
          <cell r="H883">
            <v>44235</v>
          </cell>
          <cell r="I883" t="str">
            <v>04.02.2021</v>
          </cell>
          <cell r="J883" t="str">
            <v>08.02.2021</v>
          </cell>
          <cell r="K883" t="str">
            <v>-</v>
          </cell>
          <cell r="L883" t="str">
            <v>OK</v>
          </cell>
        </row>
        <row r="884">
          <cell r="A884" t="str">
            <v>AHW-40223I21</v>
          </cell>
          <cell r="B884">
            <v>4001235</v>
          </cell>
          <cell r="C884" t="str">
            <v>Original</v>
          </cell>
          <cell r="D884" t="str">
            <v>CTS</v>
          </cell>
          <cell r="E884" t="str">
            <v>TSA</v>
          </cell>
          <cell r="F884">
            <v>44225</v>
          </cell>
          <cell r="G884">
            <v>44233</v>
          </cell>
          <cell r="H884">
            <v>44235</v>
          </cell>
          <cell r="I884" t="str">
            <v>04.02.2021</v>
          </cell>
          <cell r="J884" t="str">
            <v>08.02.2021</v>
          </cell>
          <cell r="K884" t="str">
            <v>-</v>
          </cell>
          <cell r="L884" t="str">
            <v>OK</v>
          </cell>
        </row>
        <row r="885">
          <cell r="A885" t="str">
            <v>AHW-40272I21</v>
          </cell>
          <cell r="B885">
            <v>4001248</v>
          </cell>
          <cell r="C885" t="str">
            <v>Original</v>
          </cell>
          <cell r="D885" t="str">
            <v>CTS</v>
          </cell>
          <cell r="E885" t="str">
            <v>TSA</v>
          </cell>
          <cell r="F885">
            <v>44225</v>
          </cell>
          <cell r="G885">
            <v>44233</v>
          </cell>
          <cell r="H885">
            <v>44235</v>
          </cell>
          <cell r="I885" t="str">
            <v>04.02.2021</v>
          </cell>
          <cell r="J885" t="str">
            <v>08.02.2021</v>
          </cell>
          <cell r="K885" t="str">
            <v>-</v>
          </cell>
          <cell r="L885" t="str">
            <v>OK</v>
          </cell>
        </row>
        <row r="886">
          <cell r="A886" t="str">
            <v>SHW-45462I20</v>
          </cell>
          <cell r="B886">
            <v>206577625</v>
          </cell>
          <cell r="C886" t="str">
            <v>Original</v>
          </cell>
          <cell r="D886" t="str">
            <v>Maersk</v>
          </cell>
          <cell r="E886" t="str">
            <v>TACT</v>
          </cell>
          <cell r="F886">
            <v>44221</v>
          </cell>
          <cell r="G886">
            <v>44229</v>
          </cell>
          <cell r="H886">
            <v>44231</v>
          </cell>
          <cell r="I886" t="str">
            <v>03.02.2021</v>
          </cell>
          <cell r="J886" t="str">
            <v>02.02.2021</v>
          </cell>
          <cell r="K886" t="str">
            <v>-</v>
          </cell>
          <cell r="L886" t="str">
            <v>OK</v>
          </cell>
        </row>
        <row r="887">
          <cell r="A887" t="str">
            <v>AHW-40302I21</v>
          </cell>
          <cell r="B887">
            <v>4001261</v>
          </cell>
          <cell r="C887" t="str">
            <v>Original</v>
          </cell>
          <cell r="D887" t="str">
            <v>CTS</v>
          </cell>
          <cell r="E887" t="str">
            <v>TSA</v>
          </cell>
          <cell r="F887">
            <v>44232</v>
          </cell>
          <cell r="G887">
            <v>44240</v>
          </cell>
          <cell r="H887">
            <v>44242</v>
          </cell>
          <cell r="I887" t="str">
            <v>10.02.2021</v>
          </cell>
          <cell r="J887" t="str">
            <v>19.02.2021</v>
          </cell>
          <cell r="K887" t="str">
            <v>-</v>
          </cell>
          <cell r="L887" t="str">
            <v>OK</v>
          </cell>
        </row>
        <row r="888">
          <cell r="A888" t="str">
            <v>AHW-40301I21</v>
          </cell>
          <cell r="B888">
            <v>80582470</v>
          </cell>
          <cell r="C888" t="str">
            <v>Original</v>
          </cell>
          <cell r="D888" t="str">
            <v>CEVA</v>
          </cell>
          <cell r="E888" t="str">
            <v>Rodoimport</v>
          </cell>
          <cell r="F888">
            <v>44232</v>
          </cell>
          <cell r="G888">
            <v>44240</v>
          </cell>
          <cell r="H888">
            <v>44242</v>
          </cell>
          <cell r="I888" t="str">
            <v>10.02.2021</v>
          </cell>
          <cell r="J888" t="str">
            <v>19.02.2021</v>
          </cell>
          <cell r="K888" t="str">
            <v>-</v>
          </cell>
          <cell r="L888" t="str">
            <v>OK</v>
          </cell>
        </row>
        <row r="889">
          <cell r="A889" t="str">
            <v>AHW-40303I21</v>
          </cell>
          <cell r="B889">
            <v>4001265</v>
          </cell>
          <cell r="C889" t="str">
            <v>Original</v>
          </cell>
          <cell r="D889" t="str">
            <v>CTS</v>
          </cell>
          <cell r="E889" t="str">
            <v>TSA</v>
          </cell>
          <cell r="F889">
            <v>44232</v>
          </cell>
          <cell r="G889">
            <v>44240</v>
          </cell>
          <cell r="H889">
            <v>44242</v>
          </cell>
          <cell r="I889" t="str">
            <v>10.02.2021</v>
          </cell>
          <cell r="J889" t="str">
            <v>19.02.2021</v>
          </cell>
          <cell r="K889" t="str">
            <v>-</v>
          </cell>
          <cell r="L889" t="str">
            <v>OK</v>
          </cell>
        </row>
        <row r="890">
          <cell r="A890" t="str">
            <v>AHW-40418I21</v>
          </cell>
          <cell r="B890">
            <v>4001293</v>
          </cell>
          <cell r="C890" t="str">
            <v>Original</v>
          </cell>
          <cell r="D890" t="str">
            <v>CTS</v>
          </cell>
          <cell r="E890" t="str">
            <v>TSA</v>
          </cell>
          <cell r="F890">
            <v>44232</v>
          </cell>
          <cell r="G890">
            <v>44240</v>
          </cell>
          <cell r="H890">
            <v>44242</v>
          </cell>
          <cell r="I890" t="str">
            <v>10.02.2021</v>
          </cell>
          <cell r="J890" t="str">
            <v>19.02.2021</v>
          </cell>
          <cell r="K890" t="str">
            <v>-</v>
          </cell>
          <cell r="L890" t="str">
            <v>OK</v>
          </cell>
        </row>
        <row r="891">
          <cell r="A891" t="str">
            <v>AHW-40326I21</v>
          </cell>
          <cell r="B891">
            <v>80582521</v>
          </cell>
          <cell r="C891" t="str">
            <v>Original</v>
          </cell>
          <cell r="D891" t="str">
            <v>CEVA</v>
          </cell>
          <cell r="E891" t="str">
            <v>Rodoimport</v>
          </cell>
          <cell r="F891">
            <v>44239</v>
          </cell>
          <cell r="G891">
            <v>44247</v>
          </cell>
          <cell r="H891">
            <v>44249</v>
          </cell>
          <cell r="I891" t="str">
            <v>19.02.2021</v>
          </cell>
          <cell r="J891" t="str">
            <v>19.02.2021</v>
          </cell>
          <cell r="K891" t="str">
            <v>-</v>
          </cell>
          <cell r="L891" t="str">
            <v>OK</v>
          </cell>
        </row>
        <row r="892">
          <cell r="A892" t="str">
            <v>AHW-40452I21</v>
          </cell>
          <cell r="B892">
            <v>4001325</v>
          </cell>
          <cell r="C892" t="str">
            <v>Original</v>
          </cell>
          <cell r="D892" t="str">
            <v>CTS</v>
          </cell>
          <cell r="E892" t="str">
            <v>TSA</v>
          </cell>
          <cell r="F892">
            <v>44239</v>
          </cell>
          <cell r="G892">
            <v>44247</v>
          </cell>
          <cell r="H892">
            <v>44249</v>
          </cell>
          <cell r="I892" t="str">
            <v>19.02.2021</v>
          </cell>
          <cell r="J892" t="str">
            <v>19.02.2021</v>
          </cell>
          <cell r="K892" t="str">
            <v>-</v>
          </cell>
          <cell r="L892" t="str">
            <v>OK</v>
          </cell>
        </row>
        <row r="893">
          <cell r="A893" t="str">
            <v>AHW-40417I21</v>
          </cell>
          <cell r="B893">
            <v>80582530</v>
          </cell>
          <cell r="C893" t="str">
            <v>Original</v>
          </cell>
          <cell r="D893" t="str">
            <v>CEVA</v>
          </cell>
          <cell r="E893" t="str">
            <v>Rodoimport</v>
          </cell>
          <cell r="F893">
            <v>44245</v>
          </cell>
          <cell r="G893">
            <v>44253</v>
          </cell>
          <cell r="H893">
            <v>44255</v>
          </cell>
          <cell r="I893" t="str">
            <v>23.02.2021</v>
          </cell>
          <cell r="J893" t="str">
            <v>10.03.2021</v>
          </cell>
          <cell r="K893" t="str">
            <v>-</v>
          </cell>
          <cell r="L893" t="str">
            <v>OK</v>
          </cell>
        </row>
        <row r="894">
          <cell r="A894" t="str">
            <v>SHW-40088I21</v>
          </cell>
          <cell r="B894">
            <v>911723926</v>
          </cell>
          <cell r="C894" t="str">
            <v>Original</v>
          </cell>
          <cell r="D894" t="str">
            <v>Shenker</v>
          </cell>
          <cell r="E894" t="str">
            <v>TACT</v>
          </cell>
          <cell r="F894">
            <v>44246</v>
          </cell>
          <cell r="G894">
            <v>44254</v>
          </cell>
          <cell r="H894">
            <v>44256</v>
          </cell>
          <cell r="I894" t="str">
            <v>22.02.2021</v>
          </cell>
          <cell r="J894" t="str">
            <v>23.02.2021</v>
          </cell>
          <cell r="K894" t="str">
            <v>-</v>
          </cell>
          <cell r="L894" t="str">
            <v>OK</v>
          </cell>
        </row>
        <row r="895">
          <cell r="A895" t="str">
            <v>SHW-40125I21</v>
          </cell>
          <cell r="B895">
            <v>207907192</v>
          </cell>
          <cell r="C895" t="str">
            <v>Original</v>
          </cell>
          <cell r="D895" t="str">
            <v>Shenker</v>
          </cell>
          <cell r="E895" t="str">
            <v>TACT</v>
          </cell>
          <cell r="F895">
            <v>44246</v>
          </cell>
          <cell r="G895">
            <v>44254</v>
          </cell>
          <cell r="H895">
            <v>44256</v>
          </cell>
          <cell r="I895" t="str">
            <v>22.02.2021</v>
          </cell>
          <cell r="J895" t="str">
            <v>23.02.2021</v>
          </cell>
          <cell r="K895" t="str">
            <v>-</v>
          </cell>
          <cell r="L895" t="str">
            <v>OK</v>
          </cell>
        </row>
        <row r="896">
          <cell r="A896" t="str">
            <v>AHW-40495I21</v>
          </cell>
          <cell r="B896">
            <v>4001354</v>
          </cell>
          <cell r="C896" t="str">
            <v>Brasiliense</v>
          </cell>
          <cell r="D896" t="str">
            <v>CTS</v>
          </cell>
          <cell r="E896" t="str">
            <v>TSA</v>
          </cell>
          <cell r="F896">
            <v>44249</v>
          </cell>
          <cell r="G896">
            <v>44257</v>
          </cell>
          <cell r="H896">
            <v>44259</v>
          </cell>
          <cell r="I896" t="str">
            <v>02.03.2021</v>
          </cell>
          <cell r="J896" t="str">
            <v>10.03.2021</v>
          </cell>
          <cell r="K896" t="str">
            <v>-</v>
          </cell>
          <cell r="L896" t="str">
            <v>OK</v>
          </cell>
        </row>
        <row r="897">
          <cell r="A897" t="str">
            <v>AHW-40562I21</v>
          </cell>
          <cell r="B897">
            <v>4001367</v>
          </cell>
          <cell r="C897" t="str">
            <v>Brasiliense</v>
          </cell>
          <cell r="D897" t="str">
            <v>CTS</v>
          </cell>
          <cell r="E897" t="str">
            <v>TSA</v>
          </cell>
          <cell r="F897">
            <v>44249</v>
          </cell>
          <cell r="G897">
            <v>44257</v>
          </cell>
          <cell r="H897">
            <v>44259</v>
          </cell>
          <cell r="I897" t="str">
            <v>02.03.2021</v>
          </cell>
          <cell r="J897" t="str">
            <v>10.03.2021</v>
          </cell>
          <cell r="K897" t="str">
            <v>-</v>
          </cell>
          <cell r="L897" t="str">
            <v>OK</v>
          </cell>
        </row>
        <row r="898">
          <cell r="A898" t="str">
            <v>AHW-40571I21</v>
          </cell>
          <cell r="B898">
            <v>4001366</v>
          </cell>
          <cell r="C898" t="str">
            <v>Brasiliense</v>
          </cell>
          <cell r="D898" t="str">
            <v>CTS</v>
          </cell>
          <cell r="E898" t="str">
            <v>TSA</v>
          </cell>
          <cell r="F898">
            <v>44249</v>
          </cell>
          <cell r="G898">
            <v>44257</v>
          </cell>
          <cell r="H898">
            <v>44259</v>
          </cell>
          <cell r="I898" t="str">
            <v>02.03.2021</v>
          </cell>
          <cell r="J898" t="str">
            <v>10.03.2021</v>
          </cell>
          <cell r="K898" t="str">
            <v>-</v>
          </cell>
          <cell r="L898" t="str">
            <v>OK</v>
          </cell>
        </row>
        <row r="899">
          <cell r="A899" t="str">
            <v>AHW-40451I21</v>
          </cell>
          <cell r="B899">
            <v>80582566</v>
          </cell>
          <cell r="C899" t="str">
            <v>Original</v>
          </cell>
          <cell r="D899" t="str">
            <v>CEVA</v>
          </cell>
          <cell r="E899" t="str">
            <v>Rodoimport</v>
          </cell>
          <cell r="F899">
            <v>44250</v>
          </cell>
          <cell r="G899">
            <v>44258</v>
          </cell>
          <cell r="H899">
            <v>44260</v>
          </cell>
          <cell r="I899" t="str">
            <v>03.03.2021</v>
          </cell>
          <cell r="J899" t="str">
            <v>10.03.2021</v>
          </cell>
          <cell r="K899" t="str">
            <v>-</v>
          </cell>
          <cell r="L899" t="str">
            <v>OK</v>
          </cell>
        </row>
        <row r="900">
          <cell r="A900" t="str">
            <v>AHW-40491I21</v>
          </cell>
          <cell r="B900">
            <v>80582610</v>
          </cell>
          <cell r="C900" t="str">
            <v>Original</v>
          </cell>
          <cell r="D900" t="str">
            <v>CEVA</v>
          </cell>
          <cell r="E900" t="str">
            <v>Rodoimport</v>
          </cell>
          <cell r="F900">
            <v>44251</v>
          </cell>
          <cell r="G900">
            <v>44259</v>
          </cell>
          <cell r="H900">
            <v>44261</v>
          </cell>
          <cell r="I900" t="str">
            <v>05.03.2021</v>
          </cell>
          <cell r="J900" t="str">
            <v>10.03.2021</v>
          </cell>
          <cell r="K900" t="str">
            <v>-</v>
          </cell>
          <cell r="L900" t="str">
            <v>OK</v>
          </cell>
        </row>
        <row r="901">
          <cell r="A901" t="str">
            <v>AHW-40493I21</v>
          </cell>
          <cell r="B901">
            <v>80582619</v>
          </cell>
          <cell r="C901" t="str">
            <v>Original</v>
          </cell>
          <cell r="D901" t="str">
            <v>CEVA</v>
          </cell>
          <cell r="E901" t="str">
            <v>Rodoimport</v>
          </cell>
          <cell r="F901">
            <v>44251</v>
          </cell>
          <cell r="G901">
            <v>44259</v>
          </cell>
          <cell r="H901">
            <v>44261</v>
          </cell>
          <cell r="I901" t="str">
            <v>05.03.2021</v>
          </cell>
          <cell r="J901" t="str">
            <v>10.03.2021</v>
          </cell>
          <cell r="K901" t="str">
            <v>-</v>
          </cell>
          <cell r="L901" t="str">
            <v>OK</v>
          </cell>
        </row>
        <row r="902">
          <cell r="A902" t="str">
            <v>AHW-40494I21</v>
          </cell>
          <cell r="B902">
            <v>80582622</v>
          </cell>
          <cell r="C902" t="str">
            <v>Original</v>
          </cell>
          <cell r="D902" t="str">
            <v>CEVA</v>
          </cell>
          <cell r="E902" t="str">
            <v>Rodoimport</v>
          </cell>
          <cell r="F902">
            <v>44251</v>
          </cell>
          <cell r="G902">
            <v>44259</v>
          </cell>
          <cell r="H902">
            <v>44261</v>
          </cell>
          <cell r="I902" t="str">
            <v>08.03.2021</v>
          </cell>
          <cell r="J902" t="str">
            <v>10.03.2021</v>
          </cell>
          <cell r="K902" t="str">
            <v>-</v>
          </cell>
          <cell r="L902" t="str">
            <v>OK</v>
          </cell>
        </row>
        <row r="903">
          <cell r="A903" t="str">
            <v>AHW-40453I21</v>
          </cell>
          <cell r="B903">
            <v>80582591</v>
          </cell>
          <cell r="C903" t="str">
            <v>Original</v>
          </cell>
          <cell r="D903" t="str">
            <v>CEVA</v>
          </cell>
          <cell r="E903" t="str">
            <v>Rodoimport</v>
          </cell>
          <cell r="F903">
            <v>44253</v>
          </cell>
          <cell r="G903">
            <v>44261</v>
          </cell>
          <cell r="H903">
            <v>44263</v>
          </cell>
          <cell r="I903" t="str">
            <v>03.03.2021</v>
          </cell>
          <cell r="J903" t="str">
            <v>10.03.2021</v>
          </cell>
          <cell r="K903" t="str">
            <v>-</v>
          </cell>
          <cell r="L903" t="str">
            <v>OK</v>
          </cell>
        </row>
        <row r="904">
          <cell r="A904" t="str">
            <v>AHW-40530I21</v>
          </cell>
          <cell r="B904">
            <v>80582631</v>
          </cell>
          <cell r="C904" t="str">
            <v>Original</v>
          </cell>
          <cell r="D904" t="str">
            <v>CEVA</v>
          </cell>
          <cell r="E904" t="str">
            <v>Rodoimport</v>
          </cell>
          <cell r="F904">
            <v>44253</v>
          </cell>
          <cell r="G904">
            <v>44261</v>
          </cell>
          <cell r="H904">
            <v>44263</v>
          </cell>
          <cell r="I904" t="str">
            <v>04.03.2021</v>
          </cell>
          <cell r="J904" t="str">
            <v>10.03.2021</v>
          </cell>
          <cell r="K904" t="str">
            <v>-</v>
          </cell>
          <cell r="L904" t="str">
            <v>OK</v>
          </cell>
        </row>
        <row r="905">
          <cell r="A905" t="str">
            <v>AHW-40561I21</v>
          </cell>
          <cell r="B905">
            <v>80582641</v>
          </cell>
          <cell r="C905" t="str">
            <v>Original</v>
          </cell>
          <cell r="D905" t="str">
            <v>CEVA</v>
          </cell>
          <cell r="E905" t="str">
            <v>Rodoimport</v>
          </cell>
          <cell r="F905">
            <v>44253</v>
          </cell>
          <cell r="G905">
            <v>44261</v>
          </cell>
          <cell r="H905">
            <v>44263</v>
          </cell>
          <cell r="I905" t="str">
            <v>03.03.2021</v>
          </cell>
          <cell r="J905" t="str">
            <v>10.03.2021</v>
          </cell>
          <cell r="K905" t="str">
            <v>-</v>
          </cell>
          <cell r="L905" t="str">
            <v>OK</v>
          </cell>
        </row>
        <row r="906">
          <cell r="A906" t="str">
            <v>AHW-40492I21</v>
          </cell>
          <cell r="B906">
            <v>80582603</v>
          </cell>
          <cell r="C906" t="str">
            <v>Original</v>
          </cell>
          <cell r="D906" t="str">
            <v>CEVA</v>
          </cell>
          <cell r="E906" t="str">
            <v>Rodoimport</v>
          </cell>
          <cell r="F906">
            <v>44256</v>
          </cell>
          <cell r="G906">
            <v>44264</v>
          </cell>
          <cell r="H906">
            <v>44266</v>
          </cell>
          <cell r="I906" t="str">
            <v>05.03.2021</v>
          </cell>
          <cell r="J906" t="str">
            <v>29.03.2021</v>
          </cell>
          <cell r="K906" t="str">
            <v>-</v>
          </cell>
          <cell r="L906" t="str">
            <v>OK</v>
          </cell>
        </row>
        <row r="907">
          <cell r="A907" t="str">
            <v>AHW-40616I21</v>
          </cell>
          <cell r="B907">
            <v>80582651</v>
          </cell>
          <cell r="C907" t="str">
            <v>Original</v>
          </cell>
          <cell r="D907" t="str">
            <v>CEVA</v>
          </cell>
          <cell r="E907" t="str">
            <v>Rodoimport</v>
          </cell>
          <cell r="F907">
            <v>44258</v>
          </cell>
          <cell r="G907">
            <v>44266</v>
          </cell>
          <cell r="H907">
            <v>44268</v>
          </cell>
          <cell r="I907" t="str">
            <v>08.03.2021</v>
          </cell>
          <cell r="J907" t="str">
            <v>29.03.2021</v>
          </cell>
          <cell r="K907" t="str">
            <v>-</v>
          </cell>
          <cell r="L907" t="str">
            <v>OK</v>
          </cell>
        </row>
        <row r="908">
          <cell r="A908" t="str">
            <v>AHW-40617I21</v>
          </cell>
          <cell r="B908">
            <v>80582652</v>
          </cell>
          <cell r="C908" t="str">
            <v>Original</v>
          </cell>
          <cell r="D908" t="str">
            <v>CEVA</v>
          </cell>
          <cell r="E908" t="str">
            <v>Rodoimport</v>
          </cell>
          <cell r="F908">
            <v>44258</v>
          </cell>
          <cell r="G908">
            <v>44266</v>
          </cell>
          <cell r="H908">
            <v>44268</v>
          </cell>
          <cell r="I908" t="str">
            <v>08.03.2021</v>
          </cell>
          <cell r="J908" t="str">
            <v>29.03.2021</v>
          </cell>
          <cell r="K908" t="str">
            <v>-</v>
          </cell>
          <cell r="L908" t="str">
            <v>OK</v>
          </cell>
        </row>
        <row r="909">
          <cell r="A909" t="str">
            <v>AHW-40621I21</v>
          </cell>
          <cell r="B909">
            <v>80582659</v>
          </cell>
          <cell r="C909" t="str">
            <v>Original</v>
          </cell>
          <cell r="D909" t="str">
            <v>CEVA</v>
          </cell>
          <cell r="E909" t="str">
            <v>Rodoimport</v>
          </cell>
          <cell r="F909">
            <v>44258</v>
          </cell>
          <cell r="G909">
            <v>44266</v>
          </cell>
          <cell r="H909">
            <v>44268</v>
          </cell>
          <cell r="I909" t="str">
            <v>08.03.2021</v>
          </cell>
          <cell r="J909" t="str">
            <v>29.03.2021</v>
          </cell>
          <cell r="K909" t="str">
            <v>-</v>
          </cell>
          <cell r="L909" t="str">
            <v>OK</v>
          </cell>
        </row>
        <row r="910">
          <cell r="A910" t="str">
            <v>AHW-40628I21</v>
          </cell>
          <cell r="B910">
            <v>80582674</v>
          </cell>
          <cell r="C910" t="str">
            <v>Original</v>
          </cell>
          <cell r="D910" t="str">
            <v>CEVA</v>
          </cell>
          <cell r="E910" t="str">
            <v>Rodoimport</v>
          </cell>
          <cell r="F910">
            <v>44263</v>
          </cell>
          <cell r="G910">
            <v>44271</v>
          </cell>
          <cell r="H910">
            <v>44273</v>
          </cell>
          <cell r="I910" t="str">
            <v>10.03.2021</v>
          </cell>
          <cell r="J910" t="str">
            <v>29.03.2021</v>
          </cell>
          <cell r="K910" t="str">
            <v>-</v>
          </cell>
          <cell r="L910" t="str">
            <v>OK</v>
          </cell>
        </row>
        <row r="911">
          <cell r="A911" t="str">
            <v>AHW-40672I21</v>
          </cell>
          <cell r="B911">
            <v>4001389</v>
          </cell>
          <cell r="C911" t="str">
            <v>Original</v>
          </cell>
          <cell r="D911" t="str">
            <v>CTS</v>
          </cell>
          <cell r="E911" t="str">
            <v>TSA</v>
          </cell>
          <cell r="F911">
            <v>44263</v>
          </cell>
          <cell r="G911">
            <v>44271</v>
          </cell>
          <cell r="H911">
            <v>44273</v>
          </cell>
          <cell r="I911" t="str">
            <v>12.03.2021</v>
          </cell>
          <cell r="J911" t="str">
            <v>29.03.2021</v>
          </cell>
          <cell r="K911" t="str">
            <v>-</v>
          </cell>
          <cell r="L911" t="str">
            <v>OK</v>
          </cell>
        </row>
        <row r="912">
          <cell r="A912" t="str">
            <v>AHW-40688I21</v>
          </cell>
          <cell r="B912">
            <v>4001907</v>
          </cell>
          <cell r="C912" t="str">
            <v>Original</v>
          </cell>
          <cell r="D912" t="str">
            <v>CTS</v>
          </cell>
          <cell r="E912" t="str">
            <v>TSA</v>
          </cell>
          <cell r="F912">
            <v>44263</v>
          </cell>
          <cell r="G912">
            <v>44271</v>
          </cell>
          <cell r="H912">
            <v>44273</v>
          </cell>
          <cell r="I912" t="str">
            <v>12.03.2021</v>
          </cell>
          <cell r="J912" t="str">
            <v>29.03.2021</v>
          </cell>
          <cell r="K912" t="str">
            <v>-</v>
          </cell>
          <cell r="L912" t="str">
            <v>OK</v>
          </cell>
        </row>
        <row r="913">
          <cell r="A913" t="str">
            <v>AHW-40709I21</v>
          </cell>
          <cell r="B913">
            <v>4001913</v>
          </cell>
          <cell r="C913" t="str">
            <v>Original</v>
          </cell>
          <cell r="D913" t="str">
            <v>CTS</v>
          </cell>
          <cell r="E913" t="str">
            <v>TSA</v>
          </cell>
          <cell r="F913">
            <v>44263</v>
          </cell>
          <cell r="G913">
            <v>44271</v>
          </cell>
          <cell r="H913">
            <v>44273</v>
          </cell>
          <cell r="I913" t="str">
            <v>10.03.2021</v>
          </cell>
          <cell r="J913" t="str">
            <v>29.03.2021</v>
          </cell>
          <cell r="K913" t="str">
            <v>-</v>
          </cell>
          <cell r="L913" t="str">
            <v>OK</v>
          </cell>
        </row>
        <row r="914">
          <cell r="A914" t="str">
            <v>AHW-40710I21</v>
          </cell>
          <cell r="B914">
            <v>4001910</v>
          </cell>
          <cell r="C914" t="str">
            <v>Original</v>
          </cell>
          <cell r="D914" t="str">
            <v>CTS</v>
          </cell>
          <cell r="E914" t="str">
            <v>TSA</v>
          </cell>
          <cell r="F914">
            <v>44263</v>
          </cell>
          <cell r="G914">
            <v>44271</v>
          </cell>
          <cell r="H914">
            <v>44273</v>
          </cell>
          <cell r="I914" t="str">
            <v>10.03.2021</v>
          </cell>
          <cell r="J914" t="str">
            <v>29.03.2021</v>
          </cell>
          <cell r="K914" t="str">
            <v>-</v>
          </cell>
          <cell r="L914" t="str">
            <v>OK</v>
          </cell>
        </row>
        <row r="915">
          <cell r="A915" t="str">
            <v>AHW-40711I21</v>
          </cell>
          <cell r="B915">
            <v>4001911</v>
          </cell>
          <cell r="C915" t="str">
            <v>Original</v>
          </cell>
          <cell r="D915" t="str">
            <v>CTS</v>
          </cell>
          <cell r="E915" t="str">
            <v>TSA</v>
          </cell>
          <cell r="F915">
            <v>44263</v>
          </cell>
          <cell r="G915">
            <v>44271</v>
          </cell>
          <cell r="H915">
            <v>44273</v>
          </cell>
          <cell r="I915" t="str">
            <v>10.03.2021</v>
          </cell>
          <cell r="J915" t="str">
            <v>29.03.2021</v>
          </cell>
          <cell r="K915" t="str">
            <v>-</v>
          </cell>
          <cell r="L915" t="str">
            <v>OK</v>
          </cell>
        </row>
        <row r="916">
          <cell r="A916" t="str">
            <v>AHW-40712I21</v>
          </cell>
          <cell r="B916">
            <v>4001916</v>
          </cell>
          <cell r="C916" t="str">
            <v>Original</v>
          </cell>
          <cell r="D916" t="str">
            <v>CTS</v>
          </cell>
          <cell r="E916" t="str">
            <v>TSA</v>
          </cell>
          <cell r="F916">
            <v>44263</v>
          </cell>
          <cell r="G916">
            <v>44271</v>
          </cell>
          <cell r="H916">
            <v>44273</v>
          </cell>
          <cell r="I916" t="str">
            <v>10.03.2021</v>
          </cell>
          <cell r="J916" t="str">
            <v>29.03.2021</v>
          </cell>
          <cell r="K916" t="str">
            <v>-</v>
          </cell>
          <cell r="L916" t="str">
            <v>OK</v>
          </cell>
        </row>
        <row r="917">
          <cell r="A917" t="str">
            <v>AHW-40719I21</v>
          </cell>
          <cell r="B917">
            <v>4001920</v>
          </cell>
          <cell r="C917" t="str">
            <v>Original</v>
          </cell>
          <cell r="D917" t="str">
            <v>CTS</v>
          </cell>
          <cell r="E917" t="str">
            <v>TSA</v>
          </cell>
          <cell r="F917">
            <v>44263</v>
          </cell>
          <cell r="G917">
            <v>44271</v>
          </cell>
          <cell r="H917">
            <v>44273</v>
          </cell>
          <cell r="I917" t="str">
            <v>10.03.2021</v>
          </cell>
          <cell r="J917" t="str">
            <v>29.03.2021</v>
          </cell>
          <cell r="K917" t="str">
            <v>-</v>
          </cell>
          <cell r="L917" t="str">
            <v>OK</v>
          </cell>
        </row>
        <row r="918">
          <cell r="A918" t="str">
            <v>AHW-40720I21</v>
          </cell>
          <cell r="B918">
            <v>4001921</v>
          </cell>
          <cell r="C918" t="str">
            <v>Original</v>
          </cell>
          <cell r="D918" t="str">
            <v>CTS</v>
          </cell>
          <cell r="E918" t="str">
            <v>TSA</v>
          </cell>
          <cell r="F918">
            <v>44263</v>
          </cell>
          <cell r="G918">
            <v>44271</v>
          </cell>
          <cell r="H918">
            <v>44273</v>
          </cell>
          <cell r="I918" t="str">
            <v>10.03.2021</v>
          </cell>
          <cell r="J918" t="str">
            <v>29.03.2021</v>
          </cell>
          <cell r="K918" t="str">
            <v>-</v>
          </cell>
          <cell r="L918" t="str">
            <v>OK</v>
          </cell>
        </row>
        <row r="919">
          <cell r="A919" t="str">
            <v>AHW-40721I21</v>
          </cell>
          <cell r="B919">
            <v>4001922</v>
          </cell>
          <cell r="C919" t="str">
            <v>Original</v>
          </cell>
          <cell r="D919" t="str">
            <v>CTS</v>
          </cell>
          <cell r="E919" t="str">
            <v>TSA</v>
          </cell>
          <cell r="F919">
            <v>44263</v>
          </cell>
          <cell r="G919">
            <v>44271</v>
          </cell>
          <cell r="H919">
            <v>44273</v>
          </cell>
          <cell r="I919" t="str">
            <v>10.03.2021</v>
          </cell>
          <cell r="J919" t="str">
            <v>29.03.2021</v>
          </cell>
          <cell r="K919" t="str">
            <v>-</v>
          </cell>
          <cell r="L919" t="str">
            <v>OK</v>
          </cell>
        </row>
        <row r="920">
          <cell r="A920" t="str">
            <v>AHW-40669I21</v>
          </cell>
          <cell r="B920">
            <v>80582687</v>
          </cell>
          <cell r="C920" t="str">
            <v>Original</v>
          </cell>
          <cell r="D920" t="str">
            <v>CEVA</v>
          </cell>
          <cell r="E920" t="str">
            <v>Rodoimport</v>
          </cell>
          <cell r="F920">
            <v>44264</v>
          </cell>
          <cell r="G920">
            <v>44272</v>
          </cell>
          <cell r="H920">
            <v>44274</v>
          </cell>
          <cell r="I920" t="str">
            <v>12.03.2021</v>
          </cell>
          <cell r="J920" t="str">
            <v>29.03.2021</v>
          </cell>
          <cell r="K920" t="str">
            <v>-</v>
          </cell>
          <cell r="L920" t="str">
            <v>OK</v>
          </cell>
        </row>
        <row r="921">
          <cell r="A921" t="str">
            <v>AHW-40725I21</v>
          </cell>
          <cell r="B921">
            <v>4001931</v>
          </cell>
          <cell r="C921" t="str">
            <v>Original</v>
          </cell>
          <cell r="D921" t="str">
            <v>CTS</v>
          </cell>
          <cell r="E921" t="str">
            <v>TSA</v>
          </cell>
          <cell r="F921">
            <v>44264</v>
          </cell>
          <cell r="G921">
            <v>44272</v>
          </cell>
          <cell r="H921">
            <v>44274</v>
          </cell>
          <cell r="I921" t="str">
            <v>12.03.2021</v>
          </cell>
          <cell r="J921" t="str">
            <v>29.03.2021</v>
          </cell>
          <cell r="K921" t="str">
            <v>-</v>
          </cell>
          <cell r="L921" t="str">
            <v>OK</v>
          </cell>
        </row>
        <row r="922">
          <cell r="A922" t="str">
            <v>AHW-40726I21</v>
          </cell>
          <cell r="B922">
            <v>4001940</v>
          </cell>
          <cell r="C922" t="str">
            <v>Original</v>
          </cell>
          <cell r="D922" t="str">
            <v>CTS</v>
          </cell>
          <cell r="E922" t="str">
            <v>TSA</v>
          </cell>
          <cell r="F922">
            <v>44264</v>
          </cell>
          <cell r="G922">
            <v>44272</v>
          </cell>
          <cell r="H922">
            <v>44274</v>
          </cell>
          <cell r="I922" t="str">
            <v>12.03.2021</v>
          </cell>
          <cell r="J922" t="str">
            <v>29.03.2021</v>
          </cell>
          <cell r="K922" t="str">
            <v>-</v>
          </cell>
          <cell r="L922" t="str">
            <v>OK</v>
          </cell>
        </row>
        <row r="923">
          <cell r="A923" t="str">
            <v>AHW-40754I21</v>
          </cell>
          <cell r="B923">
            <v>4001945</v>
          </cell>
          <cell r="C923" t="str">
            <v>Original</v>
          </cell>
          <cell r="D923" t="str">
            <v>CTS</v>
          </cell>
          <cell r="E923" t="str">
            <v>TSA</v>
          </cell>
          <cell r="F923">
            <v>44264</v>
          </cell>
          <cell r="G923">
            <v>44272</v>
          </cell>
          <cell r="H923">
            <v>44274</v>
          </cell>
          <cell r="I923" t="str">
            <v>12.03.2021</v>
          </cell>
          <cell r="J923" t="str">
            <v>29.03.2021</v>
          </cell>
          <cell r="K923" t="str">
            <v>-</v>
          </cell>
          <cell r="L923" t="str">
            <v>OK</v>
          </cell>
        </row>
        <row r="924">
          <cell r="A924" t="str">
            <v>SHW-40178I21</v>
          </cell>
          <cell r="B924">
            <v>207932665</v>
          </cell>
          <cell r="C924" t="str">
            <v>Original</v>
          </cell>
          <cell r="D924" t="str">
            <v>Shenker</v>
          </cell>
          <cell r="E924" t="str">
            <v>TACT</v>
          </cell>
          <cell r="F924">
            <v>44264</v>
          </cell>
          <cell r="G924">
            <v>44272</v>
          </cell>
          <cell r="H924">
            <v>44274</v>
          </cell>
          <cell r="I924" t="str">
            <v>12.03.2021</v>
          </cell>
          <cell r="J924" t="str">
            <v>10.03.2021</v>
          </cell>
          <cell r="K924" t="str">
            <v>-</v>
          </cell>
          <cell r="L924" t="str">
            <v>OK</v>
          </cell>
        </row>
        <row r="925">
          <cell r="A925" t="str">
            <v>SHW-40209I21</v>
          </cell>
          <cell r="B925">
            <v>207903944</v>
          </cell>
          <cell r="C925" t="str">
            <v>Original</v>
          </cell>
          <cell r="D925" t="str">
            <v>Shenker</v>
          </cell>
          <cell r="E925" t="str">
            <v>TACT</v>
          </cell>
          <cell r="F925">
            <v>44264</v>
          </cell>
          <cell r="G925">
            <v>44272</v>
          </cell>
          <cell r="H925">
            <v>44274</v>
          </cell>
          <cell r="I925" t="str">
            <v>12.03.2021</v>
          </cell>
          <cell r="J925" t="str">
            <v>10.03.2021</v>
          </cell>
          <cell r="K925" t="str">
            <v>-</v>
          </cell>
          <cell r="L925" t="str">
            <v>OK</v>
          </cell>
        </row>
        <row r="926">
          <cell r="A926" t="str">
            <v>SHW-40179I21</v>
          </cell>
          <cell r="B926">
            <v>911687479</v>
          </cell>
          <cell r="C926" t="str">
            <v>Original</v>
          </cell>
          <cell r="D926" t="str">
            <v>Shenker</v>
          </cell>
          <cell r="E926" t="str">
            <v>TACT</v>
          </cell>
          <cell r="F926">
            <v>44265</v>
          </cell>
          <cell r="G926">
            <v>44273</v>
          </cell>
          <cell r="H926">
            <v>44275</v>
          </cell>
          <cell r="I926" t="str">
            <v>16.03.2021</v>
          </cell>
          <cell r="J926" t="str">
            <v>11.03.2021</v>
          </cell>
          <cell r="K926" t="str">
            <v>-</v>
          </cell>
          <cell r="L926" t="str">
            <v>OK</v>
          </cell>
        </row>
        <row r="927">
          <cell r="A927" t="str">
            <v>SHW-40224I21</v>
          </cell>
          <cell r="B927">
            <v>911717382</v>
          </cell>
          <cell r="C927" t="str">
            <v>Original</v>
          </cell>
          <cell r="D927" t="str">
            <v>Shenker</v>
          </cell>
          <cell r="E927" t="str">
            <v>TACT</v>
          </cell>
          <cell r="F927">
            <v>44267</v>
          </cell>
          <cell r="G927">
            <v>44275</v>
          </cell>
          <cell r="H927">
            <v>44277</v>
          </cell>
          <cell r="I927" t="str">
            <v>16.03.2021</v>
          </cell>
          <cell r="J927" t="str">
            <v>16.03.2021</v>
          </cell>
          <cell r="K927" t="str">
            <v>-</v>
          </cell>
          <cell r="L927" t="str">
            <v>OK</v>
          </cell>
        </row>
        <row r="928">
          <cell r="A928" t="str">
            <v>AHW-41030I21</v>
          </cell>
          <cell r="B928">
            <v>4148268294</v>
          </cell>
          <cell r="C928" t="str">
            <v>Original</v>
          </cell>
          <cell r="D928" t="str">
            <v>CEVA</v>
          </cell>
          <cell r="E928" t="str">
            <v>Rodoimport</v>
          </cell>
          <cell r="F928">
            <v>44273</v>
          </cell>
          <cell r="G928">
            <v>44281</v>
          </cell>
          <cell r="H928">
            <v>44283</v>
          </cell>
          <cell r="I928" t="str">
            <v>23.03.2021</v>
          </cell>
          <cell r="J928" t="str">
            <v>13.04.2021</v>
          </cell>
          <cell r="K928" t="str">
            <v>-</v>
          </cell>
          <cell r="L928" t="str">
            <v>OK</v>
          </cell>
        </row>
        <row r="929">
          <cell r="A929" t="str">
            <v>AHW-40756I21</v>
          </cell>
          <cell r="B929">
            <v>4001875</v>
          </cell>
          <cell r="C929" t="str">
            <v>Original</v>
          </cell>
          <cell r="D929" t="str">
            <v>CTS</v>
          </cell>
          <cell r="E929" t="str">
            <v>TSA</v>
          </cell>
          <cell r="F929">
            <v>44274</v>
          </cell>
          <cell r="G929">
            <v>44282</v>
          </cell>
          <cell r="H929">
            <v>44284</v>
          </cell>
          <cell r="I929" t="str">
            <v>23.03.2021</v>
          </cell>
          <cell r="J929" t="str">
            <v>13.04.2021</v>
          </cell>
          <cell r="K929" t="str">
            <v>-</v>
          </cell>
          <cell r="L929" t="str">
            <v>OK</v>
          </cell>
        </row>
        <row r="930">
          <cell r="A930" t="str">
            <v>AHW-40846I21</v>
          </cell>
          <cell r="B930">
            <v>4001678</v>
          </cell>
          <cell r="C930" t="str">
            <v>Original</v>
          </cell>
          <cell r="D930" t="str">
            <v>CTS</v>
          </cell>
          <cell r="E930" t="str">
            <v>TSA</v>
          </cell>
          <cell r="F930">
            <v>44274</v>
          </cell>
          <cell r="G930">
            <v>44282</v>
          </cell>
          <cell r="H930">
            <v>44284</v>
          </cell>
          <cell r="I930" t="str">
            <v>23.03.2021</v>
          </cell>
          <cell r="J930" t="str">
            <v>13.04.2021</v>
          </cell>
          <cell r="K930" t="str">
            <v>-</v>
          </cell>
          <cell r="L930" t="str">
            <v>OK</v>
          </cell>
        </row>
        <row r="931">
          <cell r="A931" t="str">
            <v>AHW-40667I21</v>
          </cell>
          <cell r="B931">
            <v>4001387</v>
          </cell>
          <cell r="C931" t="str">
            <v>Original</v>
          </cell>
          <cell r="D931" t="str">
            <v>CTS</v>
          </cell>
          <cell r="E931" t="str">
            <v>TSA</v>
          </cell>
          <cell r="F931">
            <v>44278</v>
          </cell>
          <cell r="G931">
            <v>44286</v>
          </cell>
          <cell r="H931">
            <v>44288</v>
          </cell>
          <cell r="I931" t="str">
            <v>23.03.2021</v>
          </cell>
          <cell r="J931" t="str">
            <v>13.04.2021</v>
          </cell>
          <cell r="K931" t="str">
            <v>-</v>
          </cell>
          <cell r="L931" t="str">
            <v>OK</v>
          </cell>
        </row>
        <row r="932">
          <cell r="A932" t="str">
            <v>AHW-40671I21</v>
          </cell>
          <cell r="B932">
            <v>4001391</v>
          </cell>
          <cell r="C932" t="str">
            <v>Original</v>
          </cell>
          <cell r="D932" t="str">
            <v>CTS</v>
          </cell>
          <cell r="E932" t="str">
            <v>TSA</v>
          </cell>
          <cell r="F932">
            <v>44279</v>
          </cell>
          <cell r="G932">
            <v>44287</v>
          </cell>
          <cell r="H932">
            <v>44289</v>
          </cell>
          <cell r="I932" t="str">
            <v>06.04.2021</v>
          </cell>
          <cell r="J932" t="str">
            <v>13.04.2021</v>
          </cell>
          <cell r="K932" t="str">
            <v>-</v>
          </cell>
          <cell r="L932" t="str">
            <v>OK</v>
          </cell>
        </row>
        <row r="933">
          <cell r="A933" t="str">
            <v>AHW-40907I21</v>
          </cell>
          <cell r="B933" t="str">
            <v>4001888A</v>
          </cell>
          <cell r="C933" t="str">
            <v>Original</v>
          </cell>
          <cell r="D933" t="str">
            <v>CTS</v>
          </cell>
          <cell r="E933" t="str">
            <v>TSA</v>
          </cell>
          <cell r="F933">
            <v>44278</v>
          </cell>
          <cell r="G933">
            <v>44286</v>
          </cell>
          <cell r="H933">
            <v>44288</v>
          </cell>
          <cell r="I933" t="str">
            <v>07.04.2021</v>
          </cell>
          <cell r="J933" t="str">
            <v>13.04.2021</v>
          </cell>
          <cell r="K933" t="str">
            <v>-</v>
          </cell>
          <cell r="L933" t="str">
            <v>OK</v>
          </cell>
        </row>
        <row r="934">
          <cell r="A934" t="str">
            <v>AHW-40845I21</v>
          </cell>
          <cell r="B934">
            <v>4001893</v>
          </cell>
          <cell r="C934" t="str">
            <v>Original</v>
          </cell>
          <cell r="D934" t="str">
            <v>CTS</v>
          </cell>
          <cell r="E934" t="str">
            <v>TSA</v>
          </cell>
          <cell r="F934">
            <v>44278</v>
          </cell>
          <cell r="G934">
            <v>44286</v>
          </cell>
          <cell r="H934">
            <v>44288</v>
          </cell>
          <cell r="I934" t="str">
            <v>07.04.2021</v>
          </cell>
          <cell r="J934" t="str">
            <v>13.04.2021</v>
          </cell>
          <cell r="K934" t="str">
            <v>-</v>
          </cell>
          <cell r="L934" t="str">
            <v>OK</v>
          </cell>
        </row>
        <row r="935">
          <cell r="A935" t="str">
            <v>AHW-40847I21</v>
          </cell>
          <cell r="B935">
            <v>4001889</v>
          </cell>
          <cell r="C935" t="str">
            <v>Original</v>
          </cell>
          <cell r="D935" t="str">
            <v>CTS</v>
          </cell>
          <cell r="E935" t="str">
            <v>TSA</v>
          </cell>
          <cell r="F935">
            <v>44278</v>
          </cell>
          <cell r="G935">
            <v>44286</v>
          </cell>
          <cell r="H935">
            <v>44288</v>
          </cell>
          <cell r="I935" t="str">
            <v>06.04.2021</v>
          </cell>
          <cell r="J935" t="str">
            <v>13.04.2021</v>
          </cell>
          <cell r="K935" t="str">
            <v>-</v>
          </cell>
          <cell r="L935" t="str">
            <v>OK</v>
          </cell>
        </row>
        <row r="936">
          <cell r="A936" t="str">
            <v>AHW-40662I21</v>
          </cell>
          <cell r="B936">
            <v>4001390</v>
          </cell>
          <cell r="C936" t="str">
            <v>Original</v>
          </cell>
          <cell r="D936" t="str">
            <v>CTS</v>
          </cell>
          <cell r="E936" t="str">
            <v>TSA</v>
          </cell>
          <cell r="F936">
            <v>44278</v>
          </cell>
          <cell r="G936">
            <v>44286</v>
          </cell>
          <cell r="H936">
            <v>44288</v>
          </cell>
          <cell r="I936" t="str">
            <v>06.04.2021</v>
          </cell>
          <cell r="J936" t="str">
            <v>13.04.2021</v>
          </cell>
          <cell r="K936" t="str">
            <v>-</v>
          </cell>
          <cell r="L936" t="str">
            <v>OK</v>
          </cell>
        </row>
        <row r="937">
          <cell r="A937" t="str">
            <v>AHW-40848I21</v>
          </cell>
          <cell r="B937" t="str">
            <v>4001890B</v>
          </cell>
          <cell r="C937" t="str">
            <v>Original</v>
          </cell>
          <cell r="D937" t="str">
            <v>CTS</v>
          </cell>
          <cell r="E937" t="str">
            <v>TSA</v>
          </cell>
          <cell r="F937">
            <v>44278</v>
          </cell>
          <cell r="G937">
            <v>44286</v>
          </cell>
          <cell r="H937">
            <v>44288</v>
          </cell>
          <cell r="I937" t="str">
            <v>06.04.2021</v>
          </cell>
          <cell r="J937" t="str">
            <v>13.04.2021</v>
          </cell>
          <cell r="K937" t="str">
            <v>-</v>
          </cell>
          <cell r="L937" t="str">
            <v>OK</v>
          </cell>
        </row>
        <row r="938">
          <cell r="A938" t="str">
            <v>SHW-40276I21</v>
          </cell>
          <cell r="B938" t="str">
            <v>EGLV149100977340</v>
          </cell>
          <cell r="C938" t="str">
            <v>Original</v>
          </cell>
          <cell r="D938" t="str">
            <v>Shenker</v>
          </cell>
          <cell r="E938" t="str">
            <v>TACT</v>
          </cell>
          <cell r="F938">
            <v>44278</v>
          </cell>
          <cell r="G938">
            <v>44286</v>
          </cell>
          <cell r="H938">
            <v>44288</v>
          </cell>
          <cell r="I938" t="str">
            <v>06.04.2021</v>
          </cell>
          <cell r="J938" t="str">
            <v>24.03.2021</v>
          </cell>
          <cell r="K938" t="str">
            <v>-</v>
          </cell>
          <cell r="L938" t="str">
            <v>OK</v>
          </cell>
        </row>
        <row r="939">
          <cell r="A939" t="str">
            <v>SHW-40419I21</v>
          </cell>
          <cell r="B939">
            <v>911733894</v>
          </cell>
          <cell r="C939" t="str">
            <v>Original</v>
          </cell>
          <cell r="D939" t="str">
            <v>Shenker</v>
          </cell>
          <cell r="E939" t="str">
            <v>TACT</v>
          </cell>
          <cell r="F939">
            <v>44278</v>
          </cell>
          <cell r="G939">
            <v>44286</v>
          </cell>
          <cell r="H939">
            <v>44288</v>
          </cell>
          <cell r="I939" t="str">
            <v>06.04.2021</v>
          </cell>
          <cell r="J939" t="str">
            <v>26.03.2021</v>
          </cell>
          <cell r="K939" t="str">
            <v>-</v>
          </cell>
          <cell r="L939" t="str">
            <v>OK</v>
          </cell>
        </row>
        <row r="940">
          <cell r="A940" t="str">
            <v>AHW-40844I21</v>
          </cell>
          <cell r="B940" t="str">
            <v>4001888B</v>
          </cell>
          <cell r="C940" t="str">
            <v>Original</v>
          </cell>
          <cell r="D940" t="str">
            <v>CTS</v>
          </cell>
          <cell r="E940" t="str">
            <v>TSA</v>
          </cell>
          <cell r="F940">
            <v>44280</v>
          </cell>
          <cell r="G940">
            <v>44288</v>
          </cell>
          <cell r="H940">
            <v>44290</v>
          </cell>
          <cell r="I940" t="str">
            <v>07.04.2021</v>
          </cell>
          <cell r="J940" t="str">
            <v>13.04.2021</v>
          </cell>
          <cell r="K940" t="str">
            <v>-</v>
          </cell>
          <cell r="L940" t="str">
            <v>OK</v>
          </cell>
        </row>
        <row r="941">
          <cell r="A941" t="str">
            <v>AHW-40908I21</v>
          </cell>
          <cell r="B941" t="str">
            <v>4001890A</v>
          </cell>
          <cell r="C941" t="str">
            <v>Original</v>
          </cell>
          <cell r="D941" t="str">
            <v>CTS</v>
          </cell>
          <cell r="E941" t="str">
            <v>TSA</v>
          </cell>
          <cell r="F941">
            <v>44280</v>
          </cell>
          <cell r="G941">
            <v>44288</v>
          </cell>
          <cell r="H941">
            <v>44290</v>
          </cell>
          <cell r="I941" t="str">
            <v>07.04.2021</v>
          </cell>
          <cell r="J941" t="str">
            <v>13.04.2021</v>
          </cell>
          <cell r="K941" t="str">
            <v>-</v>
          </cell>
          <cell r="L941" t="str">
            <v>OK</v>
          </cell>
        </row>
        <row r="942">
          <cell r="A942" t="str">
            <v>AHW-40755I21</v>
          </cell>
          <cell r="B942">
            <v>4001874</v>
          </cell>
          <cell r="C942" t="str">
            <v>Original</v>
          </cell>
          <cell r="D942" t="str">
            <v>CTS</v>
          </cell>
          <cell r="E942" t="str">
            <v>TSA</v>
          </cell>
          <cell r="F942">
            <v>44280</v>
          </cell>
          <cell r="G942">
            <v>44288</v>
          </cell>
          <cell r="H942">
            <v>44290</v>
          </cell>
          <cell r="I942" t="str">
            <v>06.04.2021</v>
          </cell>
          <cell r="J942" t="str">
            <v>13.04.2021</v>
          </cell>
          <cell r="K942" t="str">
            <v>-</v>
          </cell>
          <cell r="L942" t="str">
            <v>OK</v>
          </cell>
        </row>
        <row r="943">
          <cell r="A943" t="str">
            <v>AHW-40925I21</v>
          </cell>
          <cell r="B943">
            <v>4002032</v>
          </cell>
          <cell r="C943" t="str">
            <v>Original</v>
          </cell>
          <cell r="D943" t="str">
            <v>CTS</v>
          </cell>
          <cell r="E943" t="str">
            <v>TSA</v>
          </cell>
          <cell r="F943">
            <v>44280</v>
          </cell>
          <cell r="G943">
            <v>44288</v>
          </cell>
          <cell r="H943">
            <v>44290</v>
          </cell>
          <cell r="I943" t="str">
            <v>07.04.2021</v>
          </cell>
          <cell r="J943" t="str">
            <v>13.04.2021</v>
          </cell>
          <cell r="K943" t="str">
            <v>-</v>
          </cell>
          <cell r="L943" t="str">
            <v>OK</v>
          </cell>
        </row>
        <row r="944">
          <cell r="A944" t="str">
            <v>AHW-40941I21</v>
          </cell>
          <cell r="B944">
            <v>4002046</v>
          </cell>
          <cell r="C944" t="str">
            <v>Original</v>
          </cell>
          <cell r="D944" t="str">
            <v>CTS</v>
          </cell>
          <cell r="E944" t="str">
            <v>TSA</v>
          </cell>
          <cell r="F944">
            <v>44280</v>
          </cell>
          <cell r="G944">
            <v>44288</v>
          </cell>
          <cell r="H944">
            <v>44290</v>
          </cell>
          <cell r="I944" t="str">
            <v>07.04.2021</v>
          </cell>
          <cell r="J944" t="str">
            <v>13.04.2021</v>
          </cell>
          <cell r="K944" t="str">
            <v>-</v>
          </cell>
          <cell r="L944" t="str">
            <v>OK</v>
          </cell>
        </row>
        <row r="945">
          <cell r="A945" t="str">
            <v>AHW-40823I21</v>
          </cell>
          <cell r="B945">
            <v>4001973</v>
          </cell>
          <cell r="C945" t="str">
            <v>Original</v>
          </cell>
          <cell r="D945" t="str">
            <v>CTS</v>
          </cell>
          <cell r="E945" t="str">
            <v>TSA</v>
          </cell>
          <cell r="F945">
            <v>44280</v>
          </cell>
          <cell r="G945">
            <v>44288</v>
          </cell>
          <cell r="H945">
            <v>44290</v>
          </cell>
          <cell r="I945" t="str">
            <v>06.04.2021</v>
          </cell>
          <cell r="J945" t="str">
            <v>13.04.2021</v>
          </cell>
          <cell r="K945" t="str">
            <v>-</v>
          </cell>
          <cell r="L945" t="str">
            <v>OK</v>
          </cell>
        </row>
        <row r="946">
          <cell r="A946" t="str">
            <v>SHW-40620I21</v>
          </cell>
          <cell r="B946" t="str">
            <v>EGLV149101461304</v>
          </cell>
          <cell r="C946" t="str">
            <v>Original</v>
          </cell>
          <cell r="D946" t="str">
            <v>Shenker</v>
          </cell>
          <cell r="E946" t="str">
            <v>TACT</v>
          </cell>
          <cell r="F946">
            <v>44280</v>
          </cell>
          <cell r="G946">
            <v>44288</v>
          </cell>
          <cell r="H946">
            <v>44290</v>
          </cell>
          <cell r="I946" t="str">
            <v>06.04.2021</v>
          </cell>
          <cell r="J946" t="str">
            <v>26.03.2021</v>
          </cell>
          <cell r="K946" t="str">
            <v>-</v>
          </cell>
          <cell r="L946" t="str">
            <v>OK</v>
          </cell>
        </row>
        <row r="947">
          <cell r="A947" t="str">
            <v>SHW-40497I21</v>
          </cell>
          <cell r="B947">
            <v>208175091</v>
          </cell>
          <cell r="C947" t="str">
            <v>Original</v>
          </cell>
          <cell r="D947" t="str">
            <v>Shenker</v>
          </cell>
          <cell r="E947" t="str">
            <v>TACT</v>
          </cell>
          <cell r="F947">
            <v>44281</v>
          </cell>
          <cell r="G947">
            <v>44289</v>
          </cell>
          <cell r="H947">
            <v>44291</v>
          </cell>
          <cell r="I947" t="str">
            <v>06.04.2021</v>
          </cell>
          <cell r="J947" t="str">
            <v>01.04.2021</v>
          </cell>
          <cell r="K947" t="str">
            <v>-</v>
          </cell>
          <cell r="L947" t="str">
            <v>OK</v>
          </cell>
        </row>
        <row r="948">
          <cell r="A948" t="str">
            <v>SHW-40496I21</v>
          </cell>
          <cell r="B948">
            <v>911806972</v>
          </cell>
          <cell r="C948" t="str">
            <v>Original</v>
          </cell>
          <cell r="D948" t="str">
            <v>Shenker</v>
          </cell>
          <cell r="E948" t="str">
            <v>TACT</v>
          </cell>
          <cell r="F948">
            <v>44281</v>
          </cell>
          <cell r="G948">
            <v>44289</v>
          </cell>
          <cell r="H948">
            <v>44291</v>
          </cell>
          <cell r="I948" t="str">
            <v>06.04.2021</v>
          </cell>
          <cell r="J948" t="str">
            <v>01.04.2021</v>
          </cell>
          <cell r="K948" t="str">
            <v>-</v>
          </cell>
          <cell r="L948" t="str">
            <v>OK</v>
          </cell>
        </row>
        <row r="949">
          <cell r="A949" t="str">
            <v>SHW-40454I21</v>
          </cell>
          <cell r="B949">
            <v>208173620</v>
          </cell>
          <cell r="C949" t="str">
            <v>Original</v>
          </cell>
          <cell r="D949" t="str">
            <v>Shenker</v>
          </cell>
          <cell r="E949" t="str">
            <v>TACT</v>
          </cell>
          <cell r="F949">
            <v>44284</v>
          </cell>
          <cell r="G949">
            <v>44292</v>
          </cell>
          <cell r="H949">
            <v>44294</v>
          </cell>
          <cell r="I949" t="str">
            <v>06.04.2021</v>
          </cell>
          <cell r="J949" t="str">
            <v>01.04.2021</v>
          </cell>
          <cell r="K949" t="str">
            <v>-</v>
          </cell>
          <cell r="L949" t="str">
            <v>OK</v>
          </cell>
        </row>
        <row r="950">
          <cell r="A950" t="str">
            <v>AHW-40910I21</v>
          </cell>
          <cell r="B950">
            <v>4002021</v>
          </cell>
          <cell r="C950" t="str">
            <v>Original</v>
          </cell>
          <cell r="D950" t="str">
            <v>CTS</v>
          </cell>
          <cell r="E950" t="str">
            <v>TSA</v>
          </cell>
          <cell r="F950">
            <v>44281</v>
          </cell>
          <cell r="G950">
            <v>44289</v>
          </cell>
          <cell r="H950">
            <v>44291</v>
          </cell>
          <cell r="I950" t="str">
            <v>06.04.2021</v>
          </cell>
          <cell r="J950" t="str">
            <v>13.04.2021</v>
          </cell>
          <cell r="K950" t="str">
            <v>-</v>
          </cell>
          <cell r="L950" t="str">
            <v>OK</v>
          </cell>
        </row>
        <row r="951">
          <cell r="A951" t="str">
            <v>AHW-40924I21</v>
          </cell>
          <cell r="B951">
            <v>4002031</v>
          </cell>
          <cell r="C951" t="str">
            <v>Original</v>
          </cell>
          <cell r="D951" t="str">
            <v>CTS</v>
          </cell>
          <cell r="E951" t="str">
            <v>TSA</v>
          </cell>
          <cell r="F951">
            <v>44281</v>
          </cell>
          <cell r="G951">
            <v>44289</v>
          </cell>
          <cell r="H951">
            <v>44291</v>
          </cell>
          <cell r="I951" t="str">
            <v>07.04.2021</v>
          </cell>
          <cell r="J951" t="str">
            <v>13.04.2021</v>
          </cell>
          <cell r="K951" t="str">
            <v>-</v>
          </cell>
          <cell r="L951" t="str">
            <v>OK</v>
          </cell>
        </row>
        <row r="952">
          <cell r="A952" t="str">
            <v>AHW-40926I21</v>
          </cell>
          <cell r="B952" t="str">
            <v>4002033A</v>
          </cell>
          <cell r="C952" t="str">
            <v>Original</v>
          </cell>
          <cell r="D952" t="str">
            <v>CTS</v>
          </cell>
          <cell r="E952" t="str">
            <v>TSA</v>
          </cell>
          <cell r="F952">
            <v>44281</v>
          </cell>
          <cell r="G952">
            <v>44289</v>
          </cell>
          <cell r="H952">
            <v>44291</v>
          </cell>
          <cell r="I952" t="str">
            <v>07.04.2021</v>
          </cell>
          <cell r="J952" t="str">
            <v>13.04.2021</v>
          </cell>
          <cell r="K952" t="str">
            <v>-</v>
          </cell>
          <cell r="L952" t="str">
            <v>OK</v>
          </cell>
        </row>
        <row r="953">
          <cell r="A953" t="str">
            <v>AHW-40987I21</v>
          </cell>
          <cell r="B953" t="str">
            <v>4002033B</v>
          </cell>
          <cell r="C953" t="str">
            <v>Original</v>
          </cell>
          <cell r="D953" t="str">
            <v>CTS</v>
          </cell>
          <cell r="E953" t="str">
            <v>TSA</v>
          </cell>
          <cell r="F953">
            <v>44281</v>
          </cell>
          <cell r="G953">
            <v>44289</v>
          </cell>
          <cell r="H953">
            <v>44291</v>
          </cell>
          <cell r="I953" t="str">
            <v>07.04.2021</v>
          </cell>
          <cell r="J953" t="str">
            <v>13.04.2021</v>
          </cell>
          <cell r="K953" t="str">
            <v>-</v>
          </cell>
          <cell r="L953" t="str">
            <v>OK</v>
          </cell>
        </row>
        <row r="954">
          <cell r="A954" t="str">
            <v>AHW-41022I21</v>
          </cell>
          <cell r="B954" t="str">
            <v>4002033C</v>
          </cell>
          <cell r="C954" t="str">
            <v>Original</v>
          </cell>
          <cell r="D954" t="str">
            <v>CTS</v>
          </cell>
          <cell r="E954" t="str">
            <v>TSA</v>
          </cell>
          <cell r="F954">
            <v>44281</v>
          </cell>
          <cell r="G954">
            <v>44289</v>
          </cell>
          <cell r="H954">
            <v>44291</v>
          </cell>
          <cell r="I954" t="str">
            <v>07.04.2021</v>
          </cell>
          <cell r="J954" t="str">
            <v>13.04.2021</v>
          </cell>
          <cell r="K954" t="str">
            <v>-</v>
          </cell>
          <cell r="L954" t="str">
            <v>OK</v>
          </cell>
        </row>
        <row r="955">
          <cell r="A955" t="str">
            <v>AHW-40942I21</v>
          </cell>
          <cell r="B955">
            <v>4002054</v>
          </cell>
          <cell r="C955" t="str">
            <v>Original</v>
          </cell>
          <cell r="D955" t="str">
            <v>CTS</v>
          </cell>
          <cell r="E955" t="str">
            <v>TSA</v>
          </cell>
          <cell r="F955">
            <v>44281</v>
          </cell>
          <cell r="G955">
            <v>44289</v>
          </cell>
          <cell r="H955">
            <v>44291</v>
          </cell>
          <cell r="I955" t="str">
            <v>07.04.2021</v>
          </cell>
          <cell r="J955" t="str">
            <v>13.04.2021</v>
          </cell>
          <cell r="K955" t="str">
            <v>-</v>
          </cell>
          <cell r="L955" t="str">
            <v>OK</v>
          </cell>
        </row>
        <row r="956">
          <cell r="A956" t="str">
            <v>AHW-40944I21</v>
          </cell>
          <cell r="B956" t="str">
            <v>4002055A</v>
          </cell>
          <cell r="C956" t="str">
            <v>Original</v>
          </cell>
          <cell r="D956" t="str">
            <v>CTS</v>
          </cell>
          <cell r="E956" t="str">
            <v>TSA</v>
          </cell>
          <cell r="F956">
            <v>44281</v>
          </cell>
          <cell r="G956">
            <v>44289</v>
          </cell>
          <cell r="H956">
            <v>44291</v>
          </cell>
          <cell r="I956" t="str">
            <v>07.04.2021</v>
          </cell>
          <cell r="J956" t="str">
            <v>13.04.2021</v>
          </cell>
          <cell r="K956" t="str">
            <v>-</v>
          </cell>
          <cell r="L956" t="str">
            <v>OK</v>
          </cell>
        </row>
        <row r="957">
          <cell r="A957" t="str">
            <v>AHW-40946I21</v>
          </cell>
          <cell r="B957">
            <v>4002045</v>
          </cell>
          <cell r="C957" t="str">
            <v>Original</v>
          </cell>
          <cell r="D957" t="str">
            <v>CTS</v>
          </cell>
          <cell r="E957" t="str">
            <v>TSA</v>
          </cell>
          <cell r="F957">
            <v>44281</v>
          </cell>
          <cell r="G957">
            <v>44289</v>
          </cell>
          <cell r="H957">
            <v>44291</v>
          </cell>
          <cell r="I957" t="str">
            <v>07.04.2021</v>
          </cell>
          <cell r="J957" t="str">
            <v>13.04.2021</v>
          </cell>
          <cell r="K957" t="str">
            <v>-</v>
          </cell>
          <cell r="L957" t="str">
            <v>OK</v>
          </cell>
        </row>
        <row r="958">
          <cell r="A958" t="str">
            <v>AHW-40948I21</v>
          </cell>
          <cell r="B958">
            <v>4002056</v>
          </cell>
          <cell r="C958" t="str">
            <v>Original</v>
          </cell>
          <cell r="D958" t="str">
            <v>CTS</v>
          </cell>
          <cell r="E958" t="str">
            <v>TSA</v>
          </cell>
          <cell r="F958">
            <v>44281</v>
          </cell>
          <cell r="G958">
            <v>44289</v>
          </cell>
          <cell r="H958">
            <v>44291</v>
          </cell>
          <cell r="I958" t="str">
            <v>07.04.2021</v>
          </cell>
          <cell r="J958" t="str">
            <v>13.04.2021</v>
          </cell>
          <cell r="K958" t="str">
            <v>-</v>
          </cell>
          <cell r="L958" t="str">
            <v>OK</v>
          </cell>
        </row>
        <row r="959">
          <cell r="A959" t="str">
            <v>AHW-40939I21</v>
          </cell>
          <cell r="B959" t="str">
            <v>4002044A</v>
          </cell>
          <cell r="C959" t="str">
            <v>Original</v>
          </cell>
          <cell r="D959" t="str">
            <v>CTS</v>
          </cell>
          <cell r="E959" t="str">
            <v>TSA</v>
          </cell>
          <cell r="F959">
            <v>44281</v>
          </cell>
          <cell r="G959">
            <v>44289</v>
          </cell>
          <cell r="H959">
            <v>44291</v>
          </cell>
          <cell r="I959" t="str">
            <v>07.04.2021</v>
          </cell>
          <cell r="J959" t="str">
            <v>13.04.2021</v>
          </cell>
          <cell r="K959" t="str">
            <v>-</v>
          </cell>
          <cell r="L959" t="str">
            <v>OK</v>
          </cell>
        </row>
        <row r="960">
          <cell r="A960" t="str">
            <v>AHW-41023I21</v>
          </cell>
          <cell r="B960" t="str">
            <v>4002044B</v>
          </cell>
          <cell r="C960" t="str">
            <v>Original</v>
          </cell>
          <cell r="D960" t="str">
            <v>CTS</v>
          </cell>
          <cell r="E960" t="str">
            <v>TSA</v>
          </cell>
          <cell r="F960">
            <v>44281</v>
          </cell>
          <cell r="G960">
            <v>44289</v>
          </cell>
          <cell r="H960">
            <v>44291</v>
          </cell>
          <cell r="I960" t="str">
            <v>07.04.2021</v>
          </cell>
          <cell r="J960" t="str">
            <v>13.04.2021</v>
          </cell>
          <cell r="K960" t="str">
            <v>-</v>
          </cell>
          <cell r="L960" t="str">
            <v>OK</v>
          </cell>
        </row>
        <row r="961">
          <cell r="A961" t="str">
            <v>AHW-41024I21</v>
          </cell>
          <cell r="B961" t="str">
            <v>4002044C</v>
          </cell>
          <cell r="C961" t="str">
            <v>Original</v>
          </cell>
          <cell r="D961" t="str">
            <v>CTS</v>
          </cell>
          <cell r="E961" t="str">
            <v>TSA</v>
          </cell>
          <cell r="F961">
            <v>44281</v>
          </cell>
          <cell r="G961">
            <v>44289</v>
          </cell>
          <cell r="H961">
            <v>44291</v>
          </cell>
          <cell r="I961" t="str">
            <v>06.04.2021</v>
          </cell>
          <cell r="J961" t="str">
            <v>13.04.2021</v>
          </cell>
          <cell r="K961" t="str">
            <v>-</v>
          </cell>
          <cell r="L961" t="str">
            <v>OK</v>
          </cell>
        </row>
        <row r="962">
          <cell r="A962" t="str">
            <v>AHW-41025I21</v>
          </cell>
          <cell r="B962" t="str">
            <v>4002044D</v>
          </cell>
          <cell r="C962" t="str">
            <v>Original</v>
          </cell>
          <cell r="D962" t="str">
            <v>CTS</v>
          </cell>
          <cell r="E962" t="str">
            <v>TSA</v>
          </cell>
          <cell r="F962">
            <v>44281</v>
          </cell>
          <cell r="G962">
            <v>44289</v>
          </cell>
          <cell r="H962">
            <v>44291</v>
          </cell>
          <cell r="I962" t="str">
            <v>06.04.2021</v>
          </cell>
          <cell r="J962" t="str">
            <v>-</v>
          </cell>
          <cell r="K962" t="str">
            <v>-</v>
          </cell>
          <cell r="L962" t="str">
            <v>OK</v>
          </cell>
        </row>
        <row r="963">
          <cell r="A963" t="str">
            <v>AHW-41026I21</v>
          </cell>
          <cell r="B963" t="str">
            <v>4002044E</v>
          </cell>
          <cell r="C963" t="str">
            <v>Original</v>
          </cell>
          <cell r="D963" t="str">
            <v>CTS</v>
          </cell>
          <cell r="E963" t="str">
            <v>TSA</v>
          </cell>
          <cell r="F963">
            <v>44281</v>
          </cell>
          <cell r="G963">
            <v>44289</v>
          </cell>
          <cell r="H963">
            <v>44291</v>
          </cell>
          <cell r="I963" t="str">
            <v>06.04.2021</v>
          </cell>
          <cell r="J963" t="str">
            <v>13.04.2021</v>
          </cell>
          <cell r="K963" t="str">
            <v>-</v>
          </cell>
          <cell r="L963" t="str">
            <v>OK</v>
          </cell>
        </row>
        <row r="964">
          <cell r="A964" t="str">
            <v>AHW-41027I21</v>
          </cell>
          <cell r="B964" t="str">
            <v>4002044F</v>
          </cell>
          <cell r="C964" t="str">
            <v>Original</v>
          </cell>
          <cell r="D964" t="str">
            <v>CTS</v>
          </cell>
          <cell r="E964" t="str">
            <v>TSA</v>
          </cell>
          <cell r="F964">
            <v>44281</v>
          </cell>
          <cell r="G964">
            <v>44289</v>
          </cell>
          <cell r="H964">
            <v>44291</v>
          </cell>
          <cell r="I964" t="str">
            <v>06.04.2021</v>
          </cell>
          <cell r="J964" t="str">
            <v>13.04.2021</v>
          </cell>
          <cell r="K964" t="str">
            <v>-</v>
          </cell>
          <cell r="L964" t="str">
            <v>OK</v>
          </cell>
        </row>
        <row r="965">
          <cell r="A965" t="str">
            <v>AHW-41028I21</v>
          </cell>
          <cell r="B965" t="str">
            <v>4002044G</v>
          </cell>
          <cell r="C965" t="str">
            <v>Original</v>
          </cell>
          <cell r="D965" t="str">
            <v>CTS</v>
          </cell>
          <cell r="E965" t="str">
            <v>TSA</v>
          </cell>
          <cell r="F965">
            <v>44281</v>
          </cell>
          <cell r="G965">
            <v>44289</v>
          </cell>
          <cell r="H965">
            <v>44291</v>
          </cell>
          <cell r="I965" t="str">
            <v>06.04.2021</v>
          </cell>
          <cell r="J965" t="str">
            <v>13.04.2021</v>
          </cell>
          <cell r="K965" t="str">
            <v>-</v>
          </cell>
          <cell r="L965" t="str">
            <v>OK</v>
          </cell>
        </row>
        <row r="966">
          <cell r="A966" t="str">
            <v>AHW-41029I21</v>
          </cell>
          <cell r="B966" t="str">
            <v>4002044H</v>
          </cell>
          <cell r="C966" t="str">
            <v>Original</v>
          </cell>
          <cell r="D966" t="str">
            <v>CTS</v>
          </cell>
          <cell r="E966" t="str">
            <v>TSA</v>
          </cell>
          <cell r="F966">
            <v>44281</v>
          </cell>
          <cell r="G966">
            <v>44289</v>
          </cell>
          <cell r="H966">
            <v>44291</v>
          </cell>
          <cell r="I966" t="str">
            <v>06.04.2021</v>
          </cell>
          <cell r="J966" t="str">
            <v>13.04.2021</v>
          </cell>
          <cell r="K966" t="str">
            <v>-</v>
          </cell>
          <cell r="L966" t="str">
            <v>OK</v>
          </cell>
        </row>
        <row r="967">
          <cell r="A967" t="str">
            <v>AHW-40911I21</v>
          </cell>
          <cell r="B967">
            <v>4002011</v>
          </cell>
          <cell r="C967" t="str">
            <v>Original</v>
          </cell>
          <cell r="D967" t="str">
            <v>CTS</v>
          </cell>
          <cell r="E967" t="str">
            <v>TSA</v>
          </cell>
          <cell r="F967">
            <v>44281</v>
          </cell>
          <cell r="G967">
            <v>44289</v>
          </cell>
          <cell r="H967">
            <v>44291</v>
          </cell>
          <cell r="I967" t="str">
            <v>06.04.2021</v>
          </cell>
          <cell r="J967" t="str">
            <v>13.04.2021</v>
          </cell>
          <cell r="K967" t="str">
            <v>-</v>
          </cell>
          <cell r="L967" t="str">
            <v>OK</v>
          </cell>
        </row>
        <row r="968">
          <cell r="A968" t="str">
            <v>AHW-41046I21</v>
          </cell>
          <cell r="B968">
            <v>4002204</v>
          </cell>
          <cell r="C968" t="str">
            <v>Original</v>
          </cell>
          <cell r="D968" t="str">
            <v>CTS</v>
          </cell>
          <cell r="E968" t="str">
            <v>TSA</v>
          </cell>
          <cell r="F968">
            <v>44281</v>
          </cell>
          <cell r="G968">
            <v>44289</v>
          </cell>
          <cell r="H968">
            <v>44291</v>
          </cell>
          <cell r="I968" t="str">
            <v>06.04.2021</v>
          </cell>
          <cell r="J968" t="str">
            <v>13.04.2021</v>
          </cell>
          <cell r="K968" t="str">
            <v>-</v>
          </cell>
          <cell r="L968" t="str">
            <v>OK</v>
          </cell>
        </row>
        <row r="969">
          <cell r="A969" t="str">
            <v>AHW-40849I21</v>
          </cell>
          <cell r="B969">
            <v>4001998</v>
          </cell>
          <cell r="C969" t="str">
            <v>Original</v>
          </cell>
          <cell r="D969" t="str">
            <v>CTS</v>
          </cell>
          <cell r="E969" t="str">
            <v>TSA</v>
          </cell>
          <cell r="F969">
            <v>44284</v>
          </cell>
          <cell r="G969">
            <v>44292</v>
          </cell>
          <cell r="H969">
            <v>44294</v>
          </cell>
          <cell r="I969" t="str">
            <v>07.04.2021</v>
          </cell>
          <cell r="J969" t="str">
            <v>13.04.2021</v>
          </cell>
          <cell r="K969" t="str">
            <v>-</v>
          </cell>
          <cell r="L969" t="str">
            <v>OK</v>
          </cell>
        </row>
        <row r="970">
          <cell r="A970" t="str">
            <v>AHW-40850I21</v>
          </cell>
          <cell r="B970">
            <v>4001984</v>
          </cell>
          <cell r="C970" t="str">
            <v>Original</v>
          </cell>
          <cell r="D970" t="str">
            <v>CTS</v>
          </cell>
          <cell r="E970" t="str">
            <v>TSA</v>
          </cell>
          <cell r="F970">
            <v>44284</v>
          </cell>
          <cell r="G970">
            <v>44292</v>
          </cell>
          <cell r="H970">
            <v>44294</v>
          </cell>
          <cell r="I970" t="str">
            <v>07.04.2021</v>
          </cell>
          <cell r="J970" t="str">
            <v>13.04.2021</v>
          </cell>
          <cell r="K970" t="str">
            <v>-</v>
          </cell>
          <cell r="L970" t="str">
            <v>OK</v>
          </cell>
        </row>
        <row r="971">
          <cell r="A971" t="str">
            <v>AHW-40909I21</v>
          </cell>
          <cell r="B971">
            <v>4002013</v>
          </cell>
          <cell r="C971" t="str">
            <v>Original</v>
          </cell>
          <cell r="D971" t="str">
            <v>CTS</v>
          </cell>
          <cell r="E971" t="str">
            <v>TSA</v>
          </cell>
          <cell r="F971">
            <v>44284</v>
          </cell>
          <cell r="G971">
            <v>44292</v>
          </cell>
          <cell r="H971">
            <v>44294</v>
          </cell>
          <cell r="I971" t="str">
            <v>07.04.2021</v>
          </cell>
          <cell r="J971" t="str">
            <v>13.04.2021</v>
          </cell>
          <cell r="K971" t="str">
            <v>-</v>
          </cell>
          <cell r="L971" t="str">
            <v>OK</v>
          </cell>
        </row>
        <row r="972">
          <cell r="A972" t="str">
            <v>AHW-41126I21</v>
          </cell>
          <cell r="B972" t="str">
            <v>4002079C</v>
          </cell>
          <cell r="C972" t="str">
            <v>Original</v>
          </cell>
          <cell r="D972" t="str">
            <v>CTS</v>
          </cell>
          <cell r="E972" t="str">
            <v>TSA</v>
          </cell>
          <cell r="F972">
            <v>44286</v>
          </cell>
          <cell r="G972">
            <v>44294</v>
          </cell>
          <cell r="H972">
            <v>44296</v>
          </cell>
          <cell r="I972" t="str">
            <v>06.04.2021</v>
          </cell>
          <cell r="J972" t="str">
            <v>13.04.2021</v>
          </cell>
          <cell r="K972" t="str">
            <v>-</v>
          </cell>
          <cell r="L972" t="str">
            <v>OK</v>
          </cell>
        </row>
        <row r="973">
          <cell r="A973" t="str">
            <v>AHW-41127I21</v>
          </cell>
          <cell r="B973" t="str">
            <v>4002079D</v>
          </cell>
          <cell r="C973" t="str">
            <v>Original</v>
          </cell>
          <cell r="D973" t="str">
            <v>CTS</v>
          </cell>
          <cell r="E973" t="str">
            <v>TSA</v>
          </cell>
          <cell r="F973">
            <v>44286</v>
          </cell>
          <cell r="G973">
            <v>44294</v>
          </cell>
          <cell r="H973">
            <v>44296</v>
          </cell>
          <cell r="I973" t="str">
            <v>06.04.2021</v>
          </cell>
          <cell r="J973" t="str">
            <v>13.04.2021</v>
          </cell>
          <cell r="K973" t="str">
            <v>-</v>
          </cell>
          <cell r="L973" t="str">
            <v>OK</v>
          </cell>
        </row>
        <row r="974">
          <cell r="A974" t="str">
            <v>AHW-40943I21</v>
          </cell>
          <cell r="B974" t="str">
            <v>4002065A</v>
          </cell>
          <cell r="C974" t="str">
            <v>Original</v>
          </cell>
          <cell r="D974" t="str">
            <v>CTS</v>
          </cell>
          <cell r="E974" t="str">
            <v>TSA</v>
          </cell>
          <cell r="F974">
            <v>44286</v>
          </cell>
          <cell r="G974">
            <v>44294</v>
          </cell>
          <cell r="H974">
            <v>44296</v>
          </cell>
          <cell r="I974" t="str">
            <v>06.04.2021</v>
          </cell>
          <cell r="J974" t="str">
            <v>13.04.2021</v>
          </cell>
          <cell r="K974" t="str">
            <v>-</v>
          </cell>
          <cell r="L974" t="str">
            <v>OK</v>
          </cell>
        </row>
        <row r="975">
          <cell r="A975" t="str">
            <v>AHW-40986I21</v>
          </cell>
          <cell r="B975" t="str">
            <v>4002055B</v>
          </cell>
          <cell r="C975" t="str">
            <v>Original</v>
          </cell>
          <cell r="D975" t="str">
            <v>CTS</v>
          </cell>
          <cell r="E975" t="str">
            <v>TSA</v>
          </cell>
          <cell r="F975">
            <v>44286</v>
          </cell>
          <cell r="G975">
            <v>44294</v>
          </cell>
          <cell r="H975">
            <v>44296</v>
          </cell>
          <cell r="I975" t="str">
            <v>06.04.2021</v>
          </cell>
          <cell r="J975" t="str">
            <v>13.04.2021</v>
          </cell>
          <cell r="K975" t="str">
            <v>-</v>
          </cell>
          <cell r="L975" t="str">
            <v>OK</v>
          </cell>
        </row>
        <row r="976">
          <cell r="A976" t="str">
            <v>AHW-41119I21</v>
          </cell>
          <cell r="B976" t="str">
            <v>4002067B</v>
          </cell>
          <cell r="C976" t="str">
            <v>Original</v>
          </cell>
          <cell r="D976" t="str">
            <v>CTS</v>
          </cell>
          <cell r="E976" t="str">
            <v>TSA</v>
          </cell>
          <cell r="F976">
            <v>44286</v>
          </cell>
          <cell r="G976">
            <v>44294</v>
          </cell>
          <cell r="H976">
            <v>44296</v>
          </cell>
          <cell r="I976" t="str">
            <v>06.04.2021</v>
          </cell>
          <cell r="J976" t="str">
            <v>13.04.2021</v>
          </cell>
          <cell r="K976" t="str">
            <v>-</v>
          </cell>
          <cell r="L976" t="str">
            <v>OK</v>
          </cell>
        </row>
        <row r="977">
          <cell r="A977" t="str">
            <v>AHW-40950I21</v>
          </cell>
          <cell r="B977">
            <v>4002068</v>
          </cell>
          <cell r="C977" t="str">
            <v>Original</v>
          </cell>
          <cell r="D977" t="str">
            <v>CTS</v>
          </cell>
          <cell r="E977" t="str">
            <v>TSA</v>
          </cell>
          <cell r="F977">
            <v>44286</v>
          </cell>
          <cell r="G977">
            <v>44294</v>
          </cell>
          <cell r="H977">
            <v>44296</v>
          </cell>
          <cell r="I977" t="str">
            <v>06.04.2021</v>
          </cell>
          <cell r="J977" t="str">
            <v>13.04.2021</v>
          </cell>
          <cell r="K977" t="str">
            <v>-</v>
          </cell>
          <cell r="L977" t="str">
            <v>OK</v>
          </cell>
        </row>
        <row r="978">
          <cell r="A978" t="str">
            <v>AHW-41155I21</v>
          </cell>
          <cell r="B978" t="str">
            <v>4002086B</v>
          </cell>
          <cell r="C978" t="str">
            <v>Original</v>
          </cell>
          <cell r="D978" t="str">
            <v>CTS</v>
          </cell>
          <cell r="E978" t="str">
            <v>TSA</v>
          </cell>
          <cell r="F978">
            <v>44286</v>
          </cell>
          <cell r="G978">
            <v>44294</v>
          </cell>
          <cell r="H978">
            <v>44296</v>
          </cell>
          <cell r="I978" t="str">
            <v>06.04.2021</v>
          </cell>
          <cell r="J978" t="str">
            <v>13.04.2021</v>
          </cell>
          <cell r="K978" t="str">
            <v>-</v>
          </cell>
          <cell r="L978" t="str">
            <v>OK</v>
          </cell>
        </row>
        <row r="979">
          <cell r="A979" t="str">
            <v>AHW-41115I21</v>
          </cell>
          <cell r="B979" t="str">
            <v>4002087B</v>
          </cell>
          <cell r="C979" t="str">
            <v>Original</v>
          </cell>
          <cell r="D979" t="str">
            <v>CTS</v>
          </cell>
          <cell r="E979" t="str">
            <v>TSA</v>
          </cell>
          <cell r="F979">
            <v>44286</v>
          </cell>
          <cell r="G979">
            <v>44294</v>
          </cell>
          <cell r="H979">
            <v>44296</v>
          </cell>
          <cell r="I979" t="str">
            <v>06.04.2021</v>
          </cell>
          <cell r="J979" t="str">
            <v>13.04.2021</v>
          </cell>
          <cell r="K979" t="str">
            <v>-</v>
          </cell>
          <cell r="L979" t="str">
            <v>OK</v>
          </cell>
        </row>
        <row r="980">
          <cell r="A980" t="str">
            <v>AHW-41095I21</v>
          </cell>
          <cell r="B980">
            <v>4002114</v>
          </cell>
          <cell r="C980" t="str">
            <v>Original</v>
          </cell>
          <cell r="D980" t="str">
            <v>CTS</v>
          </cell>
          <cell r="E980" t="str">
            <v>TSA</v>
          </cell>
          <cell r="F980">
            <v>44286</v>
          </cell>
          <cell r="G980">
            <v>44294</v>
          </cell>
          <cell r="H980">
            <v>44296</v>
          </cell>
          <cell r="I980" t="str">
            <v>06.04.2021</v>
          </cell>
          <cell r="J980" t="str">
            <v>13.04.2021</v>
          </cell>
          <cell r="K980" t="str">
            <v>-</v>
          </cell>
          <cell r="L980" t="str">
            <v>OK</v>
          </cell>
        </row>
        <row r="981">
          <cell r="A981" t="str">
            <v>AHW-41129I21</v>
          </cell>
          <cell r="B981" t="str">
            <v>4002079E</v>
          </cell>
          <cell r="C981" t="str">
            <v>Original</v>
          </cell>
          <cell r="D981" t="str">
            <v>CTS</v>
          </cell>
          <cell r="E981" t="str">
            <v>TSA</v>
          </cell>
          <cell r="F981">
            <v>44291</v>
          </cell>
          <cell r="G981">
            <v>44299</v>
          </cell>
          <cell r="H981">
            <v>44301</v>
          </cell>
          <cell r="I981" t="str">
            <v>12.04.2021</v>
          </cell>
          <cell r="J981" t="str">
            <v>26.04.2021</v>
          </cell>
          <cell r="K981" t="str">
            <v>-</v>
          </cell>
          <cell r="L981" t="str">
            <v>OK</v>
          </cell>
        </row>
        <row r="982">
          <cell r="A982" t="str">
            <v>AHW-41116I21</v>
          </cell>
          <cell r="B982" t="str">
            <v>4002087C</v>
          </cell>
          <cell r="C982" t="str">
            <v>Original</v>
          </cell>
          <cell r="D982" t="str">
            <v>CTS</v>
          </cell>
          <cell r="E982" t="str">
            <v>TSA</v>
          </cell>
          <cell r="F982">
            <v>44291</v>
          </cell>
          <cell r="G982">
            <v>44299</v>
          </cell>
          <cell r="H982">
            <v>44301</v>
          </cell>
          <cell r="I982" t="str">
            <v>12.04.2021</v>
          </cell>
          <cell r="J982" t="str">
            <v>26.04.2021</v>
          </cell>
          <cell r="K982" t="str">
            <v>-</v>
          </cell>
          <cell r="L982" t="str">
            <v>OK</v>
          </cell>
        </row>
        <row r="983">
          <cell r="A983" t="str">
            <v>AHW-40947I21</v>
          </cell>
          <cell r="B983" t="str">
            <v>4002066A</v>
          </cell>
          <cell r="C983" t="str">
            <v>Original</v>
          </cell>
          <cell r="D983" t="str">
            <v>CTS</v>
          </cell>
          <cell r="E983" t="str">
            <v>TSA</v>
          </cell>
          <cell r="F983">
            <v>44291</v>
          </cell>
          <cell r="G983">
            <v>44299</v>
          </cell>
          <cell r="H983">
            <v>44301</v>
          </cell>
          <cell r="I983" t="str">
            <v>12.04.2021</v>
          </cell>
          <cell r="J983" t="str">
            <v>26.04.2021</v>
          </cell>
          <cell r="K983" t="str">
            <v>-</v>
          </cell>
          <cell r="L983" t="str">
            <v>OK</v>
          </cell>
        </row>
        <row r="984">
          <cell r="A984" t="str">
            <v>AHW-41156I21</v>
          </cell>
          <cell r="B984" t="str">
            <v>4002086C</v>
          </cell>
          <cell r="C984" t="str">
            <v>Original</v>
          </cell>
          <cell r="D984" t="str">
            <v>CTS</v>
          </cell>
          <cell r="E984" t="str">
            <v>TSA</v>
          </cell>
          <cell r="F984">
            <v>44291</v>
          </cell>
          <cell r="G984">
            <v>44299</v>
          </cell>
          <cell r="H984">
            <v>44301</v>
          </cell>
          <cell r="I984" t="str">
            <v>12.04.2021</v>
          </cell>
          <cell r="J984" t="str">
            <v>26.04.2021</v>
          </cell>
          <cell r="K984" t="str">
            <v>-</v>
          </cell>
          <cell r="L984" t="str">
            <v>OK</v>
          </cell>
        </row>
        <row r="985">
          <cell r="A985" t="str">
            <v>AHW-41034I21</v>
          </cell>
          <cell r="B985">
            <v>4002097</v>
          </cell>
          <cell r="C985" t="str">
            <v>Original</v>
          </cell>
          <cell r="D985" t="str">
            <v>CTS</v>
          </cell>
          <cell r="E985" t="str">
            <v>TSA</v>
          </cell>
          <cell r="F985">
            <v>44291</v>
          </cell>
          <cell r="G985">
            <v>44299</v>
          </cell>
          <cell r="H985">
            <v>44301</v>
          </cell>
          <cell r="I985" t="str">
            <v>14.04.2021</v>
          </cell>
          <cell r="J985" t="str">
            <v>26.04.2021</v>
          </cell>
          <cell r="K985" t="str">
            <v>-</v>
          </cell>
          <cell r="L985" t="str">
            <v>OK</v>
          </cell>
        </row>
        <row r="986">
          <cell r="A986" t="str">
            <v>AHW-41158I21</v>
          </cell>
          <cell r="B986" t="str">
            <v>4002098B</v>
          </cell>
          <cell r="C986" t="str">
            <v>Original</v>
          </cell>
          <cell r="D986" t="str">
            <v>CTS</v>
          </cell>
          <cell r="E986" t="str">
            <v>TSA</v>
          </cell>
          <cell r="F986">
            <v>44291</v>
          </cell>
          <cell r="G986">
            <v>44299</v>
          </cell>
          <cell r="H986">
            <v>44301</v>
          </cell>
          <cell r="I986" t="str">
            <v>23.04.2021</v>
          </cell>
          <cell r="J986" t="str">
            <v>26.04.2021</v>
          </cell>
          <cell r="K986" t="str">
            <v>-</v>
          </cell>
          <cell r="L986" t="str">
            <v>OK</v>
          </cell>
        </row>
        <row r="987">
          <cell r="A987" t="str">
            <v>AHW-40945I21</v>
          </cell>
          <cell r="B987" t="str">
            <v>4002067A</v>
          </cell>
          <cell r="C987" t="str">
            <v>Original</v>
          </cell>
          <cell r="D987" t="str">
            <v>CTS</v>
          </cell>
          <cell r="E987" t="str">
            <v>TSA</v>
          </cell>
          <cell r="F987">
            <v>44291</v>
          </cell>
          <cell r="G987">
            <v>44299</v>
          </cell>
          <cell r="H987">
            <v>44301</v>
          </cell>
          <cell r="I987" t="str">
            <v>12.04.2021</v>
          </cell>
          <cell r="J987" t="str">
            <v>26.04.2021</v>
          </cell>
          <cell r="K987" t="str">
            <v>-</v>
          </cell>
          <cell r="L987" t="str">
            <v>OK</v>
          </cell>
        </row>
        <row r="988">
          <cell r="A988" t="str">
            <v>AHW-41223I21</v>
          </cell>
          <cell r="B988" t="str">
            <v>4002212B</v>
          </cell>
          <cell r="C988" t="str">
            <v>Original</v>
          </cell>
          <cell r="D988" t="str">
            <v>CTS</v>
          </cell>
          <cell r="E988" t="str">
            <v>TSA</v>
          </cell>
          <cell r="F988">
            <v>44292</v>
          </cell>
          <cell r="G988">
            <v>44300</v>
          </cell>
          <cell r="H988">
            <v>44302</v>
          </cell>
          <cell r="I988" t="str">
            <v>14.04.2021</v>
          </cell>
          <cell r="J988" t="str">
            <v>26.04.2021</v>
          </cell>
          <cell r="K988" t="str">
            <v>-</v>
          </cell>
          <cell r="L988" t="str">
            <v>OK</v>
          </cell>
        </row>
        <row r="989">
          <cell r="A989" t="str">
            <v>AHW-41224I21</v>
          </cell>
          <cell r="B989" t="str">
            <v>4002212C</v>
          </cell>
          <cell r="C989" t="str">
            <v>Original</v>
          </cell>
          <cell r="D989" t="str">
            <v>CTS</v>
          </cell>
          <cell r="E989" t="str">
            <v>TSA</v>
          </cell>
          <cell r="F989">
            <v>44292</v>
          </cell>
          <cell r="G989">
            <v>44300</v>
          </cell>
          <cell r="H989">
            <v>44302</v>
          </cell>
          <cell r="I989" t="str">
            <v>14.04.2021</v>
          </cell>
          <cell r="J989" t="str">
            <v>26.04.2021</v>
          </cell>
          <cell r="K989" t="str">
            <v>-</v>
          </cell>
          <cell r="L989" t="str">
            <v>OK</v>
          </cell>
        </row>
        <row r="990">
          <cell r="A990" t="str">
            <v>AHW-40949I21</v>
          </cell>
          <cell r="B990">
            <v>4002057</v>
          </cell>
          <cell r="C990" t="str">
            <v>Original</v>
          </cell>
          <cell r="D990" t="str">
            <v>CTS</v>
          </cell>
          <cell r="E990" t="str">
            <v>TSA</v>
          </cell>
          <cell r="F990">
            <v>44292</v>
          </cell>
          <cell r="G990">
            <v>44300</v>
          </cell>
          <cell r="H990">
            <v>44302</v>
          </cell>
          <cell r="I990" t="str">
            <v>14.04.2021</v>
          </cell>
          <cell r="J990" t="str">
            <v>26.04.2021</v>
          </cell>
          <cell r="K990" t="str">
            <v>-</v>
          </cell>
          <cell r="L990" t="str">
            <v>OK</v>
          </cell>
        </row>
        <row r="991">
          <cell r="A991" t="str">
            <v>AHW-41035I21</v>
          </cell>
          <cell r="B991" t="str">
            <v>4002098A</v>
          </cell>
          <cell r="C991" t="str">
            <v>Original</v>
          </cell>
          <cell r="D991" t="str">
            <v>CTS</v>
          </cell>
          <cell r="E991" t="str">
            <v>TSA</v>
          </cell>
          <cell r="F991">
            <v>44292</v>
          </cell>
          <cell r="G991">
            <v>44300</v>
          </cell>
          <cell r="H991">
            <v>44302</v>
          </cell>
          <cell r="I991" t="str">
            <v>14.04.2021</v>
          </cell>
          <cell r="J991" t="str">
            <v>26.04.2021</v>
          </cell>
          <cell r="K991" t="str">
            <v>-</v>
          </cell>
          <cell r="L991" t="str">
            <v>OK</v>
          </cell>
        </row>
        <row r="992">
          <cell r="A992" t="str">
            <v>AHW-41120I21</v>
          </cell>
          <cell r="B992" t="str">
            <v>4002067C</v>
          </cell>
          <cell r="C992" t="str">
            <v>Original</v>
          </cell>
          <cell r="D992" t="str">
            <v>CTS</v>
          </cell>
          <cell r="E992" t="str">
            <v>TSA</v>
          </cell>
          <cell r="F992">
            <v>44292</v>
          </cell>
          <cell r="G992">
            <v>44300</v>
          </cell>
          <cell r="H992">
            <v>44302</v>
          </cell>
          <cell r="I992" t="str">
            <v>14.04.2021</v>
          </cell>
          <cell r="J992" t="str">
            <v>26.04.2021</v>
          </cell>
          <cell r="K992" t="str">
            <v>-</v>
          </cell>
          <cell r="L992" t="str">
            <v>OK</v>
          </cell>
        </row>
        <row r="993">
          <cell r="A993" t="str">
            <v>AHW-41226I21</v>
          </cell>
          <cell r="B993" t="str">
            <v>4002212E</v>
          </cell>
          <cell r="C993" t="str">
            <v>Original</v>
          </cell>
          <cell r="D993" t="str">
            <v>CTS</v>
          </cell>
          <cell r="E993" t="str">
            <v>TSA</v>
          </cell>
          <cell r="F993">
            <v>44292</v>
          </cell>
          <cell r="G993">
            <v>44300</v>
          </cell>
          <cell r="H993">
            <v>44302</v>
          </cell>
          <cell r="I993" t="str">
            <v>14.04.2021</v>
          </cell>
          <cell r="J993" t="str">
            <v>26.04.2021</v>
          </cell>
          <cell r="K993" t="str">
            <v>-</v>
          </cell>
          <cell r="L993" t="str">
            <v>OK</v>
          </cell>
        </row>
        <row r="994">
          <cell r="A994" t="str">
            <v>AHW-41220I21</v>
          </cell>
          <cell r="B994" t="str">
            <v>4002213C</v>
          </cell>
          <cell r="C994" t="str">
            <v>Original</v>
          </cell>
          <cell r="D994" t="str">
            <v>CTS</v>
          </cell>
          <cell r="E994" t="str">
            <v>TSA</v>
          </cell>
          <cell r="F994">
            <v>44292</v>
          </cell>
          <cell r="G994">
            <v>44300</v>
          </cell>
          <cell r="H994">
            <v>44302</v>
          </cell>
          <cell r="I994" t="str">
            <v>14.04.2021</v>
          </cell>
          <cell r="J994" t="str">
            <v>26.04.2021</v>
          </cell>
          <cell r="K994" t="str">
            <v>-</v>
          </cell>
          <cell r="L994" t="str">
            <v>OK</v>
          </cell>
        </row>
        <row r="995">
          <cell r="A995" t="str">
            <v>AHW-41154I21</v>
          </cell>
          <cell r="B995" t="str">
            <v>4002232A</v>
          </cell>
          <cell r="C995" t="str">
            <v>Original</v>
          </cell>
          <cell r="D995" t="str">
            <v>CTS</v>
          </cell>
          <cell r="E995" t="str">
            <v>TSA</v>
          </cell>
          <cell r="F995">
            <v>44292</v>
          </cell>
          <cell r="G995">
            <v>44300</v>
          </cell>
          <cell r="H995">
            <v>44302</v>
          </cell>
          <cell r="I995" t="str">
            <v>14.04.2021</v>
          </cell>
          <cell r="J995" t="str">
            <v>26.04.2021</v>
          </cell>
          <cell r="K995" t="str">
            <v>-</v>
          </cell>
          <cell r="L995" t="str">
            <v>OK</v>
          </cell>
        </row>
        <row r="996">
          <cell r="A996" t="str">
            <v>AHW-41218I21</v>
          </cell>
          <cell r="B996" t="str">
            <v>4002232D</v>
          </cell>
          <cell r="C996" t="str">
            <v>Original</v>
          </cell>
          <cell r="D996" t="str">
            <v>CTS</v>
          </cell>
          <cell r="E996" t="str">
            <v>TSA</v>
          </cell>
          <cell r="F996">
            <v>44292</v>
          </cell>
          <cell r="G996">
            <v>44300</v>
          </cell>
          <cell r="H996">
            <v>44302</v>
          </cell>
          <cell r="I996" t="str">
            <v>14.04.2021</v>
          </cell>
          <cell r="J996" t="str">
            <v>26.04.2021</v>
          </cell>
          <cell r="K996" t="str">
            <v>-</v>
          </cell>
          <cell r="L996" t="str">
            <v>OK</v>
          </cell>
        </row>
        <row r="997">
          <cell r="A997" t="str">
            <v>SHW-40727I21</v>
          </cell>
          <cell r="B997" t="str">
            <v>EGLV149101730747</v>
          </cell>
          <cell r="C997" t="str">
            <v>Original</v>
          </cell>
          <cell r="D997" t="str">
            <v>Shenker</v>
          </cell>
          <cell r="E997" t="str">
            <v>TACT</v>
          </cell>
          <cell r="F997">
            <v>44293</v>
          </cell>
          <cell r="G997">
            <v>44301</v>
          </cell>
          <cell r="H997">
            <v>44303</v>
          </cell>
          <cell r="I997" t="str">
            <v>09.04.2021</v>
          </cell>
          <cell r="J997" t="str">
            <v>08.04.2021</v>
          </cell>
          <cell r="K997" t="str">
            <v>-</v>
          </cell>
          <cell r="L997" t="str">
            <v>OK</v>
          </cell>
        </row>
        <row r="998">
          <cell r="A998" t="str">
            <v>SHW-40676I21</v>
          </cell>
          <cell r="B998">
            <v>911811857</v>
          </cell>
          <cell r="C998" t="str">
            <v>Original</v>
          </cell>
          <cell r="D998" t="str">
            <v>Shenker</v>
          </cell>
          <cell r="E998" t="str">
            <v>TACT</v>
          </cell>
          <cell r="F998">
            <v>44294</v>
          </cell>
          <cell r="G998">
            <v>44302</v>
          </cell>
          <cell r="H998">
            <v>44304</v>
          </cell>
          <cell r="I998" t="str">
            <v>12.04.2021</v>
          </cell>
          <cell r="J998" t="str">
            <v>12.04.2021</v>
          </cell>
          <cell r="K998" t="str">
            <v>-</v>
          </cell>
          <cell r="L998" t="str">
            <v>OK</v>
          </cell>
        </row>
        <row r="999">
          <cell r="A999" t="str">
            <v>AHW-41094I21</v>
          </cell>
          <cell r="B999">
            <v>80584479</v>
          </cell>
          <cell r="C999" t="str">
            <v>Original</v>
          </cell>
          <cell r="D999" t="str">
            <v>CEVA</v>
          </cell>
          <cell r="E999" t="str">
            <v>Rodoimport</v>
          </cell>
          <cell r="F999">
            <v>44295</v>
          </cell>
          <cell r="G999">
            <v>44303</v>
          </cell>
          <cell r="H999">
            <v>44305</v>
          </cell>
          <cell r="I999" t="str">
            <v>14.04.2021</v>
          </cell>
          <cell r="J999" t="str">
            <v>26.04.2021</v>
          </cell>
          <cell r="K999" t="str">
            <v>-</v>
          </cell>
          <cell r="L999" t="str">
            <v>OK</v>
          </cell>
        </row>
        <row r="1000">
          <cell r="A1000" t="str">
            <v>AHW-40940I21</v>
          </cell>
          <cell r="B1000" t="str">
            <v>4002079A</v>
          </cell>
          <cell r="C1000" t="str">
            <v>Original</v>
          </cell>
          <cell r="D1000" t="str">
            <v>CTS</v>
          </cell>
          <cell r="E1000" t="str">
            <v>TSA</v>
          </cell>
          <cell r="F1000">
            <v>44298</v>
          </cell>
          <cell r="G1000">
            <v>44306</v>
          </cell>
          <cell r="H1000">
            <v>44308</v>
          </cell>
          <cell r="I1000" t="str">
            <v>23.04.2021</v>
          </cell>
          <cell r="J1000" t="str">
            <v>26.04.2021</v>
          </cell>
          <cell r="K1000" t="str">
            <v>-</v>
          </cell>
          <cell r="L1000" t="str">
            <v>OK</v>
          </cell>
        </row>
        <row r="1001">
          <cell r="A1001" t="str">
            <v>AHW-41123I21</v>
          </cell>
          <cell r="B1001" t="str">
            <v>4002079B</v>
          </cell>
          <cell r="C1001" t="str">
            <v>Original</v>
          </cell>
          <cell r="D1001" t="str">
            <v>CTS</v>
          </cell>
          <cell r="E1001" t="str">
            <v>TSA</v>
          </cell>
          <cell r="F1001">
            <v>44298</v>
          </cell>
          <cell r="G1001">
            <v>44306</v>
          </cell>
          <cell r="H1001">
            <v>44308</v>
          </cell>
          <cell r="I1001" t="str">
            <v>22.04.2021</v>
          </cell>
          <cell r="J1001" t="str">
            <v>26.04.2021</v>
          </cell>
          <cell r="K1001" t="str">
            <v>-</v>
          </cell>
          <cell r="L1001" t="str">
            <v>OK</v>
          </cell>
        </row>
        <row r="1002">
          <cell r="A1002" t="str">
            <v>AHW-41121I21</v>
          </cell>
          <cell r="B1002" t="str">
            <v>4002067D</v>
          </cell>
          <cell r="C1002" t="str">
            <v>Original</v>
          </cell>
          <cell r="D1002" t="str">
            <v>CTS</v>
          </cell>
          <cell r="E1002" t="str">
            <v>TSA</v>
          </cell>
          <cell r="F1002">
            <v>44298</v>
          </cell>
          <cell r="G1002">
            <v>44306</v>
          </cell>
          <cell r="H1002">
            <v>44308</v>
          </cell>
          <cell r="I1002" t="str">
            <v>23.04.2021</v>
          </cell>
          <cell r="J1002" t="str">
            <v>26.04.2021</v>
          </cell>
          <cell r="K1002" t="str">
            <v>-</v>
          </cell>
          <cell r="L1002" t="str">
            <v>OK</v>
          </cell>
        </row>
        <row r="1003">
          <cell r="A1003" t="str">
            <v>AHW-41114I21</v>
          </cell>
          <cell r="B1003" t="str">
            <v>4002066B</v>
          </cell>
          <cell r="C1003" t="str">
            <v>Original</v>
          </cell>
          <cell r="D1003" t="str">
            <v>CTS</v>
          </cell>
          <cell r="E1003" t="str">
            <v>TSA</v>
          </cell>
          <cell r="F1003">
            <v>44298</v>
          </cell>
          <cell r="G1003">
            <v>44306</v>
          </cell>
          <cell r="H1003">
            <v>44308</v>
          </cell>
          <cell r="I1003" t="str">
            <v>23.04.2021</v>
          </cell>
          <cell r="J1003" t="str">
            <v>26.04.2021</v>
          </cell>
          <cell r="K1003" t="str">
            <v>-</v>
          </cell>
          <cell r="L1003" t="str">
            <v>OK</v>
          </cell>
        </row>
        <row r="1004">
          <cell r="A1004" t="str">
            <v>AHW-41031I21</v>
          </cell>
          <cell r="B1004" t="str">
            <v>4002086A</v>
          </cell>
          <cell r="C1004" t="str">
            <v>Original</v>
          </cell>
          <cell r="D1004" t="str">
            <v>CTS</v>
          </cell>
          <cell r="E1004" t="str">
            <v>TSA</v>
          </cell>
          <cell r="F1004">
            <v>44298</v>
          </cell>
          <cell r="G1004">
            <v>44306</v>
          </cell>
          <cell r="H1004">
            <v>44308</v>
          </cell>
          <cell r="I1004" t="str">
            <v>23.04.2021</v>
          </cell>
          <cell r="J1004" t="str">
            <v>26.04.2021</v>
          </cell>
          <cell r="K1004" t="str">
            <v>-</v>
          </cell>
          <cell r="L1004" t="str">
            <v>OK</v>
          </cell>
        </row>
        <row r="1005">
          <cell r="A1005" t="str">
            <v>AHW-41033I21</v>
          </cell>
          <cell r="B1005">
            <v>4002096</v>
          </cell>
          <cell r="C1005" t="str">
            <v>Original</v>
          </cell>
          <cell r="D1005" t="str">
            <v>CTS</v>
          </cell>
          <cell r="E1005" t="str">
            <v>TSA</v>
          </cell>
          <cell r="F1005">
            <v>44298</v>
          </cell>
          <cell r="G1005">
            <v>44306</v>
          </cell>
          <cell r="H1005">
            <v>44308</v>
          </cell>
          <cell r="I1005" t="str">
            <v>22.04.2021</v>
          </cell>
          <cell r="J1005" t="str">
            <v>26.04.2021</v>
          </cell>
          <cell r="K1005" t="str">
            <v>-</v>
          </cell>
          <cell r="L1005" t="str">
            <v>OK</v>
          </cell>
        </row>
        <row r="1006">
          <cell r="A1006" t="str">
            <v>AHW-41225I21</v>
          </cell>
          <cell r="B1006" t="str">
            <v>4002212D</v>
          </cell>
          <cell r="C1006" t="str">
            <v>Original</v>
          </cell>
          <cell r="D1006" t="str">
            <v>CTS</v>
          </cell>
          <cell r="E1006" t="str">
            <v>TSA</v>
          </cell>
          <cell r="F1006">
            <v>44298</v>
          </cell>
          <cell r="G1006">
            <v>44306</v>
          </cell>
          <cell r="H1006">
            <v>44308</v>
          </cell>
          <cell r="I1006" t="str">
            <v>22.04.2021</v>
          </cell>
          <cell r="J1006" t="str">
            <v>26.04.2021</v>
          </cell>
          <cell r="K1006" t="str">
            <v>-</v>
          </cell>
          <cell r="L1006" t="str">
            <v>OK</v>
          </cell>
        </row>
        <row r="1007">
          <cell r="A1007" t="str">
            <v>AHW-41228I21</v>
          </cell>
          <cell r="B1007" t="str">
            <v>4002212G</v>
          </cell>
          <cell r="C1007" t="str">
            <v>Original</v>
          </cell>
          <cell r="D1007" t="str">
            <v>CTS</v>
          </cell>
          <cell r="E1007" t="str">
            <v>TSA</v>
          </cell>
          <cell r="F1007">
            <v>44298</v>
          </cell>
          <cell r="G1007">
            <v>44306</v>
          </cell>
          <cell r="H1007">
            <v>44308</v>
          </cell>
          <cell r="I1007" t="str">
            <v>22.04.2021</v>
          </cell>
          <cell r="J1007" t="str">
            <v>26.04.2021</v>
          </cell>
          <cell r="K1007" t="str">
            <v>-</v>
          </cell>
          <cell r="L1007" t="str">
            <v>OK</v>
          </cell>
        </row>
        <row r="1008">
          <cell r="A1008" t="str">
            <v>AHW-41093I21</v>
          </cell>
          <cell r="B1008" t="str">
            <v>4002213A</v>
          </cell>
          <cell r="C1008" t="str">
            <v>Original</v>
          </cell>
          <cell r="D1008" t="str">
            <v>CTS</v>
          </cell>
          <cell r="E1008" t="str">
            <v>TSA</v>
          </cell>
          <cell r="F1008">
            <v>44298</v>
          </cell>
          <cell r="G1008">
            <v>44306</v>
          </cell>
          <cell r="H1008">
            <v>44308</v>
          </cell>
          <cell r="I1008" t="str">
            <v>23.04.2021</v>
          </cell>
          <cell r="J1008" t="str">
            <v>26.04.2021</v>
          </cell>
          <cell r="K1008" t="str">
            <v>-</v>
          </cell>
          <cell r="L1008" t="str">
            <v>OK</v>
          </cell>
        </row>
        <row r="1009">
          <cell r="A1009" t="str">
            <v>AHW-41222I21</v>
          </cell>
          <cell r="B1009" t="str">
            <v>4002213E</v>
          </cell>
          <cell r="C1009" t="str">
            <v>Original</v>
          </cell>
          <cell r="D1009" t="str">
            <v>CTS</v>
          </cell>
          <cell r="E1009" t="str">
            <v>TSA</v>
          </cell>
          <cell r="F1009">
            <v>44298</v>
          </cell>
          <cell r="G1009">
            <v>44306</v>
          </cell>
          <cell r="H1009">
            <v>44308</v>
          </cell>
          <cell r="I1009" t="str">
            <v>22.04.2021</v>
          </cell>
          <cell r="J1009" t="str">
            <v>26.04.2021</v>
          </cell>
          <cell r="K1009" t="str">
            <v>-</v>
          </cell>
          <cell r="L1009" t="str">
            <v>OK</v>
          </cell>
        </row>
        <row r="1010">
          <cell r="A1010" t="str">
            <v>AHW-41150I21</v>
          </cell>
          <cell r="B1010" t="str">
            <v>4002218A</v>
          </cell>
          <cell r="C1010" t="str">
            <v>Original</v>
          </cell>
          <cell r="D1010" t="str">
            <v>CTS</v>
          </cell>
          <cell r="E1010" t="str">
            <v>TSA</v>
          </cell>
          <cell r="F1010">
            <v>44298</v>
          </cell>
          <cell r="G1010">
            <v>44306</v>
          </cell>
          <cell r="H1010">
            <v>44308</v>
          </cell>
          <cell r="I1010" t="str">
            <v>22.04.2021</v>
          </cell>
          <cell r="J1010" t="str">
            <v>26.04.2021</v>
          </cell>
          <cell r="K1010" t="str">
            <v>-</v>
          </cell>
          <cell r="L1010" t="str">
            <v>OK</v>
          </cell>
        </row>
        <row r="1011">
          <cell r="A1011" t="str">
            <v>AHW-41243I21</v>
          </cell>
          <cell r="B1011">
            <v>4002260</v>
          </cell>
          <cell r="C1011" t="str">
            <v>Original</v>
          </cell>
          <cell r="D1011" t="str">
            <v>CTS</v>
          </cell>
          <cell r="E1011" t="str">
            <v>TSA</v>
          </cell>
          <cell r="F1011">
            <v>44298</v>
          </cell>
          <cell r="G1011">
            <v>44306</v>
          </cell>
          <cell r="H1011">
            <v>44308</v>
          </cell>
          <cell r="I1011" t="str">
            <v>22.04.2021</v>
          </cell>
          <cell r="J1011" t="str">
            <v>26.04.2021</v>
          </cell>
          <cell r="K1011" t="str">
            <v>-</v>
          </cell>
          <cell r="L1011" t="str">
            <v>OK</v>
          </cell>
        </row>
        <row r="1012">
          <cell r="A1012" t="str">
            <v>AHW-41305I21</v>
          </cell>
          <cell r="B1012">
            <v>4002270</v>
          </cell>
          <cell r="C1012" t="str">
            <v>Original</v>
          </cell>
          <cell r="D1012" t="str">
            <v>CTS</v>
          </cell>
          <cell r="E1012" t="str">
            <v>TSA</v>
          </cell>
          <cell r="F1012">
            <v>44298</v>
          </cell>
          <cell r="G1012">
            <v>44306</v>
          </cell>
          <cell r="H1012">
            <v>44308</v>
          </cell>
          <cell r="I1012" t="str">
            <v>22.04.2021</v>
          </cell>
          <cell r="J1012" t="str">
            <v>26.04.2021</v>
          </cell>
          <cell r="K1012" t="str">
            <v>-</v>
          </cell>
          <cell r="L1012" t="str">
            <v>OK</v>
          </cell>
        </row>
        <row r="1013">
          <cell r="A1013" t="str">
            <v>SHW-40853I21</v>
          </cell>
          <cell r="B1013" t="str">
            <v>EGLV149101833830</v>
          </cell>
          <cell r="C1013" t="str">
            <v>Original</v>
          </cell>
          <cell r="D1013" t="str">
            <v>Shenker</v>
          </cell>
          <cell r="E1013" t="str">
            <v>TACT</v>
          </cell>
          <cell r="F1013">
            <v>44299</v>
          </cell>
          <cell r="G1013">
            <v>44307</v>
          </cell>
          <cell r="H1013">
            <v>44309</v>
          </cell>
          <cell r="I1013" t="str">
            <v>15.04.2021</v>
          </cell>
          <cell r="J1013" t="str">
            <v>22.04.2021</v>
          </cell>
          <cell r="K1013" t="str">
            <v>-</v>
          </cell>
          <cell r="L1013" t="str">
            <v>OK</v>
          </cell>
        </row>
        <row r="1014">
          <cell r="A1014" t="str">
            <v>SHW-40851I21</v>
          </cell>
          <cell r="B1014" t="str">
            <v>EGLV149102010489</v>
          </cell>
          <cell r="C1014" t="str">
            <v>Original</v>
          </cell>
          <cell r="D1014" t="str">
            <v>Shenker</v>
          </cell>
          <cell r="E1014" t="str">
            <v>TACT</v>
          </cell>
          <cell r="F1014">
            <v>44300</v>
          </cell>
          <cell r="G1014">
            <v>44308</v>
          </cell>
          <cell r="H1014">
            <v>44310</v>
          </cell>
          <cell r="I1014" t="str">
            <v>15.04.2021</v>
          </cell>
          <cell r="J1014" t="str">
            <v>22.04.2021</v>
          </cell>
          <cell r="K1014" t="str">
            <v>-</v>
          </cell>
          <cell r="L1014" t="str">
            <v>OK</v>
          </cell>
        </row>
        <row r="1015">
          <cell r="A1015" t="str">
            <v>SHW-40678I21</v>
          </cell>
          <cell r="B1015">
            <v>208369744</v>
          </cell>
          <cell r="C1015" t="str">
            <v>Original</v>
          </cell>
          <cell r="D1015" t="str">
            <v>Shenker</v>
          </cell>
          <cell r="E1015" t="str">
            <v>TACT</v>
          </cell>
          <cell r="F1015">
            <v>44300</v>
          </cell>
          <cell r="G1015">
            <v>44308</v>
          </cell>
          <cell r="H1015">
            <v>44310</v>
          </cell>
          <cell r="I1015" t="str">
            <v>14.04.2021</v>
          </cell>
          <cell r="J1015" t="str">
            <v>23.04.2021</v>
          </cell>
          <cell r="K1015" t="str">
            <v>-</v>
          </cell>
          <cell r="L1015" t="str">
            <v>OK</v>
          </cell>
        </row>
        <row r="1016">
          <cell r="A1016" t="str">
            <v>SHW-40825I21</v>
          </cell>
          <cell r="B1016" t="str">
            <v>EGLV149102009189</v>
          </cell>
          <cell r="C1016" t="str">
            <v>Original</v>
          </cell>
          <cell r="D1016" t="str">
            <v>Shenker</v>
          </cell>
          <cell r="E1016" t="str">
            <v>TACT</v>
          </cell>
          <cell r="F1016">
            <v>44308</v>
          </cell>
          <cell r="G1016">
            <v>44316</v>
          </cell>
          <cell r="H1016">
            <v>44318</v>
          </cell>
          <cell r="I1016" t="str">
            <v>10.05.2021</v>
          </cell>
          <cell r="J1016" t="str">
            <v>22.04.2021</v>
          </cell>
          <cell r="K1016" t="str">
            <v>-</v>
          </cell>
          <cell r="L1016" t="str">
            <v>OK</v>
          </cell>
        </row>
        <row r="1017">
          <cell r="A1017" t="str">
            <v>SHW-40852I21</v>
          </cell>
          <cell r="B1017">
            <v>911940628</v>
          </cell>
          <cell r="C1017" t="str">
            <v>Original</v>
          </cell>
          <cell r="D1017" t="str">
            <v>Shenker</v>
          </cell>
          <cell r="E1017" t="str">
            <v>TACT</v>
          </cell>
          <cell r="F1017">
            <v>44308</v>
          </cell>
          <cell r="G1017">
            <v>44316</v>
          </cell>
          <cell r="H1017">
            <v>44318</v>
          </cell>
          <cell r="I1017" t="str">
            <v>10.05.2021</v>
          </cell>
          <cell r="J1017" t="str">
            <v>23.04.2021</v>
          </cell>
          <cell r="K1017" t="str">
            <v>-</v>
          </cell>
          <cell r="L1017" t="str">
            <v>OK</v>
          </cell>
        </row>
        <row r="1018">
          <cell r="A1018" t="str">
            <v>SHW-40802I21</v>
          </cell>
          <cell r="B1018">
            <v>911866370</v>
          </cell>
          <cell r="C1018" t="str">
            <v>Original</v>
          </cell>
          <cell r="D1018" t="str">
            <v>Shenker</v>
          </cell>
          <cell r="E1018" t="str">
            <v>TACT</v>
          </cell>
          <cell r="F1018">
            <v>44308</v>
          </cell>
          <cell r="G1018">
            <v>44316</v>
          </cell>
          <cell r="H1018">
            <v>44318</v>
          </cell>
          <cell r="I1018" t="str">
            <v>07.05.2021</v>
          </cell>
          <cell r="J1018" t="str">
            <v>27.04.2021</v>
          </cell>
          <cell r="K1018" t="str">
            <v>-</v>
          </cell>
          <cell r="L1018" t="str">
            <v>OK</v>
          </cell>
        </row>
        <row r="1019">
          <cell r="A1019" t="str">
            <v>AHW-41191I21</v>
          </cell>
          <cell r="B1019">
            <v>4002239</v>
          </cell>
          <cell r="C1019" t="str">
            <v>Original</v>
          </cell>
          <cell r="D1019" t="str">
            <v>CTS</v>
          </cell>
          <cell r="E1019" t="str">
            <v>TSA</v>
          </cell>
          <cell r="F1019">
            <v>44299</v>
          </cell>
          <cell r="G1019">
            <v>44307</v>
          </cell>
          <cell r="H1019">
            <v>44309</v>
          </cell>
          <cell r="I1019" t="str">
            <v>23.04.2021</v>
          </cell>
          <cell r="J1019" t="str">
            <v>26.04.2021</v>
          </cell>
          <cell r="K1019" t="str">
            <v>-</v>
          </cell>
          <cell r="L1019" t="str">
            <v>OK</v>
          </cell>
        </row>
        <row r="1020">
          <cell r="A1020" t="str">
            <v>AHW-41101I21</v>
          </cell>
          <cell r="B1020" t="str">
            <v>4002065B</v>
          </cell>
          <cell r="C1020" t="str">
            <v>Original</v>
          </cell>
          <cell r="D1020" t="str">
            <v>CTS</v>
          </cell>
          <cell r="E1020" t="str">
            <v>TSA</v>
          </cell>
          <cell r="F1020">
            <v>44300</v>
          </cell>
          <cell r="G1020">
            <v>44308</v>
          </cell>
          <cell r="H1020">
            <v>44310</v>
          </cell>
          <cell r="I1020" t="str">
            <v>23.04.2021</v>
          </cell>
          <cell r="J1020" t="str">
            <v>26.04.2021</v>
          </cell>
          <cell r="K1020" t="str">
            <v>-</v>
          </cell>
          <cell r="L1020" t="str">
            <v>OK</v>
          </cell>
        </row>
        <row r="1021">
          <cell r="A1021" t="str">
            <v>AHW-41157I21</v>
          </cell>
          <cell r="B1021" t="str">
            <v>4002086D</v>
          </cell>
          <cell r="C1021" t="str">
            <v>Original</v>
          </cell>
          <cell r="D1021" t="str">
            <v>CTS</v>
          </cell>
          <cell r="E1021" t="str">
            <v>TSA</v>
          </cell>
          <cell r="F1021">
            <v>44300</v>
          </cell>
          <cell r="G1021">
            <v>44308</v>
          </cell>
          <cell r="H1021">
            <v>44310</v>
          </cell>
          <cell r="I1021" t="str">
            <v>23.04.2021</v>
          </cell>
          <cell r="J1021" t="str">
            <v>26.04.2021</v>
          </cell>
          <cell r="K1021" t="str">
            <v>-</v>
          </cell>
          <cell r="L1021" t="str">
            <v>OK</v>
          </cell>
        </row>
        <row r="1022">
          <cell r="A1022" t="str">
            <v>AHW-41159I21</v>
          </cell>
          <cell r="B1022" t="str">
            <v>4002098C</v>
          </cell>
          <cell r="C1022" t="str">
            <v>Original</v>
          </cell>
          <cell r="D1022" t="str">
            <v>CTS</v>
          </cell>
          <cell r="E1022" t="str">
            <v>TSA</v>
          </cell>
          <cell r="F1022">
            <v>44300</v>
          </cell>
          <cell r="G1022">
            <v>44308</v>
          </cell>
          <cell r="H1022">
            <v>44310</v>
          </cell>
          <cell r="I1022" t="str">
            <v>23.04.2021</v>
          </cell>
          <cell r="J1022" t="str">
            <v>26.04.2021</v>
          </cell>
          <cell r="K1022" t="str">
            <v>-</v>
          </cell>
          <cell r="L1022" t="str">
            <v>OK</v>
          </cell>
        </row>
        <row r="1023">
          <cell r="A1023" t="str">
            <v>AHW-41092I21</v>
          </cell>
          <cell r="B1023" t="str">
            <v>4002212A</v>
          </cell>
          <cell r="C1023" t="str">
            <v>Original</v>
          </cell>
          <cell r="D1023" t="str">
            <v>CTS</v>
          </cell>
          <cell r="E1023" t="str">
            <v>TSA</v>
          </cell>
          <cell r="F1023">
            <v>44300</v>
          </cell>
          <cell r="G1023">
            <v>44308</v>
          </cell>
          <cell r="H1023">
            <v>44310</v>
          </cell>
          <cell r="I1023" t="str">
            <v>23.04.2021</v>
          </cell>
          <cell r="J1023" t="str">
            <v>26.04.2021</v>
          </cell>
          <cell r="K1023" t="str">
            <v>-</v>
          </cell>
          <cell r="L1023" t="str">
            <v>OK</v>
          </cell>
        </row>
        <row r="1024">
          <cell r="A1024" t="str">
            <v>AHW-41215I21</v>
          </cell>
          <cell r="B1024" t="str">
            <v>4002218B</v>
          </cell>
          <cell r="C1024" t="str">
            <v>Original</v>
          </cell>
          <cell r="D1024" t="str">
            <v>CTS</v>
          </cell>
          <cell r="E1024" t="str">
            <v>TSA</v>
          </cell>
          <cell r="F1024">
            <v>44300</v>
          </cell>
          <cell r="G1024">
            <v>44308</v>
          </cell>
          <cell r="H1024">
            <v>44310</v>
          </cell>
          <cell r="I1024" t="str">
            <v>23.04.2021</v>
          </cell>
          <cell r="J1024" t="str">
            <v>26.04.2021</v>
          </cell>
          <cell r="K1024" t="str">
            <v>-</v>
          </cell>
          <cell r="L1024" t="str">
            <v>OK</v>
          </cell>
        </row>
        <row r="1025">
          <cell r="A1025" t="str">
            <v>AHW-41242I21</v>
          </cell>
          <cell r="B1025">
            <v>4002259</v>
          </cell>
          <cell r="C1025" t="str">
            <v>Original</v>
          </cell>
          <cell r="D1025" t="str">
            <v>CTS</v>
          </cell>
          <cell r="E1025" t="str">
            <v>TSA</v>
          </cell>
          <cell r="F1025">
            <v>44300</v>
          </cell>
          <cell r="G1025">
            <v>44308</v>
          </cell>
          <cell r="H1025">
            <v>44310</v>
          </cell>
          <cell r="I1025" t="str">
            <v>23.04.2021</v>
          </cell>
          <cell r="J1025" t="str">
            <v>26.04.2021</v>
          </cell>
          <cell r="K1025" t="str">
            <v>-</v>
          </cell>
          <cell r="L1025" t="str">
            <v>OK</v>
          </cell>
        </row>
        <row r="1026">
          <cell r="A1026" t="str">
            <v>AHW-41304I21</v>
          </cell>
          <cell r="B1026">
            <v>4002269</v>
          </cell>
          <cell r="C1026" t="str">
            <v>Original</v>
          </cell>
          <cell r="D1026" t="str">
            <v>CTS</v>
          </cell>
          <cell r="E1026" t="str">
            <v>TSA</v>
          </cell>
          <cell r="F1026">
            <v>44300</v>
          </cell>
          <cell r="G1026">
            <v>44308</v>
          </cell>
          <cell r="H1026">
            <v>44310</v>
          </cell>
          <cell r="I1026" t="str">
            <v>23.04.2021</v>
          </cell>
          <cell r="J1026" t="str">
            <v>26.04.2021</v>
          </cell>
          <cell r="K1026" t="str">
            <v>-</v>
          </cell>
          <cell r="L1026" t="str">
            <v>OK</v>
          </cell>
        </row>
        <row r="1027">
          <cell r="A1027" t="str">
            <v>AHW-41307I21</v>
          </cell>
          <cell r="B1027">
            <v>4002271</v>
          </cell>
          <cell r="C1027" t="str">
            <v>Original</v>
          </cell>
          <cell r="D1027" t="str">
            <v>CTS</v>
          </cell>
          <cell r="E1027" t="str">
            <v>TSA</v>
          </cell>
          <cell r="F1027">
            <v>44300</v>
          </cell>
          <cell r="G1027">
            <v>44308</v>
          </cell>
          <cell r="H1027">
            <v>44310</v>
          </cell>
          <cell r="I1027" t="str">
            <v>23.04.2021</v>
          </cell>
          <cell r="J1027" t="str">
            <v>26.04.2021</v>
          </cell>
          <cell r="K1027" t="str">
            <v>-</v>
          </cell>
          <cell r="L1027" t="str">
            <v>OK</v>
          </cell>
        </row>
        <row r="1028">
          <cell r="A1028" t="str">
            <v>AHW-41350I21</v>
          </cell>
          <cell r="B1028">
            <v>80584563</v>
          </cell>
          <cell r="C1028" t="str">
            <v>Original</v>
          </cell>
          <cell r="D1028" t="str">
            <v>CEVA</v>
          </cell>
          <cell r="E1028" t="str">
            <v>Rodoimport</v>
          </cell>
          <cell r="F1028">
            <v>44309</v>
          </cell>
          <cell r="G1028">
            <v>44317</v>
          </cell>
          <cell r="H1028">
            <v>44319</v>
          </cell>
          <cell r="I1028" t="str">
            <v>14.05.2021</v>
          </cell>
          <cell r="J1028" t="str">
            <v>11.05.2021</v>
          </cell>
          <cell r="K1028" t="str">
            <v>-</v>
          </cell>
          <cell r="L1028" t="str">
            <v>OK</v>
          </cell>
        </row>
        <row r="1029">
          <cell r="A1029" t="str">
            <v>AHW-41418I21</v>
          </cell>
          <cell r="B1029">
            <v>80584611</v>
          </cell>
          <cell r="C1029" t="str">
            <v>Original</v>
          </cell>
          <cell r="D1029" t="str">
            <v>CEVA</v>
          </cell>
          <cell r="E1029" t="str">
            <v>Rodoimport</v>
          </cell>
          <cell r="F1029">
            <v>44309</v>
          </cell>
          <cell r="G1029">
            <v>44317</v>
          </cell>
          <cell r="H1029">
            <v>44319</v>
          </cell>
          <cell r="I1029" t="str">
            <v>05.05.2021</v>
          </cell>
          <cell r="J1029" t="str">
            <v>11.05.2021</v>
          </cell>
          <cell r="K1029" t="str">
            <v>-</v>
          </cell>
          <cell r="L1029" t="str">
            <v>OK</v>
          </cell>
        </row>
        <row r="1030">
          <cell r="A1030" t="str">
            <v>AHW-41474I21</v>
          </cell>
          <cell r="B1030">
            <v>80584635</v>
          </cell>
          <cell r="C1030" t="str">
            <v>Original</v>
          </cell>
          <cell r="D1030" t="str">
            <v>CEVA</v>
          </cell>
          <cell r="E1030" t="str">
            <v>Rodoimport</v>
          </cell>
          <cell r="F1030">
            <v>44309</v>
          </cell>
          <cell r="G1030">
            <v>44317</v>
          </cell>
          <cell r="H1030">
            <v>44319</v>
          </cell>
          <cell r="I1030" t="str">
            <v>05.05.2021</v>
          </cell>
          <cell r="J1030" t="str">
            <v>11.05.2021</v>
          </cell>
          <cell r="K1030" t="str">
            <v>-</v>
          </cell>
          <cell r="L1030" t="str">
            <v>OK</v>
          </cell>
        </row>
        <row r="1031">
          <cell r="A1031" t="str">
            <v>AHW-41032I21</v>
          </cell>
          <cell r="B1031" t="str">
            <v>4002087A</v>
          </cell>
          <cell r="C1031" t="str">
            <v>Original</v>
          </cell>
          <cell r="D1031" t="str">
            <v>CTS</v>
          </cell>
          <cell r="E1031" t="str">
            <v>TSA</v>
          </cell>
          <cell r="F1031">
            <v>44309</v>
          </cell>
          <cell r="G1031">
            <v>44317</v>
          </cell>
          <cell r="H1031">
            <v>44319</v>
          </cell>
          <cell r="I1031" t="str">
            <v>06.05.2021</v>
          </cell>
          <cell r="J1031" t="str">
            <v>11.05.2021</v>
          </cell>
          <cell r="K1031" t="str">
            <v>-</v>
          </cell>
          <cell r="L1031" t="str">
            <v>OK</v>
          </cell>
        </row>
        <row r="1032">
          <cell r="A1032" t="str">
            <v>AHW-41227I21</v>
          </cell>
          <cell r="B1032" t="str">
            <v>4002212F</v>
          </cell>
          <cell r="C1032" t="str">
            <v>Original</v>
          </cell>
          <cell r="D1032" t="str">
            <v>CTS</v>
          </cell>
          <cell r="E1032" t="str">
            <v>TSA</v>
          </cell>
          <cell r="F1032">
            <v>44309</v>
          </cell>
          <cell r="G1032">
            <v>44317</v>
          </cell>
          <cell r="H1032">
            <v>44319</v>
          </cell>
          <cell r="I1032" t="str">
            <v>06.05.2021</v>
          </cell>
          <cell r="J1032" t="str">
            <v>11.05.2021</v>
          </cell>
          <cell r="K1032" t="str">
            <v>-</v>
          </cell>
          <cell r="L1032" t="str">
            <v>OK</v>
          </cell>
        </row>
        <row r="1033">
          <cell r="A1033" t="str">
            <v>AHW-41221I21</v>
          </cell>
          <cell r="B1033" t="str">
            <v>4002213D</v>
          </cell>
          <cell r="C1033" t="str">
            <v>Original</v>
          </cell>
          <cell r="D1033" t="str">
            <v>CTS</v>
          </cell>
          <cell r="E1033" t="str">
            <v>TSA</v>
          </cell>
          <cell r="F1033">
            <v>44309</v>
          </cell>
          <cell r="G1033">
            <v>44317</v>
          </cell>
          <cell r="H1033">
            <v>44319</v>
          </cell>
          <cell r="I1033" t="str">
            <v>06.05.2021</v>
          </cell>
          <cell r="J1033" t="str">
            <v>11.05.2021</v>
          </cell>
          <cell r="K1033" t="str">
            <v>-</v>
          </cell>
          <cell r="L1033" t="str">
            <v>OK</v>
          </cell>
        </row>
        <row r="1034">
          <cell r="A1034" t="str">
            <v>AHW-41308I21</v>
          </cell>
          <cell r="B1034">
            <v>4002273</v>
          </cell>
          <cell r="C1034" t="str">
            <v>Original</v>
          </cell>
          <cell r="D1034" t="str">
            <v>CTS</v>
          </cell>
          <cell r="E1034" t="str">
            <v>TSA</v>
          </cell>
          <cell r="F1034">
            <v>44309</v>
          </cell>
          <cell r="G1034">
            <v>44317</v>
          </cell>
          <cell r="H1034">
            <v>44319</v>
          </cell>
          <cell r="I1034" t="str">
            <v>05.05.2021</v>
          </cell>
          <cell r="J1034" t="str">
            <v>11.05.2021</v>
          </cell>
          <cell r="K1034" t="str">
            <v>-</v>
          </cell>
          <cell r="L1034" t="str">
            <v>OK</v>
          </cell>
        </row>
        <row r="1035">
          <cell r="A1035" t="str">
            <v>AHW-41380I21</v>
          </cell>
          <cell r="B1035">
            <v>4002133</v>
          </cell>
          <cell r="C1035" t="str">
            <v>Original</v>
          </cell>
          <cell r="D1035" t="str">
            <v>CTS</v>
          </cell>
          <cell r="E1035" t="str">
            <v>TSA</v>
          </cell>
          <cell r="F1035">
            <v>44309</v>
          </cell>
          <cell r="G1035">
            <v>44317</v>
          </cell>
          <cell r="H1035">
            <v>44319</v>
          </cell>
          <cell r="I1035" t="str">
            <v>06.05.2021</v>
          </cell>
          <cell r="J1035" t="str">
            <v>11.05.2021</v>
          </cell>
          <cell r="K1035" t="str">
            <v>-</v>
          </cell>
          <cell r="L1035" t="str">
            <v>OK</v>
          </cell>
        </row>
        <row r="1036">
          <cell r="A1036" t="str">
            <v>AHW-41424I21</v>
          </cell>
          <cell r="B1036">
            <v>80584612</v>
          </cell>
          <cell r="C1036" t="str">
            <v>Original</v>
          </cell>
          <cell r="D1036" t="str">
            <v>CEVA</v>
          </cell>
          <cell r="E1036" t="str">
            <v>Rodoimport</v>
          </cell>
          <cell r="F1036">
            <v>44312</v>
          </cell>
          <cell r="G1036">
            <v>44320</v>
          </cell>
          <cell r="H1036">
            <v>44322</v>
          </cell>
          <cell r="I1036" t="str">
            <v>05.05.2021</v>
          </cell>
          <cell r="J1036" t="str">
            <v>11.05.2021</v>
          </cell>
          <cell r="K1036" t="str">
            <v>-</v>
          </cell>
          <cell r="L1036" t="str">
            <v>OK</v>
          </cell>
        </row>
        <row r="1037">
          <cell r="A1037" t="str">
            <v>AHW-41530I21</v>
          </cell>
          <cell r="B1037">
            <v>4002341</v>
          </cell>
          <cell r="C1037" t="str">
            <v>Original</v>
          </cell>
          <cell r="D1037" t="str">
            <v>CTS</v>
          </cell>
          <cell r="E1037" t="str">
            <v>TSA</v>
          </cell>
          <cell r="F1037">
            <v>44312</v>
          </cell>
          <cell r="G1037">
            <v>44320</v>
          </cell>
          <cell r="H1037">
            <v>44322</v>
          </cell>
          <cell r="I1037" t="str">
            <v>05.05.2021</v>
          </cell>
          <cell r="J1037" t="str">
            <v>11.05.2021</v>
          </cell>
          <cell r="K1037" t="str">
            <v>-</v>
          </cell>
          <cell r="L1037" t="str">
            <v>OK</v>
          </cell>
        </row>
        <row r="1038">
          <cell r="A1038" t="str">
            <v>AHW-41569I21</v>
          </cell>
          <cell r="B1038">
            <v>4002358</v>
          </cell>
          <cell r="C1038" t="str">
            <v>Original</v>
          </cell>
          <cell r="D1038" t="str">
            <v>CTS</v>
          </cell>
          <cell r="E1038" t="str">
            <v>TSA</v>
          </cell>
          <cell r="F1038">
            <v>44312</v>
          </cell>
          <cell r="G1038">
            <v>44320</v>
          </cell>
          <cell r="H1038">
            <v>44322</v>
          </cell>
          <cell r="I1038" t="str">
            <v>05.05.2021</v>
          </cell>
          <cell r="J1038" t="str">
            <v>11.05.2021</v>
          </cell>
          <cell r="K1038" t="str">
            <v>-</v>
          </cell>
          <cell r="L1038" t="str">
            <v>OK</v>
          </cell>
        </row>
        <row r="1039">
          <cell r="A1039" t="str">
            <v>AHW-41571I21</v>
          </cell>
          <cell r="B1039">
            <v>4002360</v>
          </cell>
          <cell r="C1039" t="str">
            <v>Original</v>
          </cell>
          <cell r="D1039" t="str">
            <v>CTS</v>
          </cell>
          <cell r="E1039" t="str">
            <v>TSA</v>
          </cell>
          <cell r="F1039">
            <v>44312</v>
          </cell>
          <cell r="G1039">
            <v>44320</v>
          </cell>
          <cell r="H1039">
            <v>44322</v>
          </cell>
          <cell r="I1039" t="str">
            <v>05.05.2021</v>
          </cell>
          <cell r="J1039" t="str">
            <v>11.05.2021</v>
          </cell>
          <cell r="K1039" t="str">
            <v>-</v>
          </cell>
          <cell r="L1039" t="str">
            <v>OK</v>
          </cell>
        </row>
        <row r="1040">
          <cell r="A1040" t="str">
            <v>AHW-41306I21</v>
          </cell>
          <cell r="B1040">
            <v>4002272</v>
          </cell>
          <cell r="C1040" t="str">
            <v>Original</v>
          </cell>
          <cell r="D1040" t="str">
            <v>CTS</v>
          </cell>
          <cell r="E1040" t="str">
            <v>TSA</v>
          </cell>
          <cell r="F1040">
            <v>44313</v>
          </cell>
          <cell r="G1040">
            <v>44321</v>
          </cell>
          <cell r="H1040">
            <v>44323</v>
          </cell>
          <cell r="I1040" t="str">
            <v>05.05.2021</v>
          </cell>
          <cell r="J1040" t="str">
            <v>11.05.2021</v>
          </cell>
          <cell r="K1040" t="str">
            <v>-</v>
          </cell>
          <cell r="L1040" t="str">
            <v>OK</v>
          </cell>
        </row>
        <row r="1041">
          <cell r="A1041" t="str">
            <v>AHW-41421I21</v>
          </cell>
          <cell r="B1041">
            <v>4002291</v>
          </cell>
          <cell r="C1041" t="str">
            <v>Original</v>
          </cell>
          <cell r="D1041" t="str">
            <v>CTS</v>
          </cell>
          <cell r="E1041" t="str">
            <v>TSA</v>
          </cell>
          <cell r="F1041">
            <v>44313</v>
          </cell>
          <cell r="G1041">
            <v>44321</v>
          </cell>
          <cell r="H1041">
            <v>44323</v>
          </cell>
          <cell r="I1041" t="str">
            <v>10.05.2021</v>
          </cell>
          <cell r="J1041" t="str">
            <v>11.05.2021</v>
          </cell>
          <cell r="K1041" t="str">
            <v>-</v>
          </cell>
          <cell r="L1041" t="str">
            <v>OK</v>
          </cell>
        </row>
        <row r="1042">
          <cell r="A1042" t="str">
            <v>AHW-41423I21</v>
          </cell>
          <cell r="B1042">
            <v>4002301</v>
          </cell>
          <cell r="C1042" t="str">
            <v>Original</v>
          </cell>
          <cell r="D1042" t="str">
            <v>CTS</v>
          </cell>
          <cell r="E1042" t="str">
            <v>TSA</v>
          </cell>
          <cell r="F1042">
            <v>44313</v>
          </cell>
          <cell r="G1042">
            <v>44321</v>
          </cell>
          <cell r="H1042">
            <v>44323</v>
          </cell>
          <cell r="I1042" t="str">
            <v>05.05.2021</v>
          </cell>
          <cell r="J1042" t="str">
            <v>11.05.2021</v>
          </cell>
          <cell r="K1042" t="str">
            <v>-</v>
          </cell>
          <cell r="L1042" t="str">
            <v>OK</v>
          </cell>
        </row>
        <row r="1043">
          <cell r="A1043" t="str">
            <v>AHW-41476I21</v>
          </cell>
          <cell r="B1043">
            <v>4002320</v>
          </cell>
          <cell r="C1043" t="str">
            <v>Original</v>
          </cell>
          <cell r="D1043" t="str">
            <v>CTS</v>
          </cell>
          <cell r="E1043" t="str">
            <v>TSA</v>
          </cell>
          <cell r="F1043">
            <v>44313</v>
          </cell>
          <cell r="G1043">
            <v>44321</v>
          </cell>
          <cell r="H1043">
            <v>44323</v>
          </cell>
          <cell r="I1043" t="str">
            <v>06.05.2021</v>
          </cell>
          <cell r="J1043" t="str">
            <v>11.05.2021</v>
          </cell>
          <cell r="K1043" t="str">
            <v>-</v>
          </cell>
          <cell r="L1043" t="str">
            <v>OK</v>
          </cell>
        </row>
        <row r="1044">
          <cell r="A1044" t="str">
            <v>AHW-41495I21</v>
          </cell>
          <cell r="B1044">
            <v>4002324</v>
          </cell>
          <cell r="C1044" t="str">
            <v>Original</v>
          </cell>
          <cell r="D1044" t="str">
            <v>CTS</v>
          </cell>
          <cell r="E1044" t="str">
            <v>TSA</v>
          </cell>
          <cell r="F1044">
            <v>44313</v>
          </cell>
          <cell r="G1044">
            <v>44321</v>
          </cell>
          <cell r="H1044">
            <v>44323</v>
          </cell>
          <cell r="I1044" t="str">
            <v>06.05.2021</v>
          </cell>
          <cell r="J1044" t="str">
            <v>11.05.2021</v>
          </cell>
          <cell r="K1044" t="str">
            <v>-</v>
          </cell>
          <cell r="L1044" t="str">
            <v>OK</v>
          </cell>
        </row>
        <row r="1045">
          <cell r="A1045" t="str">
            <v>AHW-41219I21</v>
          </cell>
          <cell r="B1045" t="str">
            <v>4002213B</v>
          </cell>
          <cell r="C1045" t="str">
            <v>Original</v>
          </cell>
          <cell r="D1045" t="str">
            <v>CTS</v>
          </cell>
          <cell r="E1045" t="str">
            <v>TSA</v>
          </cell>
          <cell r="F1045">
            <v>44314</v>
          </cell>
          <cell r="G1045">
            <v>44322</v>
          </cell>
          <cell r="H1045">
            <v>44324</v>
          </cell>
          <cell r="I1045" t="str">
            <v>06.05.2021</v>
          </cell>
          <cell r="J1045" t="str">
            <v>11.05.2021</v>
          </cell>
          <cell r="K1045" t="str">
            <v>-</v>
          </cell>
          <cell r="L1045" t="str">
            <v>OK</v>
          </cell>
        </row>
        <row r="1046">
          <cell r="A1046" t="str">
            <v>AHW-41532I21</v>
          </cell>
          <cell r="B1046">
            <v>4002351</v>
          </cell>
          <cell r="C1046" t="str">
            <v>Original</v>
          </cell>
          <cell r="D1046" t="str">
            <v>CTS</v>
          </cell>
          <cell r="E1046" t="str">
            <v>TSA</v>
          </cell>
          <cell r="F1046">
            <v>44314</v>
          </cell>
          <cell r="G1046">
            <v>44322</v>
          </cell>
          <cell r="H1046">
            <v>44324</v>
          </cell>
          <cell r="I1046" t="str">
            <v>06.05.2021</v>
          </cell>
          <cell r="J1046" t="str">
            <v>11.05.2021</v>
          </cell>
          <cell r="K1046" t="str">
            <v>-</v>
          </cell>
          <cell r="L1046" t="str">
            <v>OK</v>
          </cell>
        </row>
        <row r="1047">
          <cell r="A1047" t="str">
            <v>AHW-41217I21</v>
          </cell>
          <cell r="B1047" t="str">
            <v>4002232C</v>
          </cell>
          <cell r="C1047" t="str">
            <v>Original</v>
          </cell>
          <cell r="D1047" t="str">
            <v>CTS</v>
          </cell>
          <cell r="E1047" t="str">
            <v>TSA</v>
          </cell>
          <cell r="F1047">
            <v>44319</v>
          </cell>
          <cell r="G1047">
            <v>44327</v>
          </cell>
          <cell r="H1047">
            <v>44329</v>
          </cell>
          <cell r="I1047" t="str">
            <v>06.05.2021</v>
          </cell>
          <cell r="J1047" t="str">
            <v>19.05.2021</v>
          </cell>
          <cell r="K1047" t="str">
            <v>-</v>
          </cell>
          <cell r="L1047" t="str">
            <v>OK</v>
          </cell>
        </row>
        <row r="1048">
          <cell r="A1048" t="str">
            <v>AHW-41351I21</v>
          </cell>
          <cell r="B1048">
            <v>4002278</v>
          </cell>
          <cell r="C1048" t="str">
            <v>Original</v>
          </cell>
          <cell r="D1048" t="str">
            <v>CTS</v>
          </cell>
          <cell r="E1048" t="str">
            <v>TSA</v>
          </cell>
          <cell r="F1048">
            <v>44319</v>
          </cell>
          <cell r="G1048">
            <v>44327</v>
          </cell>
          <cell r="H1048">
            <v>44329</v>
          </cell>
          <cell r="I1048" t="str">
            <v>05.05.2021</v>
          </cell>
          <cell r="J1048" t="str">
            <v>19.05.2021</v>
          </cell>
          <cell r="K1048" t="str">
            <v>-</v>
          </cell>
          <cell r="L1048" t="str">
            <v>OK</v>
          </cell>
        </row>
        <row r="1049">
          <cell r="A1049" t="str">
            <v>AHW-41420I21</v>
          </cell>
          <cell r="B1049">
            <v>4002299</v>
          </cell>
          <cell r="C1049" t="str">
            <v>Original</v>
          </cell>
          <cell r="D1049" t="str">
            <v>CTS</v>
          </cell>
          <cell r="E1049" t="str">
            <v>TSA</v>
          </cell>
          <cell r="F1049">
            <v>44319</v>
          </cell>
          <cell r="G1049">
            <v>44327</v>
          </cell>
          <cell r="H1049">
            <v>44329</v>
          </cell>
          <cell r="I1049" t="str">
            <v>06.05.2021</v>
          </cell>
          <cell r="J1049" t="str">
            <v>19.05.2021</v>
          </cell>
          <cell r="K1049" t="str">
            <v>-</v>
          </cell>
          <cell r="L1049" t="str">
            <v>OK</v>
          </cell>
        </row>
        <row r="1050">
          <cell r="A1050" t="str">
            <v>AHW-41422I21</v>
          </cell>
          <cell r="B1050">
            <v>4002300</v>
          </cell>
          <cell r="C1050" t="str">
            <v>Original</v>
          </cell>
          <cell r="D1050" t="str">
            <v>CTS</v>
          </cell>
          <cell r="E1050" t="str">
            <v>TSA</v>
          </cell>
          <cell r="F1050">
            <v>44319</v>
          </cell>
          <cell r="G1050">
            <v>44327</v>
          </cell>
          <cell r="H1050">
            <v>44329</v>
          </cell>
          <cell r="I1050" t="str">
            <v>06.05.2021</v>
          </cell>
          <cell r="J1050" t="str">
            <v>19.05.2021</v>
          </cell>
          <cell r="K1050" t="str">
            <v>-</v>
          </cell>
          <cell r="L1050" t="str">
            <v>OK</v>
          </cell>
        </row>
        <row r="1051">
          <cell r="A1051" t="str">
            <v>AHW-41475I21</v>
          </cell>
          <cell r="B1051">
            <v>4002315</v>
          </cell>
          <cell r="C1051" t="str">
            <v>Original</v>
          </cell>
          <cell r="D1051" t="str">
            <v>CTS</v>
          </cell>
          <cell r="E1051" t="str">
            <v>TSA</v>
          </cell>
          <cell r="F1051">
            <v>44319</v>
          </cell>
          <cell r="G1051">
            <v>44327</v>
          </cell>
          <cell r="H1051">
            <v>44329</v>
          </cell>
          <cell r="I1051" t="str">
            <v>06.05.2021</v>
          </cell>
          <cell r="J1051" t="str">
            <v>19.05.2021</v>
          </cell>
          <cell r="K1051" t="str">
            <v>-</v>
          </cell>
          <cell r="L1051" t="str">
            <v>OK</v>
          </cell>
        </row>
        <row r="1052">
          <cell r="A1052" t="str">
            <v>AHW-41496I21</v>
          </cell>
          <cell r="B1052">
            <v>4002331</v>
          </cell>
          <cell r="C1052" t="str">
            <v>Original</v>
          </cell>
          <cell r="D1052" t="str">
            <v>CTS</v>
          </cell>
          <cell r="E1052" t="str">
            <v>TSA</v>
          </cell>
          <cell r="F1052">
            <v>44319</v>
          </cell>
          <cell r="G1052">
            <v>44327</v>
          </cell>
          <cell r="H1052">
            <v>44329</v>
          </cell>
          <cell r="I1052" t="str">
            <v>06.05.2021</v>
          </cell>
          <cell r="J1052" t="str">
            <v>19.05.2021</v>
          </cell>
          <cell r="K1052" t="str">
            <v>-</v>
          </cell>
          <cell r="L1052" t="str">
            <v>OK</v>
          </cell>
        </row>
        <row r="1053">
          <cell r="A1053" t="str">
            <v>AHW-41531I21</v>
          </cell>
          <cell r="B1053">
            <v>4002351</v>
          </cell>
          <cell r="C1053" t="str">
            <v>Original</v>
          </cell>
          <cell r="D1053" t="str">
            <v>CTS</v>
          </cell>
          <cell r="E1053" t="str">
            <v>TSA</v>
          </cell>
          <cell r="F1053">
            <v>44319</v>
          </cell>
          <cell r="G1053">
            <v>44327</v>
          </cell>
          <cell r="H1053">
            <v>44329</v>
          </cell>
          <cell r="I1053" t="str">
            <v>06.05.2021</v>
          </cell>
          <cell r="J1053" t="str">
            <v>19.05.2021</v>
          </cell>
          <cell r="K1053" t="str">
            <v>-</v>
          </cell>
          <cell r="L1053" t="str">
            <v>OK</v>
          </cell>
        </row>
        <row r="1054">
          <cell r="A1054" t="str">
            <v>AHW-41570I21</v>
          </cell>
          <cell r="B1054">
            <v>4002359</v>
          </cell>
          <cell r="C1054" t="str">
            <v>Original</v>
          </cell>
          <cell r="D1054" t="str">
            <v>CTS</v>
          </cell>
          <cell r="E1054" t="str">
            <v>TSA</v>
          </cell>
          <cell r="F1054">
            <v>44319</v>
          </cell>
          <cell r="G1054">
            <v>44327</v>
          </cell>
          <cell r="H1054">
            <v>44329</v>
          </cell>
          <cell r="I1054" t="str">
            <v>06.05.2021</v>
          </cell>
          <cell r="J1054" t="str">
            <v>19.05.2021</v>
          </cell>
          <cell r="K1054" t="str">
            <v>-</v>
          </cell>
          <cell r="L1054" t="str">
            <v>OK</v>
          </cell>
        </row>
        <row r="1055">
          <cell r="A1055" t="str">
            <v>AHW-41682I21</v>
          </cell>
          <cell r="B1055">
            <v>4002505</v>
          </cell>
          <cell r="C1055" t="str">
            <v>Original</v>
          </cell>
          <cell r="D1055" t="str">
            <v>CTS</v>
          </cell>
          <cell r="E1055" t="str">
            <v>TSA</v>
          </cell>
          <cell r="F1055">
            <v>44319</v>
          </cell>
          <cell r="G1055">
            <v>44327</v>
          </cell>
          <cell r="H1055">
            <v>44329</v>
          </cell>
          <cell r="I1055" t="str">
            <v>06.05.2021</v>
          </cell>
          <cell r="J1055" t="str">
            <v>19.05.2021</v>
          </cell>
          <cell r="K1055" t="str">
            <v>-</v>
          </cell>
          <cell r="L1055" t="str">
            <v>OK</v>
          </cell>
        </row>
        <row r="1056">
          <cell r="A1056" t="str">
            <v>SHW-41096I21</v>
          </cell>
          <cell r="B1056">
            <v>911940699</v>
          </cell>
          <cell r="C1056" t="str">
            <v>Original</v>
          </cell>
          <cell r="D1056" t="str">
            <v>CEVA</v>
          </cell>
          <cell r="E1056" t="str">
            <v>TACT</v>
          </cell>
          <cell r="F1056">
            <v>44314</v>
          </cell>
          <cell r="G1056">
            <v>44322</v>
          </cell>
          <cell r="H1056">
            <v>44324</v>
          </cell>
          <cell r="I1056" t="str">
            <v>10.05.2021</v>
          </cell>
          <cell r="J1056" t="str">
            <v>03.05.2021</v>
          </cell>
          <cell r="K1056" t="str">
            <v>-</v>
          </cell>
          <cell r="L1056" t="str">
            <v>OK</v>
          </cell>
        </row>
        <row r="1057">
          <cell r="A1057" t="str">
            <v>SHW-40824I21</v>
          </cell>
          <cell r="B1057">
            <v>208586257</v>
          </cell>
          <cell r="C1057" t="str">
            <v>Original</v>
          </cell>
          <cell r="D1057" t="str">
            <v>CEVA</v>
          </cell>
          <cell r="E1057" t="str">
            <v>TACT</v>
          </cell>
          <cell r="F1057">
            <v>44319</v>
          </cell>
          <cell r="G1057">
            <v>44327</v>
          </cell>
          <cell r="H1057">
            <v>44329</v>
          </cell>
          <cell r="I1057" t="str">
            <v>07.05.2021</v>
          </cell>
          <cell r="J1057" t="str">
            <v>04.05.2021</v>
          </cell>
          <cell r="K1057" t="str">
            <v>-</v>
          </cell>
          <cell r="L1057" t="str">
            <v>OK</v>
          </cell>
        </row>
        <row r="1058">
          <cell r="A1058" t="str">
            <v>AHW-41573I21</v>
          </cell>
          <cell r="B1058">
            <v>4002371</v>
          </cell>
          <cell r="C1058" t="str">
            <v>Original</v>
          </cell>
          <cell r="D1058" t="str">
            <v>CTS</v>
          </cell>
          <cell r="E1058" t="str">
            <v>TSA</v>
          </cell>
          <cell r="F1058">
            <v>44320</v>
          </cell>
          <cell r="G1058">
            <v>44328</v>
          </cell>
          <cell r="H1058">
            <v>44330</v>
          </cell>
          <cell r="I1058" t="str">
            <v>10.05.2021</v>
          </cell>
          <cell r="J1058" t="str">
            <v>19.05.2021</v>
          </cell>
          <cell r="K1058" t="str">
            <v>-</v>
          </cell>
          <cell r="L1058" t="str">
            <v>OK</v>
          </cell>
        </row>
        <row r="1059">
          <cell r="A1059" t="str">
            <v>AHW-41574I21</v>
          </cell>
          <cell r="B1059">
            <v>4002386</v>
          </cell>
          <cell r="C1059" t="str">
            <v>Original</v>
          </cell>
          <cell r="D1059" t="str">
            <v>CTS</v>
          </cell>
          <cell r="E1059" t="str">
            <v>TSA</v>
          </cell>
          <cell r="F1059">
            <v>44320</v>
          </cell>
          <cell r="G1059">
            <v>44328</v>
          </cell>
          <cell r="H1059">
            <v>44330</v>
          </cell>
          <cell r="I1059" t="str">
            <v>10.05.2021</v>
          </cell>
          <cell r="J1059" t="str">
            <v>19.05.2021</v>
          </cell>
          <cell r="K1059" t="str">
            <v>-</v>
          </cell>
          <cell r="L1059" t="str">
            <v>OK</v>
          </cell>
        </row>
        <row r="1060">
          <cell r="A1060" t="str">
            <v>AHW-41575I21</v>
          </cell>
          <cell r="B1060">
            <v>4002384</v>
          </cell>
          <cell r="C1060" t="str">
            <v>Original</v>
          </cell>
          <cell r="D1060" t="str">
            <v>CTS</v>
          </cell>
          <cell r="E1060" t="str">
            <v>TSA</v>
          </cell>
          <cell r="F1060">
            <v>44320</v>
          </cell>
          <cell r="G1060">
            <v>44328</v>
          </cell>
          <cell r="H1060">
            <v>44330</v>
          </cell>
          <cell r="I1060" t="str">
            <v>10.05.2021</v>
          </cell>
          <cell r="J1060" t="str">
            <v>19.05.2021</v>
          </cell>
          <cell r="K1060" t="str">
            <v>-</v>
          </cell>
          <cell r="L1060" t="str">
            <v>OK</v>
          </cell>
        </row>
        <row r="1061">
          <cell r="A1061" t="str">
            <v>AHW-41576I21</v>
          </cell>
          <cell r="B1061">
            <v>4002385</v>
          </cell>
          <cell r="C1061" t="str">
            <v>Original</v>
          </cell>
          <cell r="D1061" t="str">
            <v>CTS</v>
          </cell>
          <cell r="E1061" t="str">
            <v>TSA</v>
          </cell>
          <cell r="F1061">
            <v>44320</v>
          </cell>
          <cell r="G1061">
            <v>44328</v>
          </cell>
          <cell r="H1061">
            <v>44330</v>
          </cell>
          <cell r="I1061" t="str">
            <v>10.05.2021</v>
          </cell>
          <cell r="J1061" t="str">
            <v>19.05.2021</v>
          </cell>
          <cell r="K1061" t="str">
            <v>-</v>
          </cell>
          <cell r="L1061" t="str">
            <v>OK</v>
          </cell>
        </row>
        <row r="1062">
          <cell r="A1062" t="str">
            <v>AHW-41679I21</v>
          </cell>
          <cell r="B1062">
            <v>4002394</v>
          </cell>
          <cell r="C1062" t="str">
            <v>Original</v>
          </cell>
          <cell r="D1062" t="str">
            <v>CTS</v>
          </cell>
          <cell r="E1062" t="str">
            <v>TSA</v>
          </cell>
          <cell r="F1062">
            <v>44320</v>
          </cell>
          <cell r="G1062">
            <v>44328</v>
          </cell>
          <cell r="H1062">
            <v>44330</v>
          </cell>
          <cell r="I1062" t="str">
            <v>10.05.2021</v>
          </cell>
          <cell r="J1062" t="str">
            <v>19.05.2021</v>
          </cell>
          <cell r="K1062" t="str">
            <v>-</v>
          </cell>
          <cell r="L1062" t="str">
            <v>OK</v>
          </cell>
        </row>
        <row r="1063">
          <cell r="A1063" t="str">
            <v>AHW-41680I21</v>
          </cell>
          <cell r="B1063">
            <v>4002393</v>
          </cell>
          <cell r="C1063" t="str">
            <v>Original</v>
          </cell>
          <cell r="D1063" t="str">
            <v>CTS</v>
          </cell>
          <cell r="E1063" t="str">
            <v>TSA</v>
          </cell>
          <cell r="F1063">
            <v>44320</v>
          </cell>
          <cell r="G1063">
            <v>44328</v>
          </cell>
          <cell r="H1063">
            <v>44330</v>
          </cell>
          <cell r="I1063" t="str">
            <v>10.05.2021</v>
          </cell>
          <cell r="J1063" t="str">
            <v>19.05.2021</v>
          </cell>
          <cell r="K1063" t="str">
            <v>-</v>
          </cell>
          <cell r="L1063" t="str">
            <v>OK</v>
          </cell>
        </row>
        <row r="1064">
          <cell r="A1064" t="str">
            <v>AHW-41684I21</v>
          </cell>
          <cell r="B1064">
            <v>4002396</v>
          </cell>
          <cell r="C1064" t="str">
            <v>Original</v>
          </cell>
          <cell r="D1064" t="str">
            <v>CTS</v>
          </cell>
          <cell r="E1064" t="str">
            <v>TSA</v>
          </cell>
          <cell r="F1064">
            <v>44320</v>
          </cell>
          <cell r="G1064">
            <v>44328</v>
          </cell>
          <cell r="H1064">
            <v>44330</v>
          </cell>
          <cell r="I1064" t="str">
            <v>10.05.2021</v>
          </cell>
          <cell r="J1064" t="str">
            <v>19.05.2021</v>
          </cell>
          <cell r="K1064" t="str">
            <v>-</v>
          </cell>
          <cell r="L1064" t="str">
            <v>OK</v>
          </cell>
        </row>
        <row r="1065">
          <cell r="A1065" t="str">
            <v>AHW-41685I21</v>
          </cell>
          <cell r="B1065">
            <v>4002515</v>
          </cell>
          <cell r="C1065" t="str">
            <v>Original</v>
          </cell>
          <cell r="D1065" t="str">
            <v>CTS</v>
          </cell>
          <cell r="E1065" t="str">
            <v>TSA</v>
          </cell>
          <cell r="F1065">
            <v>44320</v>
          </cell>
          <cell r="G1065">
            <v>44328</v>
          </cell>
          <cell r="H1065">
            <v>44330</v>
          </cell>
          <cell r="I1065" t="str">
            <v>10.05.2021</v>
          </cell>
          <cell r="J1065" t="str">
            <v>19.05.2021</v>
          </cell>
          <cell r="K1065" t="str">
            <v>-</v>
          </cell>
          <cell r="L1065" t="str">
            <v>OK</v>
          </cell>
        </row>
        <row r="1066">
          <cell r="A1066" t="str">
            <v>SHW-41160I21</v>
          </cell>
          <cell r="B1066" t="str">
            <v>EGLV149102056217</v>
          </cell>
          <cell r="C1066" t="str">
            <v>Original</v>
          </cell>
          <cell r="D1066" t="str">
            <v>CEVA</v>
          </cell>
          <cell r="E1066" t="str">
            <v>TACT</v>
          </cell>
          <cell r="F1066">
            <v>44321</v>
          </cell>
          <cell r="G1066">
            <v>44329</v>
          </cell>
          <cell r="H1066">
            <v>44331</v>
          </cell>
          <cell r="I1066" t="str">
            <v>06.05.2021</v>
          </cell>
          <cell r="J1066" t="str">
            <v>06.05.2021</v>
          </cell>
          <cell r="K1066" t="str">
            <v>-</v>
          </cell>
          <cell r="L1066" t="str">
            <v>OK</v>
          </cell>
        </row>
        <row r="1067">
          <cell r="A1067" t="str">
            <v>AHW-41216I21</v>
          </cell>
          <cell r="B1067" t="str">
            <v>4002232B</v>
          </cell>
          <cell r="C1067" t="str">
            <v>Original</v>
          </cell>
          <cell r="D1067" t="str">
            <v>CTS</v>
          </cell>
          <cell r="E1067" t="str">
            <v>TSA</v>
          </cell>
          <cell r="F1067">
            <v>44321</v>
          </cell>
          <cell r="G1067">
            <v>44329</v>
          </cell>
          <cell r="H1067">
            <v>44331</v>
          </cell>
          <cell r="I1067" t="str">
            <v>10.05.2021</v>
          </cell>
          <cell r="J1067" t="str">
            <v>-</v>
          </cell>
          <cell r="K1067" t="str">
            <v>-</v>
          </cell>
          <cell r="L1067" t="str">
            <v>OK</v>
          </cell>
        </row>
        <row r="1068">
          <cell r="A1068" t="str">
            <v>AHW-41419I21</v>
          </cell>
          <cell r="B1068">
            <v>4002292</v>
          </cell>
          <cell r="C1068" t="str">
            <v>Original</v>
          </cell>
          <cell r="D1068" t="str">
            <v>CTS</v>
          </cell>
          <cell r="E1068" t="str">
            <v>TSA</v>
          </cell>
          <cell r="F1068">
            <v>44321</v>
          </cell>
          <cell r="G1068">
            <v>44329</v>
          </cell>
          <cell r="H1068">
            <v>44331</v>
          </cell>
          <cell r="I1068" t="str">
            <v>10.05.2021</v>
          </cell>
          <cell r="J1068" t="str">
            <v>19.05.2021</v>
          </cell>
          <cell r="K1068" t="str">
            <v>-</v>
          </cell>
          <cell r="L1068" t="str">
            <v>OK</v>
          </cell>
        </row>
        <row r="1069">
          <cell r="A1069" t="str">
            <v>AHW-41497I21</v>
          </cell>
          <cell r="B1069">
            <v>4002340</v>
          </cell>
          <cell r="C1069" t="str">
            <v>Original</v>
          </cell>
          <cell r="D1069" t="str">
            <v>CTS</v>
          </cell>
          <cell r="E1069" t="str">
            <v>TSA</v>
          </cell>
          <cell r="F1069">
            <v>44321</v>
          </cell>
          <cell r="G1069">
            <v>44329</v>
          </cell>
          <cell r="H1069">
            <v>44331</v>
          </cell>
          <cell r="I1069" t="str">
            <v>10.05.2021</v>
          </cell>
          <cell r="J1069" t="str">
            <v>19.05.2021</v>
          </cell>
          <cell r="K1069" t="str">
            <v>-</v>
          </cell>
          <cell r="L1069" t="str">
            <v>OK</v>
          </cell>
        </row>
        <row r="1070">
          <cell r="A1070" t="str">
            <v>AHW-41572I21</v>
          </cell>
          <cell r="B1070">
            <v>4002370</v>
          </cell>
          <cell r="C1070" t="str">
            <v>Original</v>
          </cell>
          <cell r="D1070" t="str">
            <v>CTS</v>
          </cell>
          <cell r="E1070" t="str">
            <v>TSA</v>
          </cell>
          <cell r="F1070">
            <v>44321</v>
          </cell>
          <cell r="G1070">
            <v>44329</v>
          </cell>
          <cell r="H1070">
            <v>44331</v>
          </cell>
          <cell r="I1070" t="str">
            <v>10.05.2021</v>
          </cell>
          <cell r="J1070" t="str">
            <v>19.05.2021</v>
          </cell>
          <cell r="K1070" t="str">
            <v>-</v>
          </cell>
          <cell r="L1070" t="str">
            <v>OK</v>
          </cell>
        </row>
        <row r="1071">
          <cell r="A1071" t="str">
            <v>AHW-41681I21</v>
          </cell>
          <cell r="B1071">
            <v>4002504</v>
          </cell>
          <cell r="C1071" t="str">
            <v>Original</v>
          </cell>
          <cell r="D1071" t="str">
            <v>CTS</v>
          </cell>
          <cell r="E1071" t="str">
            <v>TSA</v>
          </cell>
          <cell r="F1071">
            <v>44321</v>
          </cell>
          <cell r="G1071">
            <v>44329</v>
          </cell>
          <cell r="H1071">
            <v>44331</v>
          </cell>
          <cell r="I1071" t="str">
            <v>10.05.2021</v>
          </cell>
          <cell r="J1071" t="str">
            <v>19.05.2021</v>
          </cell>
          <cell r="K1071" t="str">
            <v>-</v>
          </cell>
          <cell r="L1071" t="str">
            <v>OK</v>
          </cell>
        </row>
        <row r="1072">
          <cell r="A1072" t="str">
            <v>AHW-41683I21</v>
          </cell>
          <cell r="B1072">
            <v>4002395</v>
          </cell>
          <cell r="C1072" t="str">
            <v>Original</v>
          </cell>
          <cell r="D1072" t="str">
            <v>CTS</v>
          </cell>
          <cell r="E1072" t="str">
            <v>TSA</v>
          </cell>
          <cell r="F1072">
            <v>44321</v>
          </cell>
          <cell r="G1072">
            <v>44329</v>
          </cell>
          <cell r="H1072">
            <v>44331</v>
          </cell>
          <cell r="I1072" t="str">
            <v>10.05.2021</v>
          </cell>
          <cell r="J1072" t="str">
            <v>19.05.2021</v>
          </cell>
          <cell r="K1072" t="str">
            <v>-</v>
          </cell>
          <cell r="L1072" t="str">
            <v>OK</v>
          </cell>
        </row>
        <row r="1073">
          <cell r="A1073" t="str">
            <v>AHW-41747I21</v>
          </cell>
          <cell r="B1073">
            <v>4002516</v>
          </cell>
          <cell r="C1073" t="str">
            <v>Original</v>
          </cell>
          <cell r="D1073" t="str">
            <v>CTS</v>
          </cell>
          <cell r="E1073" t="str">
            <v>TSA</v>
          </cell>
          <cell r="F1073">
            <v>44321</v>
          </cell>
          <cell r="G1073">
            <v>44329</v>
          </cell>
          <cell r="H1073">
            <v>44331</v>
          </cell>
          <cell r="I1073" t="str">
            <v>10.05.2021</v>
          </cell>
          <cell r="J1073" t="str">
            <v>19.05.2021</v>
          </cell>
          <cell r="K1073" t="str">
            <v>-</v>
          </cell>
          <cell r="L1073" t="str">
            <v>OK</v>
          </cell>
        </row>
        <row r="1074">
          <cell r="A1074" t="str">
            <v>AHW-41793I21</v>
          </cell>
          <cell r="B1074">
            <v>4002527</v>
          </cell>
          <cell r="C1074" t="str">
            <v>Original</v>
          </cell>
          <cell r="D1074" t="str">
            <v>CTS</v>
          </cell>
          <cell r="E1074" t="str">
            <v>TSA</v>
          </cell>
          <cell r="F1074">
            <v>44327</v>
          </cell>
          <cell r="G1074">
            <v>44335</v>
          </cell>
          <cell r="H1074">
            <v>44337</v>
          </cell>
          <cell r="I1074" t="str">
            <v>14.05.2021</v>
          </cell>
          <cell r="J1074" t="str">
            <v>19.05.2021</v>
          </cell>
          <cell r="K1074" t="str">
            <v>-</v>
          </cell>
          <cell r="L1074" t="str">
            <v>OK</v>
          </cell>
        </row>
        <row r="1075">
          <cell r="A1075" t="str">
            <v>AHW-41794I21</v>
          </cell>
          <cell r="B1075">
            <v>4002555</v>
          </cell>
          <cell r="C1075" t="str">
            <v>Original</v>
          </cell>
          <cell r="D1075" t="str">
            <v>CTS</v>
          </cell>
          <cell r="E1075" t="str">
            <v>TSA</v>
          </cell>
          <cell r="F1075">
            <v>44327</v>
          </cell>
          <cell r="G1075">
            <v>44335</v>
          </cell>
          <cell r="H1075">
            <v>44337</v>
          </cell>
          <cell r="I1075" t="str">
            <v>14.05.2021</v>
          </cell>
          <cell r="J1075" t="str">
            <v>19.05.2021</v>
          </cell>
          <cell r="K1075" t="str">
            <v>-</v>
          </cell>
          <cell r="L1075" t="str">
            <v>OK</v>
          </cell>
        </row>
        <row r="1076">
          <cell r="A1076" t="str">
            <v>AHW-41798I21</v>
          </cell>
          <cell r="B1076">
            <v>4002559</v>
          </cell>
          <cell r="C1076" t="str">
            <v>Original</v>
          </cell>
          <cell r="D1076" t="str">
            <v>CTS</v>
          </cell>
          <cell r="E1076" t="str">
            <v>TSA</v>
          </cell>
          <cell r="F1076">
            <v>44327</v>
          </cell>
          <cell r="G1076">
            <v>44335</v>
          </cell>
          <cell r="H1076">
            <v>44337</v>
          </cell>
          <cell r="I1076" t="str">
            <v>14.05.2021</v>
          </cell>
          <cell r="J1076" t="str">
            <v>19.05.2021</v>
          </cell>
          <cell r="K1076" t="str">
            <v>-</v>
          </cell>
          <cell r="L1076" t="str">
            <v>OK</v>
          </cell>
        </row>
        <row r="1077">
          <cell r="A1077" t="str">
            <v>SHW-41401I21</v>
          </cell>
          <cell r="B1077">
            <v>209945599</v>
          </cell>
          <cell r="C1077" t="str">
            <v>Original</v>
          </cell>
          <cell r="D1077" t="str">
            <v>CEVA</v>
          </cell>
          <cell r="E1077" t="str">
            <v>TACT</v>
          </cell>
          <cell r="F1077">
            <v>44327</v>
          </cell>
          <cell r="G1077">
            <v>44335</v>
          </cell>
          <cell r="H1077">
            <v>44337</v>
          </cell>
          <cell r="I1077" t="str">
            <v>13.05.2021</v>
          </cell>
          <cell r="J1077" t="str">
            <v>12.05.2021</v>
          </cell>
          <cell r="K1077" t="str">
            <v>-</v>
          </cell>
          <cell r="L1077" t="str">
            <v>OK</v>
          </cell>
        </row>
        <row r="1078">
          <cell r="A1078" t="str">
            <v>AHW-41804I21</v>
          </cell>
          <cell r="B1078">
            <v>4002526</v>
          </cell>
          <cell r="C1078" t="str">
            <v>Original</v>
          </cell>
          <cell r="D1078" t="str">
            <v>CTS</v>
          </cell>
          <cell r="E1078" t="str">
            <v>TSA</v>
          </cell>
          <cell r="F1078">
            <v>44327</v>
          </cell>
          <cell r="G1078">
            <v>44335</v>
          </cell>
          <cell r="H1078">
            <v>44337</v>
          </cell>
          <cell r="I1078" t="str">
            <v>17.05.2021</v>
          </cell>
          <cell r="J1078" t="str">
            <v>19.05.2021</v>
          </cell>
          <cell r="K1078" t="str">
            <v>-</v>
          </cell>
          <cell r="L1078" t="str">
            <v>OK</v>
          </cell>
        </row>
        <row r="1079">
          <cell r="A1079" t="str">
            <v>AHW-41885I21</v>
          </cell>
          <cell r="B1079">
            <v>80584806</v>
          </cell>
          <cell r="C1079" t="str">
            <v>Original</v>
          </cell>
          <cell r="D1079" t="str">
            <v>CEVA</v>
          </cell>
          <cell r="E1079" t="str">
            <v>Rodoimport</v>
          </cell>
          <cell r="F1079">
            <v>44328</v>
          </cell>
          <cell r="G1079">
            <v>44336</v>
          </cell>
          <cell r="H1079">
            <v>44338</v>
          </cell>
          <cell r="I1079" t="str">
            <v>17.05.2021</v>
          </cell>
          <cell r="J1079" t="str">
            <v>19.05.2021</v>
          </cell>
          <cell r="K1079" t="str">
            <v>-</v>
          </cell>
          <cell r="L1079" t="str">
            <v>OK</v>
          </cell>
        </row>
        <row r="1080">
          <cell r="A1080" t="str">
            <v>AHW-41746I21</v>
          </cell>
          <cell r="B1080">
            <v>4002506</v>
          </cell>
          <cell r="C1080" t="str">
            <v>Original</v>
          </cell>
          <cell r="D1080" t="str">
            <v>CTS</v>
          </cell>
          <cell r="E1080" t="str">
            <v>TSA</v>
          </cell>
          <cell r="F1080">
            <v>44328</v>
          </cell>
          <cell r="G1080">
            <v>44336</v>
          </cell>
          <cell r="H1080">
            <v>44338</v>
          </cell>
          <cell r="I1080" t="str">
            <v>17.05.2021</v>
          </cell>
          <cell r="J1080" t="str">
            <v>19.05.2021</v>
          </cell>
          <cell r="K1080" t="str">
            <v>-</v>
          </cell>
          <cell r="L1080" t="str">
            <v>OK</v>
          </cell>
        </row>
        <row r="1081">
          <cell r="A1081" t="str">
            <v>AHW-41789I21</v>
          </cell>
          <cell r="B1081">
            <v>4002525</v>
          </cell>
          <cell r="C1081" t="str">
            <v>Original</v>
          </cell>
          <cell r="D1081" t="str">
            <v>CTS</v>
          </cell>
          <cell r="E1081" t="str">
            <v>TSA</v>
          </cell>
          <cell r="F1081">
            <v>44328</v>
          </cell>
          <cell r="G1081">
            <v>44336</v>
          </cell>
          <cell r="H1081">
            <v>44338</v>
          </cell>
          <cell r="I1081" t="str">
            <v>17.05.2021</v>
          </cell>
          <cell r="J1081" t="str">
            <v>19.05.2021</v>
          </cell>
          <cell r="K1081" t="str">
            <v>-</v>
          </cell>
          <cell r="L1081" t="str">
            <v>OK</v>
          </cell>
        </row>
        <row r="1082">
          <cell r="A1082" t="str">
            <v>AHW-41790I21</v>
          </cell>
          <cell r="B1082">
            <v>4002529</v>
          </cell>
          <cell r="C1082" t="str">
            <v>Original</v>
          </cell>
          <cell r="D1082" t="str">
            <v>CTS</v>
          </cell>
          <cell r="E1082" t="str">
            <v>TSA</v>
          </cell>
          <cell r="F1082">
            <v>44328</v>
          </cell>
          <cell r="G1082">
            <v>44336</v>
          </cell>
          <cell r="H1082">
            <v>44338</v>
          </cell>
          <cell r="I1082" t="str">
            <v>17.05.2021</v>
          </cell>
          <cell r="J1082" t="str">
            <v>19.05.2021</v>
          </cell>
          <cell r="K1082" t="str">
            <v>-</v>
          </cell>
          <cell r="L1082" t="str">
            <v>OK</v>
          </cell>
        </row>
        <row r="1083">
          <cell r="A1083" t="str">
            <v>AHW-41791I21</v>
          </cell>
          <cell r="B1083">
            <v>4002530</v>
          </cell>
          <cell r="C1083" t="str">
            <v>Original</v>
          </cell>
          <cell r="D1083" t="str">
            <v>CTS</v>
          </cell>
          <cell r="E1083" t="str">
            <v>TSA</v>
          </cell>
          <cell r="F1083">
            <v>44328</v>
          </cell>
          <cell r="G1083">
            <v>44336</v>
          </cell>
          <cell r="H1083">
            <v>44338</v>
          </cell>
          <cell r="I1083" t="str">
            <v>17.05.2021</v>
          </cell>
          <cell r="J1083" t="str">
            <v>19.05.2021</v>
          </cell>
          <cell r="K1083" t="str">
            <v>-</v>
          </cell>
          <cell r="L1083" t="str">
            <v>OK</v>
          </cell>
        </row>
        <row r="1084">
          <cell r="A1084" t="str">
            <v>AHW-41792I21</v>
          </cell>
          <cell r="B1084">
            <v>4002531</v>
          </cell>
          <cell r="C1084" t="str">
            <v>Original</v>
          </cell>
          <cell r="D1084" t="str">
            <v>CTS</v>
          </cell>
          <cell r="E1084" t="str">
            <v>TSA</v>
          </cell>
          <cell r="F1084">
            <v>44328</v>
          </cell>
          <cell r="G1084">
            <v>44336</v>
          </cell>
          <cell r="H1084">
            <v>44338</v>
          </cell>
          <cell r="I1084" t="str">
            <v>17.05.2021</v>
          </cell>
          <cell r="J1084" t="str">
            <v>19.05.2021</v>
          </cell>
          <cell r="K1084" t="str">
            <v>-</v>
          </cell>
          <cell r="L1084" t="str">
            <v>OK</v>
          </cell>
        </row>
        <row r="1085">
          <cell r="A1085" t="str">
            <v>AHW-41795I21</v>
          </cell>
          <cell r="B1085">
            <v>4002542</v>
          </cell>
          <cell r="C1085" t="str">
            <v>Original</v>
          </cell>
          <cell r="D1085" t="str">
            <v>CTS</v>
          </cell>
          <cell r="E1085" t="str">
            <v>TSA</v>
          </cell>
          <cell r="F1085">
            <v>44328</v>
          </cell>
          <cell r="G1085">
            <v>44336</v>
          </cell>
          <cell r="H1085">
            <v>44338</v>
          </cell>
          <cell r="I1085" t="str">
            <v>17.05.2021</v>
          </cell>
          <cell r="J1085" t="str">
            <v>19.05.2021</v>
          </cell>
          <cell r="K1085" t="str">
            <v>-</v>
          </cell>
          <cell r="L1085" t="str">
            <v>OK</v>
          </cell>
        </row>
        <row r="1086">
          <cell r="A1086" t="str">
            <v>AHW-41797I21</v>
          </cell>
          <cell r="B1086">
            <v>4002543</v>
          </cell>
          <cell r="C1086" t="str">
            <v>Original</v>
          </cell>
          <cell r="D1086" t="str">
            <v>CTS</v>
          </cell>
          <cell r="E1086" t="str">
            <v>TSA</v>
          </cell>
          <cell r="F1086">
            <v>44328</v>
          </cell>
          <cell r="G1086">
            <v>44336</v>
          </cell>
          <cell r="H1086">
            <v>44338</v>
          </cell>
          <cell r="I1086" t="str">
            <v>17.05.2021</v>
          </cell>
          <cell r="J1086" t="str">
            <v>19.05.2021</v>
          </cell>
          <cell r="K1086" t="str">
            <v>-</v>
          </cell>
          <cell r="L1086" t="str">
            <v>OK</v>
          </cell>
        </row>
        <row r="1087">
          <cell r="A1087" t="str">
            <v>AHW-41799I21</v>
          </cell>
          <cell r="B1087">
            <v>4002556</v>
          </cell>
          <cell r="C1087" t="str">
            <v>Original</v>
          </cell>
          <cell r="D1087" t="str">
            <v>CTS</v>
          </cell>
          <cell r="E1087" t="str">
            <v>TSA</v>
          </cell>
          <cell r="F1087">
            <v>44328</v>
          </cell>
          <cell r="G1087">
            <v>44336</v>
          </cell>
          <cell r="H1087">
            <v>44338</v>
          </cell>
          <cell r="I1087" t="str">
            <v>17.05.2021</v>
          </cell>
          <cell r="J1087" t="str">
            <v>19.05.2021</v>
          </cell>
          <cell r="K1087" t="str">
            <v>-</v>
          </cell>
          <cell r="L1087" t="str">
            <v>OK</v>
          </cell>
        </row>
        <row r="1088">
          <cell r="A1088" t="str">
            <v>AHW-41800I21</v>
          </cell>
          <cell r="B1088">
            <v>4002558</v>
          </cell>
          <cell r="C1088" t="str">
            <v>Original</v>
          </cell>
          <cell r="D1088" t="str">
            <v>CTS</v>
          </cell>
          <cell r="E1088" t="str">
            <v>TSA</v>
          </cell>
          <cell r="F1088">
            <v>44328</v>
          </cell>
          <cell r="G1088">
            <v>44336</v>
          </cell>
          <cell r="H1088">
            <v>44338</v>
          </cell>
          <cell r="I1088" t="str">
            <v>17.05.2021</v>
          </cell>
          <cell r="J1088" t="str">
            <v>19.05.2021</v>
          </cell>
          <cell r="K1088" t="str">
            <v>-</v>
          </cell>
          <cell r="L1088" t="str">
            <v>OK</v>
          </cell>
        </row>
        <row r="1089">
          <cell r="A1089" t="str">
            <v>AHW-41801I21</v>
          </cell>
          <cell r="B1089">
            <v>4002557</v>
          </cell>
          <cell r="C1089" t="str">
            <v>Original</v>
          </cell>
          <cell r="D1089" t="str">
            <v>CTS</v>
          </cell>
          <cell r="E1089" t="str">
            <v>TSA</v>
          </cell>
          <cell r="F1089">
            <v>44328</v>
          </cell>
          <cell r="G1089">
            <v>44336</v>
          </cell>
          <cell r="H1089">
            <v>44338</v>
          </cell>
          <cell r="I1089" t="str">
            <v>17.05.2021</v>
          </cell>
          <cell r="J1089" t="str">
            <v>19.05.2021</v>
          </cell>
          <cell r="K1089" t="str">
            <v>-</v>
          </cell>
          <cell r="L1089" t="str">
            <v>OK</v>
          </cell>
        </row>
        <row r="1090">
          <cell r="A1090" t="str">
            <v>AHW-41802I21</v>
          </cell>
          <cell r="B1090">
            <v>4002532</v>
          </cell>
          <cell r="C1090" t="str">
            <v>Original</v>
          </cell>
          <cell r="D1090" t="str">
            <v>CTS</v>
          </cell>
          <cell r="E1090" t="str">
            <v>TSA</v>
          </cell>
          <cell r="F1090">
            <v>44328</v>
          </cell>
          <cell r="G1090">
            <v>44336</v>
          </cell>
          <cell r="H1090">
            <v>44338</v>
          </cell>
          <cell r="I1090" t="str">
            <v>17.05.2021</v>
          </cell>
          <cell r="J1090" t="str">
            <v>19.05.2021</v>
          </cell>
          <cell r="K1090" t="str">
            <v>-</v>
          </cell>
          <cell r="L1090" t="str">
            <v>OK</v>
          </cell>
        </row>
        <row r="1091">
          <cell r="A1091" t="str">
            <v>AHW-41803I21</v>
          </cell>
          <cell r="B1091">
            <v>4002528</v>
          </cell>
          <cell r="C1091" t="str">
            <v>Original</v>
          </cell>
          <cell r="D1091" t="str">
            <v>CTS</v>
          </cell>
          <cell r="E1091" t="str">
            <v>TSA</v>
          </cell>
          <cell r="F1091">
            <v>44328</v>
          </cell>
          <cell r="G1091">
            <v>44336</v>
          </cell>
          <cell r="H1091">
            <v>44338</v>
          </cell>
          <cell r="I1091" t="str">
            <v>17.05.2021</v>
          </cell>
          <cell r="J1091" t="str">
            <v>19.05.2021</v>
          </cell>
          <cell r="K1091" t="str">
            <v>-</v>
          </cell>
          <cell r="L1091" t="str">
            <v>OK</v>
          </cell>
        </row>
        <row r="1092">
          <cell r="A1092" t="str">
            <v>AHW-41805I21</v>
          </cell>
          <cell r="B1092">
            <v>4002569</v>
          </cell>
          <cell r="C1092" t="str">
            <v>Original</v>
          </cell>
          <cell r="D1092" t="str">
            <v>CTS</v>
          </cell>
          <cell r="E1092" t="str">
            <v>TSA</v>
          </cell>
          <cell r="F1092">
            <v>44328</v>
          </cell>
          <cell r="G1092">
            <v>44336</v>
          </cell>
          <cell r="H1092">
            <v>44338</v>
          </cell>
          <cell r="I1092" t="str">
            <v>17.05.2021</v>
          </cell>
          <cell r="J1092" t="str">
            <v>19.05.2021</v>
          </cell>
          <cell r="K1092" t="str">
            <v>-</v>
          </cell>
          <cell r="L1092" t="str">
            <v>OK</v>
          </cell>
        </row>
        <row r="1093">
          <cell r="A1093" t="str">
            <v>AHW-41835I21</v>
          </cell>
          <cell r="B1093">
            <v>4002570</v>
          </cell>
          <cell r="C1093" t="str">
            <v>Original</v>
          </cell>
          <cell r="D1093" t="str">
            <v>CTS</v>
          </cell>
          <cell r="E1093" t="str">
            <v>TSA</v>
          </cell>
          <cell r="F1093">
            <v>44328</v>
          </cell>
          <cell r="G1093">
            <v>44336</v>
          </cell>
          <cell r="H1093">
            <v>44338</v>
          </cell>
          <cell r="I1093" t="str">
            <v>17.05.2021</v>
          </cell>
          <cell r="J1093" t="str">
            <v>19.05.2021</v>
          </cell>
          <cell r="K1093" t="str">
            <v>-</v>
          </cell>
          <cell r="L1093" t="str">
            <v>OK</v>
          </cell>
        </row>
        <row r="1094">
          <cell r="A1094" t="str">
            <v>AHW-41838I21</v>
          </cell>
          <cell r="B1094">
            <v>80584787</v>
          </cell>
          <cell r="C1094" t="str">
            <v>Original</v>
          </cell>
          <cell r="D1094" t="str">
            <v>CEVA</v>
          </cell>
          <cell r="E1094" t="str">
            <v>Rodoimport</v>
          </cell>
          <cell r="F1094">
            <v>44330</v>
          </cell>
          <cell r="G1094">
            <v>44338</v>
          </cell>
          <cell r="H1094">
            <v>44340</v>
          </cell>
          <cell r="I1094" t="str">
            <v>21.05.2021</v>
          </cell>
          <cell r="J1094" t="str">
            <v>19.05.2021</v>
          </cell>
          <cell r="K1094" t="str">
            <v>-</v>
          </cell>
          <cell r="L1094" t="str">
            <v>OK</v>
          </cell>
        </row>
        <row r="1095">
          <cell r="A1095" t="str">
            <v>AHW-41836I21</v>
          </cell>
          <cell r="B1095">
            <v>80584794</v>
          </cell>
          <cell r="C1095" t="str">
            <v>Original</v>
          </cell>
          <cell r="D1095" t="str">
            <v>CEVA</v>
          </cell>
          <cell r="E1095" t="str">
            <v>Rodoimport</v>
          </cell>
          <cell r="F1095">
            <v>44333</v>
          </cell>
          <cell r="G1095">
            <v>44341</v>
          </cell>
          <cell r="H1095">
            <v>44343</v>
          </cell>
          <cell r="I1095" t="str">
            <v>21.05.2021</v>
          </cell>
          <cell r="J1095" t="str">
            <v>11.06.2021</v>
          </cell>
          <cell r="K1095" t="str">
            <v>-</v>
          </cell>
          <cell r="L1095" t="str">
            <v>OK</v>
          </cell>
        </row>
        <row r="1096">
          <cell r="A1096" t="str">
            <v>AHW-41837I21</v>
          </cell>
          <cell r="B1096">
            <v>80584786</v>
          </cell>
          <cell r="C1096" t="str">
            <v>Original</v>
          </cell>
          <cell r="D1096" t="str">
            <v>CEVA</v>
          </cell>
          <cell r="E1096" t="str">
            <v>Rodoimport</v>
          </cell>
          <cell r="F1096">
            <v>44333</v>
          </cell>
          <cell r="G1096">
            <v>44341</v>
          </cell>
          <cell r="H1096">
            <v>44343</v>
          </cell>
          <cell r="I1096" t="str">
            <v>21.05.2021</v>
          </cell>
          <cell r="J1096" t="str">
            <v>11.06.2021</v>
          </cell>
          <cell r="K1096" t="str">
            <v>-</v>
          </cell>
          <cell r="L1096" t="str">
            <v>OK</v>
          </cell>
        </row>
        <row r="1097">
          <cell r="A1097" t="str">
            <v>AHW-41884I21</v>
          </cell>
          <cell r="B1097">
            <v>80584803</v>
          </cell>
          <cell r="C1097" t="str">
            <v>Original</v>
          </cell>
          <cell r="D1097" t="str">
            <v>CEVA</v>
          </cell>
          <cell r="E1097" t="str">
            <v>Rodoimport</v>
          </cell>
          <cell r="F1097">
            <v>44333</v>
          </cell>
          <cell r="G1097">
            <v>44341</v>
          </cell>
          <cell r="H1097">
            <v>44343</v>
          </cell>
          <cell r="I1097" t="str">
            <v>21.05.2021</v>
          </cell>
          <cell r="J1097" t="str">
            <v>11.06.2021</v>
          </cell>
          <cell r="K1097" t="str">
            <v>-</v>
          </cell>
          <cell r="L1097" t="str">
            <v>OK</v>
          </cell>
        </row>
        <row r="1098">
          <cell r="A1098" t="str">
            <v>AHW-41882I21</v>
          </cell>
          <cell r="B1098">
            <v>4002584</v>
          </cell>
          <cell r="C1098" t="str">
            <v>Original</v>
          </cell>
          <cell r="D1098" t="str">
            <v>CTS</v>
          </cell>
          <cell r="E1098" t="str">
            <v>TSA</v>
          </cell>
          <cell r="F1098">
            <v>44333</v>
          </cell>
          <cell r="G1098">
            <v>44341</v>
          </cell>
          <cell r="H1098">
            <v>44343</v>
          </cell>
          <cell r="I1098" t="str">
            <v>21.05.2021</v>
          </cell>
          <cell r="J1098" t="str">
            <v>11.06.2021</v>
          </cell>
          <cell r="K1098" t="str">
            <v>-</v>
          </cell>
          <cell r="L1098" t="str">
            <v>OK</v>
          </cell>
        </row>
        <row r="1099">
          <cell r="A1099" t="str">
            <v>AHW-41979I21</v>
          </cell>
          <cell r="B1099">
            <v>4002601</v>
          </cell>
          <cell r="C1099" t="str">
            <v>Original</v>
          </cell>
          <cell r="D1099" t="str">
            <v>CTS</v>
          </cell>
          <cell r="E1099" t="str">
            <v>TSA</v>
          </cell>
          <cell r="F1099">
            <v>44333</v>
          </cell>
          <cell r="G1099">
            <v>44341</v>
          </cell>
          <cell r="H1099">
            <v>44343</v>
          </cell>
          <cell r="I1099" t="str">
            <v>21.05.2021</v>
          </cell>
          <cell r="J1099" t="str">
            <v>11.06.2021</v>
          </cell>
          <cell r="K1099" t="str">
            <v>-</v>
          </cell>
          <cell r="L1099" t="str">
            <v>OK</v>
          </cell>
        </row>
        <row r="1100">
          <cell r="A1100" t="str">
            <v>AHW-41796I21</v>
          </cell>
          <cell r="B1100">
            <v>80584768</v>
          </cell>
          <cell r="C1100" t="str">
            <v>Original</v>
          </cell>
          <cell r="D1100" t="str">
            <v>CEVA</v>
          </cell>
          <cell r="E1100" t="str">
            <v>Rodoimport</v>
          </cell>
          <cell r="F1100">
            <v>44334</v>
          </cell>
          <cell r="G1100">
            <v>44342</v>
          </cell>
          <cell r="H1100">
            <v>44344</v>
          </cell>
          <cell r="I1100" t="str">
            <v>21.05.2021</v>
          </cell>
          <cell r="J1100" t="str">
            <v>11.06.2021</v>
          </cell>
          <cell r="K1100" t="str">
            <v>-</v>
          </cell>
          <cell r="L1100" t="str">
            <v>OK</v>
          </cell>
        </row>
        <row r="1101">
          <cell r="A1101" t="str">
            <v>AHW-41881I21</v>
          </cell>
          <cell r="B1101">
            <v>80584805</v>
          </cell>
          <cell r="C1101" t="str">
            <v>Original</v>
          </cell>
          <cell r="D1101" t="str">
            <v>CEVA</v>
          </cell>
          <cell r="E1101" t="str">
            <v>Rodoimport</v>
          </cell>
          <cell r="F1101">
            <v>44336</v>
          </cell>
          <cell r="G1101">
            <v>44344</v>
          </cell>
          <cell r="H1101">
            <v>44346</v>
          </cell>
          <cell r="I1101" t="str">
            <v>24.05.2021</v>
          </cell>
          <cell r="J1101" t="str">
            <v>11.06.2021</v>
          </cell>
          <cell r="K1101" t="str">
            <v>-</v>
          </cell>
          <cell r="L1101" t="str">
            <v>OK</v>
          </cell>
        </row>
        <row r="1102">
          <cell r="A1102" t="str">
            <v>AHW-42047I21</v>
          </cell>
          <cell r="B1102">
            <v>80584823</v>
          </cell>
          <cell r="C1102" t="str">
            <v>Original</v>
          </cell>
          <cell r="D1102" t="str">
            <v>CEVA</v>
          </cell>
          <cell r="E1102" t="str">
            <v>Rodoimport</v>
          </cell>
          <cell r="F1102">
            <v>44336</v>
          </cell>
          <cell r="G1102">
            <v>44344</v>
          </cell>
          <cell r="H1102">
            <v>44346</v>
          </cell>
          <cell r="I1102" t="str">
            <v>24.05.2021</v>
          </cell>
          <cell r="J1102" t="str">
            <v>11.06.2021</v>
          </cell>
          <cell r="K1102" t="str">
            <v>-</v>
          </cell>
          <cell r="L1102" t="str">
            <v>OK</v>
          </cell>
        </row>
        <row r="1103">
          <cell r="A1103" t="str">
            <v>SHW-40985I21</v>
          </cell>
          <cell r="B1103" t="str">
            <v>EGLV149102056161</v>
          </cell>
          <cell r="C1103" t="str">
            <v>Original</v>
          </cell>
          <cell r="D1103" t="str">
            <v>CEVA</v>
          </cell>
          <cell r="E1103" t="str">
            <v>TACT</v>
          </cell>
          <cell r="F1103">
            <v>44328</v>
          </cell>
          <cell r="G1103">
            <v>44336</v>
          </cell>
          <cell r="H1103">
            <v>44338</v>
          </cell>
          <cell r="I1103" t="str">
            <v>14.05.2021</v>
          </cell>
          <cell r="J1103" t="str">
            <v>13.05.2021</v>
          </cell>
          <cell r="K1103" t="str">
            <v>-</v>
          </cell>
          <cell r="L1103" t="str">
            <v>OK</v>
          </cell>
        </row>
        <row r="1104">
          <cell r="A1104" t="str">
            <v>SHW-40984I21</v>
          </cell>
          <cell r="B1104" t="str">
            <v>EGLV149102284856</v>
          </cell>
          <cell r="C1104" t="str">
            <v>Original</v>
          </cell>
          <cell r="D1104" t="str">
            <v>CEVA</v>
          </cell>
          <cell r="E1104" t="str">
            <v>TACT</v>
          </cell>
          <cell r="F1104">
            <v>44328</v>
          </cell>
          <cell r="G1104">
            <v>44336</v>
          </cell>
          <cell r="H1104">
            <v>44338</v>
          </cell>
          <cell r="I1104" t="str">
            <v>14.05.2021</v>
          </cell>
          <cell r="J1104" t="str">
            <v>13.05.2021</v>
          </cell>
          <cell r="K1104" t="str">
            <v>-</v>
          </cell>
          <cell r="L1104" t="str">
            <v>OK</v>
          </cell>
        </row>
        <row r="1105">
          <cell r="A1105" t="str">
            <v>SHW-41402I21</v>
          </cell>
          <cell r="B1105" t="str">
            <v>EGLV149103144128</v>
          </cell>
          <cell r="C1105" t="str">
            <v>Original</v>
          </cell>
          <cell r="D1105" t="str">
            <v>CEVA</v>
          </cell>
          <cell r="E1105" t="str">
            <v>TACT</v>
          </cell>
          <cell r="F1105">
            <v>44328</v>
          </cell>
          <cell r="G1105">
            <v>44336</v>
          </cell>
          <cell r="H1105">
            <v>44338</v>
          </cell>
          <cell r="I1105" t="str">
            <v>19.05.2021</v>
          </cell>
          <cell r="J1105" t="str">
            <v>11.06.2021</v>
          </cell>
          <cell r="K1105" t="str">
            <v>-</v>
          </cell>
          <cell r="L1105" t="str">
            <v>OK</v>
          </cell>
        </row>
        <row r="1106">
          <cell r="A1106" t="str">
            <v>SHW-41309I21</v>
          </cell>
          <cell r="B1106" t="str">
            <v>EGLV149101931114</v>
          </cell>
          <cell r="C1106" t="str">
            <v>Original</v>
          </cell>
          <cell r="D1106" t="str">
            <v>CEVA</v>
          </cell>
          <cell r="E1106" t="str">
            <v>TACT</v>
          </cell>
          <cell r="F1106">
            <v>44329</v>
          </cell>
          <cell r="G1106">
            <v>44337</v>
          </cell>
          <cell r="H1106">
            <v>44339</v>
          </cell>
          <cell r="I1106" t="str">
            <v>19.05.2021</v>
          </cell>
          <cell r="J1106" t="str">
            <v>14.05.2021</v>
          </cell>
          <cell r="K1106" t="str">
            <v>-</v>
          </cell>
          <cell r="L1106" t="str">
            <v>OK</v>
          </cell>
        </row>
        <row r="1107">
          <cell r="A1107" t="str">
            <v>SHW-40927I21</v>
          </cell>
          <cell r="B1107" t="str">
            <v>EGLV149102257964</v>
          </cell>
          <cell r="C1107" t="str">
            <v>Original</v>
          </cell>
          <cell r="D1107" t="str">
            <v>CEVA</v>
          </cell>
          <cell r="E1107" t="str">
            <v>TACT</v>
          </cell>
          <cell r="F1107">
            <v>44329</v>
          </cell>
          <cell r="G1107">
            <v>44337</v>
          </cell>
          <cell r="H1107">
            <v>44339</v>
          </cell>
          <cell r="I1107" t="str">
            <v>14.05.2021</v>
          </cell>
          <cell r="J1107" t="str">
            <v>14.05.2021</v>
          </cell>
          <cell r="K1107" t="str">
            <v>-</v>
          </cell>
          <cell r="L1107" t="str">
            <v>OK</v>
          </cell>
        </row>
        <row r="1108">
          <cell r="A1108" t="str">
            <v>AHW-41883I21</v>
          </cell>
          <cell r="B1108">
            <v>4002579</v>
          </cell>
          <cell r="C1108" t="str">
            <v>Original</v>
          </cell>
          <cell r="D1108" t="str">
            <v>CTS</v>
          </cell>
          <cell r="E1108" t="str">
            <v>TSA</v>
          </cell>
          <cell r="F1108">
            <v>44340</v>
          </cell>
          <cell r="G1108">
            <v>44348</v>
          </cell>
          <cell r="H1108">
            <v>44350</v>
          </cell>
          <cell r="I1108" t="str">
            <v>07.06.2021</v>
          </cell>
          <cell r="J1108" t="str">
            <v>11.06.2021</v>
          </cell>
          <cell r="K1108" t="str">
            <v>-</v>
          </cell>
          <cell r="L1108" t="str">
            <v>OK</v>
          </cell>
        </row>
        <row r="1109">
          <cell r="A1109" t="str">
            <v>AHW-41978I21</v>
          </cell>
          <cell r="B1109">
            <v>4002595</v>
          </cell>
          <cell r="C1109" t="str">
            <v>Original</v>
          </cell>
          <cell r="D1109" t="str">
            <v>CTS</v>
          </cell>
          <cell r="E1109" t="str">
            <v>TSA</v>
          </cell>
          <cell r="F1109">
            <v>44340</v>
          </cell>
          <cell r="G1109">
            <v>44348</v>
          </cell>
          <cell r="H1109">
            <v>44350</v>
          </cell>
          <cell r="I1109" t="str">
            <v>08.06.2021</v>
          </cell>
          <cell r="J1109" t="str">
            <v>11.06.2021</v>
          </cell>
          <cell r="K1109" t="str">
            <v>-</v>
          </cell>
          <cell r="L1109" t="str">
            <v>OK</v>
          </cell>
        </row>
        <row r="1110">
          <cell r="A1110" t="str">
            <v>AHW-41980I21</v>
          </cell>
          <cell r="B1110">
            <v>4002603</v>
          </cell>
          <cell r="C1110" t="str">
            <v>Original</v>
          </cell>
          <cell r="D1110" t="str">
            <v>CTS</v>
          </cell>
          <cell r="E1110" t="str">
            <v>TSA</v>
          </cell>
          <cell r="F1110">
            <v>44340</v>
          </cell>
          <cell r="G1110">
            <v>44348</v>
          </cell>
          <cell r="H1110">
            <v>44350</v>
          </cell>
          <cell r="I1110" t="str">
            <v>08.06.2021</v>
          </cell>
          <cell r="J1110" t="str">
            <v>11.06.2021</v>
          </cell>
          <cell r="K1110" t="str">
            <v>-</v>
          </cell>
          <cell r="L1110" t="str">
            <v>OK</v>
          </cell>
        </row>
        <row r="1111">
          <cell r="A1111" t="str">
            <v>AHW-41981I21</v>
          </cell>
          <cell r="B1111">
            <v>4002624</v>
          </cell>
          <cell r="C1111" t="str">
            <v>Original</v>
          </cell>
          <cell r="D1111" t="str">
            <v>CTS</v>
          </cell>
          <cell r="E1111" t="str">
            <v>TSA</v>
          </cell>
          <cell r="F1111">
            <v>44340</v>
          </cell>
          <cell r="G1111">
            <v>44348</v>
          </cell>
          <cell r="H1111">
            <v>44350</v>
          </cell>
          <cell r="I1111" t="str">
            <v>08.06.2021</v>
          </cell>
          <cell r="J1111" t="str">
            <v>11.06.2021</v>
          </cell>
          <cell r="K1111" t="str">
            <v>-</v>
          </cell>
          <cell r="L1111" t="str">
            <v>OK</v>
          </cell>
        </row>
        <row r="1112">
          <cell r="A1112" t="str">
            <v>AHW-42048I21</v>
          </cell>
          <cell r="B1112">
            <v>80584831</v>
          </cell>
          <cell r="C1112" t="str">
            <v>Original</v>
          </cell>
          <cell r="D1112" t="str">
            <v>CEVA</v>
          </cell>
          <cell r="E1112" t="str">
            <v>Rodoimport</v>
          </cell>
          <cell r="F1112">
            <v>44340</v>
          </cell>
          <cell r="G1112">
            <v>44348</v>
          </cell>
          <cell r="H1112">
            <v>44350</v>
          </cell>
          <cell r="I1112" t="str">
            <v>08.06.2021</v>
          </cell>
          <cell r="J1112" t="str">
            <v>11.06.2021</v>
          </cell>
          <cell r="K1112" t="str">
            <v>-</v>
          </cell>
          <cell r="L1112" t="str">
            <v>OK</v>
          </cell>
        </row>
        <row r="1113">
          <cell r="A1113" t="str">
            <v>AHW-42049I21</v>
          </cell>
          <cell r="B1113">
            <v>80584832</v>
          </cell>
          <cell r="C1113" t="str">
            <v>Original</v>
          </cell>
          <cell r="D1113" t="str">
            <v>CEVA</v>
          </cell>
          <cell r="E1113" t="str">
            <v>Rodoimport</v>
          </cell>
          <cell r="F1113">
            <v>44340</v>
          </cell>
          <cell r="G1113">
            <v>44348</v>
          </cell>
          <cell r="H1113">
            <v>44350</v>
          </cell>
          <cell r="I1113" t="str">
            <v>07.06.2021</v>
          </cell>
          <cell r="J1113" t="str">
            <v>11.06.2021</v>
          </cell>
          <cell r="K1113" t="str">
            <v>-</v>
          </cell>
          <cell r="L1113" t="str">
            <v>OK</v>
          </cell>
        </row>
        <row r="1114">
          <cell r="A1114" t="str">
            <v>AHW-42050I21</v>
          </cell>
          <cell r="B1114">
            <v>4002630</v>
          </cell>
          <cell r="C1114" t="str">
            <v>Original</v>
          </cell>
          <cell r="D1114" t="str">
            <v>CTS</v>
          </cell>
          <cell r="E1114" t="str">
            <v>TSA</v>
          </cell>
          <cell r="F1114">
            <v>44340</v>
          </cell>
          <cell r="G1114">
            <v>44348</v>
          </cell>
          <cell r="H1114">
            <v>44350</v>
          </cell>
          <cell r="I1114" t="str">
            <v>08.06.2021</v>
          </cell>
          <cell r="J1114" t="str">
            <v>11.06.2021</v>
          </cell>
          <cell r="K1114" t="str">
            <v>-</v>
          </cell>
          <cell r="L1114" t="str">
            <v>OK</v>
          </cell>
        </row>
        <row r="1115">
          <cell r="A1115" t="str">
            <v>AHW-42069I21</v>
          </cell>
          <cell r="B1115">
            <v>4002636</v>
          </cell>
          <cell r="C1115" t="str">
            <v>Original</v>
          </cell>
          <cell r="D1115" t="str">
            <v>CTS</v>
          </cell>
          <cell r="E1115" t="str">
            <v>TSA</v>
          </cell>
          <cell r="F1115">
            <v>44340</v>
          </cell>
          <cell r="G1115">
            <v>44348</v>
          </cell>
          <cell r="H1115">
            <v>44350</v>
          </cell>
          <cell r="I1115" t="str">
            <v>08.06.2021</v>
          </cell>
          <cell r="J1115" t="str">
            <v>11.06.2021</v>
          </cell>
          <cell r="K1115" t="str">
            <v>-</v>
          </cell>
          <cell r="L1115" t="str">
            <v>OK</v>
          </cell>
        </row>
        <row r="1116">
          <cell r="A1116" t="str">
            <v>AHW-42076I21</v>
          </cell>
          <cell r="B1116">
            <v>4002646</v>
          </cell>
          <cell r="C1116" t="str">
            <v>Original</v>
          </cell>
          <cell r="D1116" t="str">
            <v>CTS</v>
          </cell>
          <cell r="E1116" t="str">
            <v>TSA</v>
          </cell>
          <cell r="F1116">
            <v>44340</v>
          </cell>
          <cell r="G1116">
            <v>44348</v>
          </cell>
          <cell r="H1116">
            <v>44350</v>
          </cell>
          <cell r="I1116" t="str">
            <v>07.06.2021</v>
          </cell>
          <cell r="J1116" t="str">
            <v>11.06.2021</v>
          </cell>
          <cell r="K1116" t="str">
            <v>-</v>
          </cell>
          <cell r="L1116" t="str">
            <v>OK</v>
          </cell>
        </row>
        <row r="1117">
          <cell r="A1117" t="str">
            <v>AHW-42077I21</v>
          </cell>
          <cell r="B1117">
            <v>4002647</v>
          </cell>
          <cell r="C1117" t="str">
            <v>Original</v>
          </cell>
          <cell r="D1117" t="str">
            <v>CTS</v>
          </cell>
          <cell r="E1117" t="str">
            <v>TSA</v>
          </cell>
          <cell r="F1117">
            <v>44340</v>
          </cell>
          <cell r="G1117">
            <v>44348</v>
          </cell>
          <cell r="H1117">
            <v>44350</v>
          </cell>
          <cell r="I1117" t="str">
            <v>08.06.2021</v>
          </cell>
          <cell r="J1117" t="str">
            <v>11.06.2021</v>
          </cell>
          <cell r="K1117" t="str">
            <v>-</v>
          </cell>
          <cell r="L1117" t="str">
            <v>OK</v>
          </cell>
        </row>
        <row r="1118">
          <cell r="A1118" t="str">
            <v>AHW-42107I21</v>
          </cell>
          <cell r="B1118">
            <v>4002657</v>
          </cell>
          <cell r="C1118" t="str">
            <v>Original</v>
          </cell>
          <cell r="D1118" t="str">
            <v>CTS</v>
          </cell>
          <cell r="E1118" t="str">
            <v>TSA</v>
          </cell>
          <cell r="F1118">
            <v>44340</v>
          </cell>
          <cell r="G1118">
            <v>44348</v>
          </cell>
          <cell r="H1118">
            <v>44350</v>
          </cell>
          <cell r="I1118" t="str">
            <v>07.06.2021</v>
          </cell>
          <cell r="J1118" t="str">
            <v>11.06.2021</v>
          </cell>
          <cell r="K1118" t="str">
            <v>-</v>
          </cell>
          <cell r="L1118" t="str">
            <v>OK</v>
          </cell>
        </row>
        <row r="1119">
          <cell r="A1119" t="str">
            <v>AHW-42108I21</v>
          </cell>
          <cell r="B1119">
            <v>4002658</v>
          </cell>
          <cell r="C1119" t="str">
            <v>Original</v>
          </cell>
          <cell r="D1119" t="str">
            <v>CTS</v>
          </cell>
          <cell r="E1119" t="str">
            <v>TSA</v>
          </cell>
          <cell r="F1119">
            <v>44340</v>
          </cell>
          <cell r="G1119">
            <v>44348</v>
          </cell>
          <cell r="H1119">
            <v>44350</v>
          </cell>
          <cell r="I1119" t="str">
            <v>08.06.2021</v>
          </cell>
          <cell r="J1119" t="str">
            <v>11.06.2021</v>
          </cell>
          <cell r="K1119" t="str">
            <v>-</v>
          </cell>
          <cell r="L1119" t="str">
            <v>OK</v>
          </cell>
        </row>
        <row r="1120">
          <cell r="A1120" t="str">
            <v>AHW-42075I21</v>
          </cell>
          <cell r="B1120">
            <v>4002645</v>
          </cell>
          <cell r="C1120" t="str">
            <v>Original</v>
          </cell>
          <cell r="D1120" t="str">
            <v>CTS</v>
          </cell>
          <cell r="E1120" t="str">
            <v>TSA</v>
          </cell>
          <cell r="F1120">
            <v>44341</v>
          </cell>
          <cell r="G1120">
            <v>44349</v>
          </cell>
          <cell r="H1120">
            <v>44351</v>
          </cell>
          <cell r="I1120" t="str">
            <v>07.06.2021</v>
          </cell>
          <cell r="J1120" t="str">
            <v>11.06.2021</v>
          </cell>
          <cell r="K1120" t="str">
            <v>-</v>
          </cell>
          <cell r="L1120" t="str">
            <v>OK</v>
          </cell>
        </row>
        <row r="1121">
          <cell r="A1121" t="str">
            <v>AHW-42106I21</v>
          </cell>
          <cell r="B1121">
            <v>80584878</v>
          </cell>
          <cell r="C1121" t="str">
            <v>Original</v>
          </cell>
          <cell r="D1121" t="str">
            <v>CEVA</v>
          </cell>
          <cell r="E1121" t="str">
            <v>Rodoimport</v>
          </cell>
          <cell r="F1121">
            <v>44347</v>
          </cell>
          <cell r="G1121">
            <v>44355</v>
          </cell>
          <cell r="H1121">
            <v>44357</v>
          </cell>
          <cell r="I1121" t="str">
            <v>08.06.2021</v>
          </cell>
          <cell r="J1121" t="str">
            <v>11.06.2021</v>
          </cell>
          <cell r="K1121" t="str">
            <v>-</v>
          </cell>
          <cell r="L1121" t="str">
            <v>OK</v>
          </cell>
        </row>
        <row r="1122">
          <cell r="A1122" t="str">
            <v>AHW-42225I21</v>
          </cell>
          <cell r="B1122">
            <v>4002703</v>
          </cell>
          <cell r="C1122" t="str">
            <v>Original</v>
          </cell>
          <cell r="D1122" t="str">
            <v>CTS</v>
          </cell>
          <cell r="E1122" t="str">
            <v>TSA</v>
          </cell>
          <cell r="F1122">
            <v>44347</v>
          </cell>
          <cell r="G1122">
            <v>44355</v>
          </cell>
          <cell r="H1122">
            <v>44357</v>
          </cell>
          <cell r="I1122" t="str">
            <v>07.06.2021</v>
          </cell>
          <cell r="J1122" t="str">
            <v>11.06.2021</v>
          </cell>
          <cell r="K1122" t="str">
            <v>-</v>
          </cell>
          <cell r="L1122" t="str">
            <v>OK</v>
          </cell>
        </row>
        <row r="1123">
          <cell r="A1123" t="str">
            <v>AHW-42172I21</v>
          </cell>
          <cell r="B1123">
            <v>80584914</v>
          </cell>
          <cell r="C1123" t="str">
            <v>Original</v>
          </cell>
          <cell r="D1123" t="str">
            <v>CEVA</v>
          </cell>
          <cell r="E1123" t="str">
            <v>Rodoimport</v>
          </cell>
          <cell r="F1123">
            <v>44348</v>
          </cell>
          <cell r="G1123">
            <v>44356</v>
          </cell>
          <cell r="H1123">
            <v>44358</v>
          </cell>
          <cell r="I1123" t="str">
            <v>10.06.2021</v>
          </cell>
          <cell r="J1123" t="str">
            <v>17.06.2021</v>
          </cell>
          <cell r="K1123" t="str">
            <v>-</v>
          </cell>
          <cell r="L1123" t="str">
            <v>OK</v>
          </cell>
        </row>
        <row r="1124">
          <cell r="A1124" t="str">
            <v>AHW-42170I21</v>
          </cell>
          <cell r="B1124">
            <v>80584913</v>
          </cell>
          <cell r="C1124" t="str">
            <v>Original</v>
          </cell>
          <cell r="D1124" t="str">
            <v>CEVA</v>
          </cell>
          <cell r="E1124" t="str">
            <v>Rodoimport</v>
          </cell>
          <cell r="F1124">
            <v>44348</v>
          </cell>
          <cell r="G1124">
            <v>44356</v>
          </cell>
          <cell r="H1124">
            <v>44358</v>
          </cell>
          <cell r="I1124" t="str">
            <v>10.06.2021</v>
          </cell>
          <cell r="J1124" t="str">
            <v>17.06.2021</v>
          </cell>
          <cell r="K1124" t="str">
            <v>-</v>
          </cell>
          <cell r="L1124" t="str">
            <v>OK</v>
          </cell>
        </row>
        <row r="1125">
          <cell r="A1125" t="str">
            <v>AHW-42167I21</v>
          </cell>
          <cell r="B1125">
            <v>80584905</v>
          </cell>
          <cell r="C1125" t="str">
            <v>Original</v>
          </cell>
          <cell r="D1125" t="str">
            <v>CEVA</v>
          </cell>
          <cell r="E1125" t="str">
            <v>Rodoimport</v>
          </cell>
          <cell r="F1125">
            <v>44348</v>
          </cell>
          <cell r="G1125">
            <v>44356</v>
          </cell>
          <cell r="H1125">
            <v>44358</v>
          </cell>
          <cell r="I1125" t="str">
            <v>09.06.2021</v>
          </cell>
          <cell r="J1125" t="str">
            <v>17.06.2021</v>
          </cell>
          <cell r="K1125" t="str">
            <v>-</v>
          </cell>
          <cell r="L1125" t="str">
            <v>OK</v>
          </cell>
        </row>
        <row r="1126">
          <cell r="A1126" t="str">
            <v>AHW-42164I21</v>
          </cell>
          <cell r="B1126">
            <v>80584906</v>
          </cell>
          <cell r="C1126" t="str">
            <v>Original</v>
          </cell>
          <cell r="D1126" t="str">
            <v>CEVA</v>
          </cell>
          <cell r="E1126" t="str">
            <v>Rodoimport</v>
          </cell>
          <cell r="F1126">
            <v>44348</v>
          </cell>
          <cell r="G1126">
            <v>44356</v>
          </cell>
          <cell r="H1126">
            <v>44358</v>
          </cell>
          <cell r="I1126" t="str">
            <v>09.06.2021</v>
          </cell>
          <cell r="J1126" t="str">
            <v>17.06.2021</v>
          </cell>
          <cell r="K1126" t="str">
            <v>-</v>
          </cell>
          <cell r="L1126" t="str">
            <v>OK</v>
          </cell>
        </row>
        <row r="1127">
          <cell r="A1127" t="str">
            <v>AHW-42226I21</v>
          </cell>
          <cell r="B1127">
            <v>4002704</v>
          </cell>
          <cell r="C1127" t="str">
            <v>Original</v>
          </cell>
          <cell r="D1127" t="str">
            <v>CTS</v>
          </cell>
          <cell r="E1127" t="str">
            <v>TSA</v>
          </cell>
          <cell r="F1127">
            <v>44348</v>
          </cell>
          <cell r="G1127">
            <v>44356</v>
          </cell>
          <cell r="H1127">
            <v>44358</v>
          </cell>
          <cell r="I1127" t="str">
            <v>09.06.2021</v>
          </cell>
          <cell r="J1127" t="str">
            <v>17.06.2021</v>
          </cell>
          <cell r="K1127" t="str">
            <v>-</v>
          </cell>
          <cell r="L1127" t="str">
            <v>OK</v>
          </cell>
        </row>
        <row r="1128">
          <cell r="A1128" t="str">
            <v>AHW-42227I21</v>
          </cell>
          <cell r="B1128">
            <v>4002705</v>
          </cell>
          <cell r="C1128" t="str">
            <v>Original</v>
          </cell>
          <cell r="D1128" t="str">
            <v>CTS</v>
          </cell>
          <cell r="E1128" t="str">
            <v>TSA</v>
          </cell>
          <cell r="F1128">
            <v>44348</v>
          </cell>
          <cell r="G1128">
            <v>44356</v>
          </cell>
          <cell r="H1128">
            <v>44358</v>
          </cell>
          <cell r="I1128" t="str">
            <v>09.06.2021</v>
          </cell>
          <cell r="J1128" t="str">
            <v>17.06.2021</v>
          </cell>
          <cell r="K1128" t="str">
            <v>-</v>
          </cell>
          <cell r="L1128" t="str">
            <v>OK</v>
          </cell>
        </row>
        <row r="1129">
          <cell r="A1129" t="str">
            <v>AHW-42229I21</v>
          </cell>
          <cell r="B1129">
            <v>4002706</v>
          </cell>
          <cell r="C1129" t="str">
            <v>Original</v>
          </cell>
          <cell r="D1129" t="str">
            <v>CTS</v>
          </cell>
          <cell r="E1129" t="str">
            <v>TSA</v>
          </cell>
          <cell r="F1129">
            <v>44348</v>
          </cell>
          <cell r="G1129">
            <v>44356</v>
          </cell>
          <cell r="H1129">
            <v>44358</v>
          </cell>
          <cell r="I1129" t="str">
            <v>09.06.2021</v>
          </cell>
          <cell r="J1129" t="str">
            <v>17.06.2021</v>
          </cell>
          <cell r="K1129" t="str">
            <v>-</v>
          </cell>
          <cell r="L1129" t="str">
            <v>OK</v>
          </cell>
        </row>
        <row r="1130">
          <cell r="A1130" t="str">
            <v>AHW-42324I21</v>
          </cell>
          <cell r="B1130">
            <v>4002460</v>
          </cell>
          <cell r="C1130" t="str">
            <v>Original</v>
          </cell>
          <cell r="D1130" t="str">
            <v>CTS</v>
          </cell>
          <cell r="E1130" t="str">
            <v>TSA</v>
          </cell>
          <cell r="F1130">
            <v>44348</v>
          </cell>
          <cell r="G1130">
            <v>44356</v>
          </cell>
          <cell r="H1130">
            <v>44358</v>
          </cell>
          <cell r="I1130" t="str">
            <v>09.06.2021</v>
          </cell>
          <cell r="J1130" t="str">
            <v>17.06.2021</v>
          </cell>
          <cell r="K1130" t="str">
            <v>-</v>
          </cell>
          <cell r="L1130" t="str">
            <v>OK</v>
          </cell>
        </row>
        <row r="1131">
          <cell r="A1131" t="str">
            <v>AHW-42325I21</v>
          </cell>
          <cell r="B1131">
            <v>4002461</v>
          </cell>
          <cell r="C1131" t="str">
            <v>Original</v>
          </cell>
          <cell r="D1131" t="str">
            <v>CTS</v>
          </cell>
          <cell r="E1131" t="str">
            <v>TSA</v>
          </cell>
          <cell r="F1131">
            <v>44348</v>
          </cell>
          <cell r="G1131">
            <v>44356</v>
          </cell>
          <cell r="H1131">
            <v>44358</v>
          </cell>
          <cell r="I1131" t="str">
            <v>09.06.2021</v>
          </cell>
          <cell r="J1131" t="str">
            <v>17.06.2021</v>
          </cell>
          <cell r="K1131" t="str">
            <v>-</v>
          </cell>
          <cell r="L1131" t="str">
            <v>OK</v>
          </cell>
        </row>
        <row r="1132">
          <cell r="A1132" t="str">
            <v>AHW-42070I21</v>
          </cell>
          <cell r="B1132">
            <v>4002637</v>
          </cell>
          <cell r="C1132" t="str">
            <v>Original</v>
          </cell>
          <cell r="D1132" t="str">
            <v>CTS</v>
          </cell>
          <cell r="E1132" t="str">
            <v>TSA</v>
          </cell>
          <cell r="F1132">
            <v>44349</v>
          </cell>
          <cell r="G1132">
            <v>44357</v>
          </cell>
          <cell r="H1132">
            <v>44359</v>
          </cell>
          <cell r="I1132" t="str">
            <v>15.06.2021</v>
          </cell>
          <cell r="J1132" t="str">
            <v>17.06.2021</v>
          </cell>
          <cell r="K1132" t="str">
            <v>-</v>
          </cell>
          <cell r="L1132" t="str">
            <v>OK</v>
          </cell>
        </row>
        <row r="1133">
          <cell r="A1133" t="str">
            <v>AHW-42129I21</v>
          </cell>
          <cell r="B1133">
            <v>4002665</v>
          </cell>
          <cell r="C1133" t="str">
            <v>Original</v>
          </cell>
          <cell r="D1133" t="str">
            <v>CTS</v>
          </cell>
          <cell r="E1133" t="str">
            <v>TSA</v>
          </cell>
          <cell r="F1133">
            <v>44349</v>
          </cell>
          <cell r="G1133">
            <v>44357</v>
          </cell>
          <cell r="H1133">
            <v>44359</v>
          </cell>
          <cell r="I1133" t="str">
            <v>10.06.2021</v>
          </cell>
          <cell r="J1133" t="str">
            <v>17.06.2021</v>
          </cell>
          <cell r="K1133" t="str">
            <v>-</v>
          </cell>
          <cell r="L1133" t="str">
            <v>OK</v>
          </cell>
        </row>
        <row r="1134">
          <cell r="A1134" t="str">
            <v>AHW-42130I21</v>
          </cell>
          <cell r="B1134">
            <v>4002666</v>
          </cell>
          <cell r="C1134" t="str">
            <v>Original</v>
          </cell>
          <cell r="D1134" t="str">
            <v>CTS</v>
          </cell>
          <cell r="E1134" t="str">
            <v>TSA</v>
          </cell>
          <cell r="F1134">
            <v>44349</v>
          </cell>
          <cell r="G1134">
            <v>44357</v>
          </cell>
          <cell r="H1134">
            <v>44359</v>
          </cell>
          <cell r="I1134" t="str">
            <v>10.06.2021</v>
          </cell>
          <cell r="J1134" t="str">
            <v>17.06.2021</v>
          </cell>
          <cell r="K1134" t="str">
            <v>-</v>
          </cell>
          <cell r="L1134" t="str">
            <v>OK</v>
          </cell>
        </row>
        <row r="1135">
          <cell r="A1135" t="str">
            <v>AHW-42162I21</v>
          </cell>
          <cell r="B1135">
            <v>4002671</v>
          </cell>
          <cell r="C1135" t="str">
            <v>Original</v>
          </cell>
          <cell r="D1135" t="str">
            <v>CTS</v>
          </cell>
          <cell r="E1135" t="str">
            <v>TSA</v>
          </cell>
          <cell r="F1135">
            <v>44349</v>
          </cell>
          <cell r="G1135">
            <v>44357</v>
          </cell>
          <cell r="H1135">
            <v>44359</v>
          </cell>
          <cell r="I1135" t="str">
            <v>10.06.2021</v>
          </cell>
          <cell r="J1135" t="str">
            <v>17.06.2021</v>
          </cell>
          <cell r="K1135" t="str">
            <v>-</v>
          </cell>
          <cell r="L1135" t="str">
            <v>OK</v>
          </cell>
        </row>
        <row r="1136">
          <cell r="A1136" t="str">
            <v>AHW-42165I21</v>
          </cell>
          <cell r="B1136">
            <v>4002673</v>
          </cell>
          <cell r="C1136" t="str">
            <v>Original</v>
          </cell>
          <cell r="D1136" t="str">
            <v>CTS</v>
          </cell>
          <cell r="E1136" t="str">
            <v>TSA</v>
          </cell>
          <cell r="F1136">
            <v>44349</v>
          </cell>
          <cell r="G1136">
            <v>44357</v>
          </cell>
          <cell r="H1136">
            <v>44359</v>
          </cell>
          <cell r="I1136" t="str">
            <v>09.06.2021</v>
          </cell>
          <cell r="J1136" t="str">
            <v>17.06.2021</v>
          </cell>
          <cell r="K1136" t="str">
            <v>-</v>
          </cell>
          <cell r="L1136" t="str">
            <v>OK</v>
          </cell>
        </row>
        <row r="1137">
          <cell r="A1137" t="str">
            <v>AHW-42166I21</v>
          </cell>
          <cell r="B1137">
            <v>4002672</v>
          </cell>
          <cell r="C1137" t="str">
            <v>Original</v>
          </cell>
          <cell r="D1137" t="str">
            <v>CTS</v>
          </cell>
          <cell r="E1137" t="str">
            <v>TSA</v>
          </cell>
          <cell r="F1137">
            <v>44349</v>
          </cell>
          <cell r="G1137">
            <v>44357</v>
          </cell>
          <cell r="H1137">
            <v>44359</v>
          </cell>
          <cell r="I1137" t="str">
            <v>10.06.2021</v>
          </cell>
          <cell r="J1137" t="str">
            <v>17.06.2021</v>
          </cell>
          <cell r="K1137" t="str">
            <v>-</v>
          </cell>
          <cell r="L1137" t="str">
            <v>OK</v>
          </cell>
        </row>
        <row r="1138">
          <cell r="A1138" t="str">
            <v>AHW-42168I21</v>
          </cell>
          <cell r="B1138">
            <v>4002679</v>
          </cell>
          <cell r="C1138" t="str">
            <v>Original</v>
          </cell>
          <cell r="D1138" t="str">
            <v>CTS</v>
          </cell>
          <cell r="E1138" t="str">
            <v>TSA</v>
          </cell>
          <cell r="F1138">
            <v>44349</v>
          </cell>
          <cell r="G1138">
            <v>44357</v>
          </cell>
          <cell r="H1138">
            <v>44359</v>
          </cell>
          <cell r="I1138" t="str">
            <v>09.06.2021</v>
          </cell>
          <cell r="J1138" t="str">
            <v>17.06.2021</v>
          </cell>
          <cell r="K1138" t="str">
            <v>-</v>
          </cell>
          <cell r="L1138" t="str">
            <v>OK</v>
          </cell>
        </row>
        <row r="1139">
          <cell r="A1139" t="str">
            <v>AHW-42169I21</v>
          </cell>
          <cell r="B1139">
            <v>4002678</v>
          </cell>
          <cell r="C1139" t="str">
            <v>Original</v>
          </cell>
          <cell r="D1139" t="str">
            <v>CTS</v>
          </cell>
          <cell r="E1139" t="str">
            <v>TSA</v>
          </cell>
          <cell r="F1139">
            <v>44349</v>
          </cell>
          <cell r="G1139">
            <v>44357</v>
          </cell>
          <cell r="H1139">
            <v>44359</v>
          </cell>
          <cell r="I1139" t="str">
            <v>09.06.2021</v>
          </cell>
          <cell r="J1139" t="str">
            <v>17.06.2021</v>
          </cell>
          <cell r="K1139" t="str">
            <v>-</v>
          </cell>
          <cell r="L1139" t="str">
            <v>OK</v>
          </cell>
        </row>
        <row r="1140">
          <cell r="A1140" t="str">
            <v>AHW-42171I21</v>
          </cell>
          <cell r="B1140">
            <v>4002680</v>
          </cell>
          <cell r="C1140" t="str">
            <v>Original</v>
          </cell>
          <cell r="D1140" t="str">
            <v>CTS</v>
          </cell>
          <cell r="E1140" t="str">
            <v>TSA</v>
          </cell>
          <cell r="F1140">
            <v>44349</v>
          </cell>
          <cell r="G1140">
            <v>44357</v>
          </cell>
          <cell r="H1140">
            <v>44359</v>
          </cell>
          <cell r="I1140" t="str">
            <v>09.06.2021</v>
          </cell>
          <cell r="J1140" t="str">
            <v>17.06.2021</v>
          </cell>
          <cell r="K1140" t="str">
            <v>-</v>
          </cell>
          <cell r="L1140" t="str">
            <v>OK</v>
          </cell>
        </row>
        <row r="1141">
          <cell r="A1141" t="str">
            <v>AHW-42214I21</v>
          </cell>
          <cell r="B1141">
            <v>4002688</v>
          </cell>
          <cell r="C1141" t="str">
            <v>Original</v>
          </cell>
          <cell r="D1141" t="str">
            <v>CTS</v>
          </cell>
          <cell r="E1141" t="str">
            <v>TSA</v>
          </cell>
          <cell r="F1141">
            <v>44349</v>
          </cell>
          <cell r="G1141">
            <v>44357</v>
          </cell>
          <cell r="H1141">
            <v>44359</v>
          </cell>
          <cell r="I1141" t="str">
            <v>10.06.2021</v>
          </cell>
          <cell r="J1141" t="str">
            <v>17.06.2021</v>
          </cell>
          <cell r="K1141" t="str">
            <v>-</v>
          </cell>
          <cell r="L1141" t="str">
            <v>OK</v>
          </cell>
        </row>
        <row r="1142">
          <cell r="A1142" t="str">
            <v>AHW-42215I21</v>
          </cell>
          <cell r="B1142">
            <v>4002689</v>
          </cell>
          <cell r="C1142" t="str">
            <v>Original</v>
          </cell>
          <cell r="D1142" t="str">
            <v>CTS</v>
          </cell>
          <cell r="E1142" t="str">
            <v>TSA</v>
          </cell>
          <cell r="F1142">
            <v>44349</v>
          </cell>
          <cell r="G1142">
            <v>44357</v>
          </cell>
          <cell r="H1142">
            <v>44359</v>
          </cell>
          <cell r="I1142" t="str">
            <v>10.06.2021</v>
          </cell>
          <cell r="J1142" t="str">
            <v>17.06.2021</v>
          </cell>
          <cell r="K1142" t="str">
            <v>-</v>
          </cell>
          <cell r="L1142" t="str">
            <v>OK</v>
          </cell>
        </row>
        <row r="1143">
          <cell r="A1143" t="str">
            <v>AHW-42217I21</v>
          </cell>
          <cell r="B1143">
            <v>4002696</v>
          </cell>
          <cell r="C1143" t="str">
            <v>Original</v>
          </cell>
          <cell r="D1143" t="str">
            <v>CTS</v>
          </cell>
          <cell r="E1143" t="str">
            <v>TSA</v>
          </cell>
          <cell r="F1143">
            <v>44349</v>
          </cell>
          <cell r="G1143">
            <v>44357</v>
          </cell>
          <cell r="H1143">
            <v>44359</v>
          </cell>
          <cell r="I1143" t="str">
            <v>09.06.2021</v>
          </cell>
          <cell r="J1143" t="str">
            <v>17.06.2021</v>
          </cell>
          <cell r="K1143" t="str">
            <v>-</v>
          </cell>
          <cell r="L1143" t="str">
            <v>OK</v>
          </cell>
        </row>
        <row r="1144">
          <cell r="A1144" t="str">
            <v>AHW-42216I21</v>
          </cell>
          <cell r="B1144">
            <v>80584916</v>
          </cell>
          <cell r="C1144" t="str">
            <v>Original</v>
          </cell>
          <cell r="D1144" t="str">
            <v>CEVA</v>
          </cell>
          <cell r="E1144" t="str">
            <v>Rodoimport</v>
          </cell>
          <cell r="F1144">
            <v>44293</v>
          </cell>
          <cell r="G1144">
            <v>44301</v>
          </cell>
          <cell r="H1144">
            <v>44303</v>
          </cell>
          <cell r="I1144" t="str">
            <v>10.06.2021</v>
          </cell>
          <cell r="J1144" t="str">
            <v>17.06.2021</v>
          </cell>
          <cell r="K1144" t="str">
            <v>-</v>
          </cell>
          <cell r="L1144" t="str">
            <v>OK</v>
          </cell>
        </row>
        <row r="1145">
          <cell r="A1145" t="str">
            <v>AHW-42329I21</v>
          </cell>
          <cell r="B1145">
            <v>4002458</v>
          </cell>
          <cell r="C1145" t="str">
            <v>Original</v>
          </cell>
          <cell r="D1145" t="str">
            <v>CTS</v>
          </cell>
          <cell r="E1145" t="str">
            <v>TSA</v>
          </cell>
          <cell r="F1145">
            <v>44355</v>
          </cell>
          <cell r="G1145">
            <v>44363</v>
          </cell>
          <cell r="H1145">
            <v>44365</v>
          </cell>
          <cell r="I1145" t="str">
            <v>21.06.2021</v>
          </cell>
          <cell r="J1145" t="str">
            <v>17.06.2021</v>
          </cell>
          <cell r="K1145" t="str">
            <v>-</v>
          </cell>
          <cell r="L1145" t="str">
            <v>OK</v>
          </cell>
        </row>
        <row r="1146">
          <cell r="A1146" t="str">
            <v>AHW-42335I21</v>
          </cell>
          <cell r="B1146">
            <v>4002459</v>
          </cell>
          <cell r="C1146" t="str">
            <v>Original</v>
          </cell>
          <cell r="D1146" t="str">
            <v>CTS</v>
          </cell>
          <cell r="E1146" t="str">
            <v>TSA</v>
          </cell>
          <cell r="F1146">
            <v>44355</v>
          </cell>
          <cell r="G1146">
            <v>44363</v>
          </cell>
          <cell r="H1146">
            <v>44365</v>
          </cell>
          <cell r="I1146" t="str">
            <v>21.06.2021</v>
          </cell>
          <cell r="J1146" t="str">
            <v>17.06.2021</v>
          </cell>
          <cell r="K1146" t="str">
            <v>-</v>
          </cell>
          <cell r="L1146" t="str">
            <v>OK</v>
          </cell>
        </row>
        <row r="1147">
          <cell r="A1147" t="str">
            <v>AHW-42218I21</v>
          </cell>
          <cell r="B1147">
            <v>80584922</v>
          </cell>
          <cell r="C1147" t="str">
            <v>Original</v>
          </cell>
          <cell r="D1147" t="str">
            <v>CEVA</v>
          </cell>
          <cell r="E1147" t="str">
            <v>Rodoimport</v>
          </cell>
          <cell r="F1147">
            <v>44355</v>
          </cell>
          <cell r="G1147">
            <v>44363</v>
          </cell>
          <cell r="H1147">
            <v>44365</v>
          </cell>
          <cell r="I1147" t="str">
            <v>10.06.2021</v>
          </cell>
          <cell r="J1147" t="str">
            <v>17.06.2021</v>
          </cell>
          <cell r="K1147" t="str">
            <v>-</v>
          </cell>
          <cell r="L1147" t="str">
            <v>OK</v>
          </cell>
        </row>
        <row r="1148">
          <cell r="A1148" t="str">
            <v>AHW-42228I21</v>
          </cell>
          <cell r="B1148">
            <v>80584932</v>
          </cell>
          <cell r="C1148" t="str">
            <v>Original</v>
          </cell>
          <cell r="D1148" t="str">
            <v>CEVA</v>
          </cell>
          <cell r="E1148" t="str">
            <v>Rodoimport</v>
          </cell>
          <cell r="F1148">
            <v>44355</v>
          </cell>
          <cell r="G1148">
            <v>44363</v>
          </cell>
          <cell r="H1148">
            <v>44365</v>
          </cell>
          <cell r="I1148" t="str">
            <v>15.06.2021</v>
          </cell>
          <cell r="J1148" t="str">
            <v>17.06.2021</v>
          </cell>
          <cell r="K1148" t="str">
            <v>-</v>
          </cell>
          <cell r="L1148" t="str">
            <v>OK</v>
          </cell>
        </row>
        <row r="1149">
          <cell r="A1149" t="str">
            <v>AHW-42323I21</v>
          </cell>
          <cell r="B1149">
            <v>80584947</v>
          </cell>
          <cell r="C1149" t="str">
            <v>Original</v>
          </cell>
          <cell r="D1149" t="str">
            <v>CEVA</v>
          </cell>
          <cell r="E1149" t="str">
            <v>Rodoimport</v>
          </cell>
          <cell r="F1149">
            <v>44355</v>
          </cell>
          <cell r="G1149">
            <v>44363</v>
          </cell>
          <cell r="H1149">
            <v>44365</v>
          </cell>
          <cell r="I1149" t="str">
            <v>10.06.2021</v>
          </cell>
          <cell r="J1149" t="str">
            <v>17.06.2021</v>
          </cell>
          <cell r="K1149" t="str">
            <v>-</v>
          </cell>
          <cell r="L1149" t="str">
            <v>OK</v>
          </cell>
        </row>
        <row r="1150">
          <cell r="A1150" t="str">
            <v>AHW-42327I21</v>
          </cell>
          <cell r="B1150">
            <v>80584945</v>
          </cell>
          <cell r="C1150" t="str">
            <v>Original</v>
          </cell>
          <cell r="D1150" t="str">
            <v>CEVA</v>
          </cell>
          <cell r="E1150" t="str">
            <v>Rodoimport</v>
          </cell>
          <cell r="F1150">
            <v>44355</v>
          </cell>
          <cell r="G1150">
            <v>44363</v>
          </cell>
          <cell r="H1150">
            <v>44365</v>
          </cell>
          <cell r="I1150" t="str">
            <v>10.06.2021</v>
          </cell>
          <cell r="J1150" t="str">
            <v>17.06.2021</v>
          </cell>
          <cell r="K1150" t="str">
            <v>-</v>
          </cell>
          <cell r="L1150" t="str">
            <v>OK</v>
          </cell>
        </row>
        <row r="1151">
          <cell r="A1151" t="str">
            <v>AHW-42334I21</v>
          </cell>
          <cell r="B1151">
            <v>80584943</v>
          </cell>
          <cell r="C1151" t="str">
            <v>Original</v>
          </cell>
          <cell r="D1151" t="str">
            <v>CEVA</v>
          </cell>
          <cell r="E1151" t="str">
            <v>Rodoimport</v>
          </cell>
          <cell r="F1151">
            <v>44355</v>
          </cell>
          <cell r="G1151">
            <v>44363</v>
          </cell>
          <cell r="H1151">
            <v>44365</v>
          </cell>
          <cell r="I1151" t="str">
            <v>15.06.2021</v>
          </cell>
          <cell r="J1151" t="str">
            <v>17.06.2021</v>
          </cell>
          <cell r="K1151" t="str">
            <v>-</v>
          </cell>
          <cell r="L1151" t="str">
            <v>OK</v>
          </cell>
        </row>
        <row r="1152">
          <cell r="A1152" t="str">
            <v>SHW-41533I21</v>
          </cell>
          <cell r="B1152" t="str">
            <v>EGLV149101931157</v>
          </cell>
          <cell r="C1152" t="str">
            <v>Original</v>
          </cell>
          <cell r="D1152" t="str">
            <v>CEVA</v>
          </cell>
          <cell r="E1152" t="str">
            <v>TACT</v>
          </cell>
          <cell r="F1152">
            <v>44342</v>
          </cell>
          <cell r="G1152">
            <v>44350</v>
          </cell>
          <cell r="H1152">
            <v>44352</v>
          </cell>
          <cell r="I1152" t="str">
            <v>07.06.2021</v>
          </cell>
          <cell r="J1152" t="str">
            <v>02.06.2021</v>
          </cell>
          <cell r="K1152" t="str">
            <v>-</v>
          </cell>
          <cell r="L1152" t="str">
            <v>OK</v>
          </cell>
        </row>
        <row r="1153">
          <cell r="A1153" t="str">
            <v>SHW-41577I21</v>
          </cell>
          <cell r="B1153" t="str">
            <v>EGLV149103845771</v>
          </cell>
          <cell r="C1153" t="str">
            <v>Original</v>
          </cell>
          <cell r="D1153" t="str">
            <v>CEVA</v>
          </cell>
          <cell r="E1153" t="str">
            <v>TACT</v>
          </cell>
          <cell r="F1153">
            <v>44342</v>
          </cell>
          <cell r="G1153">
            <v>44350</v>
          </cell>
          <cell r="H1153">
            <v>44352</v>
          </cell>
          <cell r="I1153" t="str">
            <v>07.06.2021</v>
          </cell>
          <cell r="J1153" t="str">
            <v>02.06.2021</v>
          </cell>
          <cell r="K1153" t="str">
            <v>-</v>
          </cell>
          <cell r="L1153" t="str">
            <v>OK</v>
          </cell>
        </row>
        <row r="1154">
          <cell r="A1154" t="str">
            <v>SHW-41477I21</v>
          </cell>
          <cell r="B1154" t="str">
            <v>EGLV149101931131</v>
          </cell>
          <cell r="C1154" t="str">
            <v>Original</v>
          </cell>
          <cell r="D1154" t="str">
            <v>CEVA</v>
          </cell>
          <cell r="E1154" t="str">
            <v>TACT</v>
          </cell>
          <cell r="F1154">
            <v>44342</v>
          </cell>
          <cell r="G1154">
            <v>44350</v>
          </cell>
          <cell r="H1154">
            <v>44352</v>
          </cell>
          <cell r="I1154" t="str">
            <v>07.06.2021</v>
          </cell>
          <cell r="J1154" t="str">
            <v>02.06.2021</v>
          </cell>
          <cell r="K1154" t="str">
            <v>-</v>
          </cell>
          <cell r="L1154" t="str">
            <v>OK</v>
          </cell>
        </row>
        <row r="1155">
          <cell r="A1155" t="str">
            <v>SHW-41478I21</v>
          </cell>
          <cell r="B1155" t="str">
            <v>EGLV149103517633</v>
          </cell>
          <cell r="C1155" t="str">
            <v>Original</v>
          </cell>
          <cell r="D1155" t="str">
            <v>CEVA</v>
          </cell>
          <cell r="E1155" t="str">
            <v>TACT</v>
          </cell>
          <cell r="F1155">
            <v>44348</v>
          </cell>
          <cell r="G1155">
            <v>44356</v>
          </cell>
          <cell r="H1155">
            <v>44358</v>
          </cell>
          <cell r="I1155" t="str">
            <v>07.06.2021</v>
          </cell>
          <cell r="J1155" t="str">
            <v>01.06.2021</v>
          </cell>
          <cell r="K1155" t="str">
            <v>-</v>
          </cell>
          <cell r="L1155" t="str">
            <v>OK</v>
          </cell>
        </row>
        <row r="1156">
          <cell r="A1156" t="str">
            <v>SHW-41787I21</v>
          </cell>
          <cell r="B1156" t="str">
            <v>EGLV149104235925</v>
          </cell>
          <cell r="C1156" t="str">
            <v>Original</v>
          </cell>
          <cell r="D1156" t="str">
            <v>CEVA</v>
          </cell>
          <cell r="E1156" t="str">
            <v>TACT</v>
          </cell>
          <cell r="F1156">
            <v>44351</v>
          </cell>
          <cell r="G1156">
            <v>44359</v>
          </cell>
          <cell r="H1156">
            <v>44361</v>
          </cell>
          <cell r="I1156" t="str">
            <v>14.06.2021</v>
          </cell>
          <cell r="J1156" t="str">
            <v>07.06.2021</v>
          </cell>
          <cell r="K1156" t="str">
            <v>-</v>
          </cell>
          <cell r="L1156" t="str">
            <v>OK</v>
          </cell>
        </row>
        <row r="1157">
          <cell r="A1157" t="str">
            <v>SHW-41686I21</v>
          </cell>
          <cell r="B1157" t="str">
            <v>EGLV149101931190</v>
          </cell>
          <cell r="C1157" t="str">
            <v>Original</v>
          </cell>
          <cell r="D1157" t="str">
            <v>CEVA</v>
          </cell>
          <cell r="E1157" t="str">
            <v>TACT</v>
          </cell>
          <cell r="F1157">
            <v>44354</v>
          </cell>
          <cell r="G1157">
            <v>44362</v>
          </cell>
          <cell r="H1157">
            <v>44364</v>
          </cell>
          <cell r="I1157" t="str">
            <v>10.06.2021</v>
          </cell>
          <cell r="J1157" t="str">
            <v>09.06.2021</v>
          </cell>
          <cell r="K1157" t="str">
            <v>-</v>
          </cell>
          <cell r="L1157" t="str">
            <v>OK</v>
          </cell>
        </row>
        <row r="1158">
          <cell r="A1158" t="str">
            <v>AHW-41748I21</v>
          </cell>
          <cell r="B1158">
            <v>4002524</v>
          </cell>
          <cell r="C1158" t="str">
            <v>Original</v>
          </cell>
          <cell r="D1158" t="str">
            <v>CTS</v>
          </cell>
          <cell r="E1158" t="str">
            <v>TSA</v>
          </cell>
          <cell r="F1158">
            <v>44357</v>
          </cell>
          <cell r="G1158">
            <v>44365</v>
          </cell>
          <cell r="H1158">
            <v>44367</v>
          </cell>
          <cell r="I1158" t="str">
            <v>22.06.2021</v>
          </cell>
          <cell r="J1158" t="str">
            <v>17.06.2021</v>
          </cell>
          <cell r="K1158" t="str">
            <v>-</v>
          </cell>
          <cell r="L1158" t="str">
            <v>OK</v>
          </cell>
        </row>
        <row r="1159">
          <cell r="A1159" t="str">
            <v>AHW-42326I21</v>
          </cell>
          <cell r="B1159">
            <v>4002457</v>
          </cell>
          <cell r="C1159" t="str">
            <v>Original</v>
          </cell>
          <cell r="D1159" t="str">
            <v>CTS</v>
          </cell>
          <cell r="E1159" t="str">
            <v>TSA</v>
          </cell>
          <cell r="F1159">
            <v>44357</v>
          </cell>
          <cell r="G1159">
            <v>44365</v>
          </cell>
          <cell r="H1159">
            <v>44367</v>
          </cell>
          <cell r="I1159" t="str">
            <v>21.06.2021</v>
          </cell>
          <cell r="J1159" t="str">
            <v>17.06.2021</v>
          </cell>
          <cell r="K1159" t="str">
            <v>-</v>
          </cell>
          <cell r="L1159" t="str">
            <v>OK</v>
          </cell>
        </row>
        <row r="1160">
          <cell r="A1160" t="str">
            <v>AHW-42330I21</v>
          </cell>
          <cell r="B1160">
            <v>4002712</v>
          </cell>
          <cell r="C1160" t="str">
            <v>Original</v>
          </cell>
          <cell r="D1160" t="str">
            <v>CTS</v>
          </cell>
          <cell r="E1160" t="str">
            <v>TSA</v>
          </cell>
          <cell r="F1160">
            <v>44357</v>
          </cell>
          <cell r="G1160">
            <v>44365</v>
          </cell>
          <cell r="H1160">
            <v>44367</v>
          </cell>
          <cell r="I1160" t="str">
            <v>22.06.2021</v>
          </cell>
          <cell r="J1160" t="str">
            <v>17.06.2021</v>
          </cell>
          <cell r="K1160" t="str">
            <v>-</v>
          </cell>
          <cell r="L1160" t="str">
            <v>OK</v>
          </cell>
        </row>
        <row r="1161">
          <cell r="A1161" t="str">
            <v>AHW-42332I21</v>
          </cell>
          <cell r="B1161">
            <v>4002722</v>
          </cell>
          <cell r="C1161" t="str">
            <v>Original</v>
          </cell>
          <cell r="D1161" t="str">
            <v>CTS</v>
          </cell>
          <cell r="E1161" t="str">
            <v>TSA</v>
          </cell>
          <cell r="F1161">
            <v>44357</v>
          </cell>
          <cell r="G1161">
            <v>44365</v>
          </cell>
          <cell r="H1161">
            <v>44367</v>
          </cell>
          <cell r="I1161" t="str">
            <v>21.06.2021</v>
          </cell>
          <cell r="J1161" t="str">
            <v>17.06.2021</v>
          </cell>
          <cell r="K1161" t="str">
            <v>-</v>
          </cell>
          <cell r="L1161" t="str">
            <v>OK</v>
          </cell>
        </row>
        <row r="1162">
          <cell r="A1162" t="str">
            <v>AHW-42336I21</v>
          </cell>
          <cell r="B1162">
            <v>4002726</v>
          </cell>
          <cell r="C1162" t="str">
            <v>Original</v>
          </cell>
          <cell r="D1162" t="str">
            <v>CTS</v>
          </cell>
          <cell r="E1162" t="str">
            <v>TSA</v>
          </cell>
          <cell r="F1162">
            <v>44357</v>
          </cell>
          <cell r="G1162">
            <v>44365</v>
          </cell>
          <cell r="H1162">
            <v>44367</v>
          </cell>
          <cell r="I1162" t="str">
            <v>22.06.2021</v>
          </cell>
          <cell r="J1162" t="str">
            <v>17.06.2021</v>
          </cell>
          <cell r="K1162" t="str">
            <v>-</v>
          </cell>
          <cell r="L1162" t="str">
            <v>OK</v>
          </cell>
        </row>
        <row r="1163">
          <cell r="A1163" t="str">
            <v>AHW-42338I21</v>
          </cell>
          <cell r="B1163">
            <v>4002727</v>
          </cell>
          <cell r="C1163" t="str">
            <v>Original</v>
          </cell>
          <cell r="D1163" t="str">
            <v>CTS</v>
          </cell>
          <cell r="E1163" t="str">
            <v>TSA</v>
          </cell>
          <cell r="F1163">
            <v>44357</v>
          </cell>
          <cell r="G1163">
            <v>44365</v>
          </cell>
          <cell r="H1163">
            <v>44367</v>
          </cell>
          <cell r="I1163" t="str">
            <v>22.06.2021</v>
          </cell>
          <cell r="J1163" t="str">
            <v>17.06.2021</v>
          </cell>
          <cell r="K1163" t="str">
            <v>-</v>
          </cell>
          <cell r="L1163" t="str">
            <v>OK</v>
          </cell>
        </row>
        <row r="1164">
          <cell r="A1164" t="str">
            <v>AHW-42404I21</v>
          </cell>
          <cell r="B1164">
            <v>4002732</v>
          </cell>
          <cell r="C1164" t="str">
            <v>Original</v>
          </cell>
          <cell r="D1164" t="str">
            <v>CTS</v>
          </cell>
          <cell r="E1164" t="str">
            <v>TSA</v>
          </cell>
          <cell r="F1164">
            <v>44357</v>
          </cell>
          <cell r="G1164">
            <v>44365</v>
          </cell>
          <cell r="H1164">
            <v>44367</v>
          </cell>
          <cell r="I1164" t="str">
            <v>21.06.2021</v>
          </cell>
          <cell r="J1164" t="str">
            <v>17.06.2021</v>
          </cell>
          <cell r="K1164" t="str">
            <v>-</v>
          </cell>
          <cell r="L1164" t="str">
            <v>OK</v>
          </cell>
        </row>
        <row r="1165">
          <cell r="A1165" t="str">
            <v>AHW-42431I21</v>
          </cell>
          <cell r="B1165">
            <v>4002741</v>
          </cell>
          <cell r="C1165" t="str">
            <v>Original</v>
          </cell>
          <cell r="D1165" t="str">
            <v>CTS</v>
          </cell>
          <cell r="E1165" t="str">
            <v>TSA</v>
          </cell>
          <cell r="F1165">
            <v>44357</v>
          </cell>
          <cell r="G1165">
            <v>44365</v>
          </cell>
          <cell r="H1165">
            <v>44367</v>
          </cell>
          <cell r="I1165" t="str">
            <v>21.06.2021</v>
          </cell>
          <cell r="J1165" t="str">
            <v>17.06.2021</v>
          </cell>
          <cell r="K1165" t="str">
            <v>-</v>
          </cell>
          <cell r="L1165" t="str">
            <v>OK</v>
          </cell>
        </row>
        <row r="1166">
          <cell r="A1166" t="str">
            <v>AHW-42432I21</v>
          </cell>
          <cell r="B1166">
            <v>4002749</v>
          </cell>
          <cell r="C1166" t="str">
            <v>Original</v>
          </cell>
          <cell r="D1166" t="str">
            <v>CTS</v>
          </cell>
          <cell r="E1166" t="str">
            <v>TSA</v>
          </cell>
          <cell r="F1166">
            <v>44357</v>
          </cell>
          <cell r="G1166">
            <v>44365</v>
          </cell>
          <cell r="H1166">
            <v>44367</v>
          </cell>
          <cell r="I1166" t="str">
            <v>22.06.2021</v>
          </cell>
          <cell r="J1166" t="str">
            <v>17.06.2021</v>
          </cell>
          <cell r="K1166" t="str">
            <v>-</v>
          </cell>
          <cell r="L1166" t="str">
            <v>OK</v>
          </cell>
        </row>
        <row r="1167">
          <cell r="A1167" t="str">
            <v>AHW-42328I21</v>
          </cell>
          <cell r="B1167">
            <v>80584946</v>
          </cell>
          <cell r="C1167" t="str">
            <v>Original</v>
          </cell>
          <cell r="D1167" t="str">
            <v>CEVA</v>
          </cell>
          <cell r="E1167" t="str">
            <v>Rodoimport</v>
          </cell>
          <cell r="F1167">
            <v>44357</v>
          </cell>
          <cell r="G1167">
            <v>44365</v>
          </cell>
          <cell r="H1167">
            <v>44367</v>
          </cell>
          <cell r="I1167" t="str">
            <v>22.06.2021</v>
          </cell>
          <cell r="J1167" t="str">
            <v>17.06.2021</v>
          </cell>
          <cell r="K1167" t="str">
            <v>-</v>
          </cell>
          <cell r="L1167" t="str">
            <v>OK</v>
          </cell>
        </row>
        <row r="1168">
          <cell r="A1168" t="str">
            <v>AHW-42331I21</v>
          </cell>
          <cell r="B1168">
            <v>80584955</v>
          </cell>
          <cell r="C1168" t="str">
            <v>Original</v>
          </cell>
          <cell r="D1168" t="str">
            <v>CEVA</v>
          </cell>
          <cell r="E1168" t="str">
            <v>Rodoimport</v>
          </cell>
          <cell r="F1168">
            <v>44357</v>
          </cell>
          <cell r="G1168">
            <v>44365</v>
          </cell>
          <cell r="H1168">
            <v>44367</v>
          </cell>
          <cell r="I1168" t="str">
            <v>21.06.2021</v>
          </cell>
          <cell r="J1168" t="str">
            <v>17.06.2021</v>
          </cell>
          <cell r="K1168" t="str">
            <v>-</v>
          </cell>
          <cell r="L1168" t="str">
            <v>OK</v>
          </cell>
        </row>
        <row r="1169">
          <cell r="A1169" t="str">
            <v>AHW-42337I21</v>
          </cell>
          <cell r="B1169">
            <v>80584965</v>
          </cell>
          <cell r="C1169" t="str">
            <v>Original</v>
          </cell>
          <cell r="D1169" t="str">
            <v>CEVA</v>
          </cell>
          <cell r="E1169" t="str">
            <v>Rodoimport</v>
          </cell>
          <cell r="F1169">
            <v>44357</v>
          </cell>
          <cell r="G1169">
            <v>44365</v>
          </cell>
          <cell r="H1169">
            <v>44367</v>
          </cell>
          <cell r="I1169" t="str">
            <v>21.06.2021</v>
          </cell>
          <cell r="J1169" t="str">
            <v>17.06.2021</v>
          </cell>
          <cell r="K1169" t="str">
            <v>-</v>
          </cell>
          <cell r="L1169" t="str">
            <v>OK</v>
          </cell>
        </row>
        <row r="1170">
          <cell r="A1170" t="str">
            <v>AHW-42405I21</v>
          </cell>
          <cell r="B1170">
            <v>80584984</v>
          </cell>
          <cell r="C1170" t="str">
            <v>Original</v>
          </cell>
          <cell r="D1170" t="str">
            <v>CEVA</v>
          </cell>
          <cell r="E1170" t="str">
            <v>Rodoimport</v>
          </cell>
          <cell r="F1170">
            <v>44357</v>
          </cell>
          <cell r="G1170">
            <v>44365</v>
          </cell>
          <cell r="H1170">
            <v>44367</v>
          </cell>
          <cell r="I1170" t="str">
            <v>21.06.2021</v>
          </cell>
          <cell r="J1170" t="str">
            <v>17.06.2021</v>
          </cell>
          <cell r="K1170" t="str">
            <v>-</v>
          </cell>
          <cell r="L1170" t="str">
            <v>OK</v>
          </cell>
        </row>
        <row r="1171">
          <cell r="A1171" t="str">
            <v>AHW-42446I21</v>
          </cell>
          <cell r="B1171">
            <v>80585010</v>
          </cell>
          <cell r="C1171" t="str">
            <v>Original</v>
          </cell>
          <cell r="D1171" t="str">
            <v>CEVA</v>
          </cell>
          <cell r="E1171" t="str">
            <v>Rodoimport</v>
          </cell>
          <cell r="F1171">
            <v>44357</v>
          </cell>
          <cell r="G1171">
            <v>44365</v>
          </cell>
          <cell r="H1171">
            <v>44367</v>
          </cell>
          <cell r="I1171" t="str">
            <v>21.06.2021</v>
          </cell>
          <cell r="J1171" t="str">
            <v>17.06.2021</v>
          </cell>
          <cell r="K1171" t="str">
            <v>-</v>
          </cell>
          <cell r="L1171" t="str">
            <v>OK</v>
          </cell>
        </row>
        <row r="1172">
          <cell r="A1172" t="str">
            <v>AHW-42447I21</v>
          </cell>
          <cell r="B1172">
            <v>80585014</v>
          </cell>
          <cell r="C1172" t="str">
            <v>Original</v>
          </cell>
          <cell r="D1172" t="str">
            <v>CEVA</v>
          </cell>
          <cell r="E1172" t="str">
            <v>Rodoimport</v>
          </cell>
          <cell r="F1172">
            <v>44357</v>
          </cell>
          <cell r="G1172">
            <v>44365</v>
          </cell>
          <cell r="H1172">
            <v>44367</v>
          </cell>
          <cell r="I1172" t="str">
            <v>21.06.2021</v>
          </cell>
          <cell r="J1172" t="str">
            <v>17.06.2021</v>
          </cell>
          <cell r="K1172" t="str">
            <v>-</v>
          </cell>
          <cell r="L1172" t="str">
            <v>OK</v>
          </cell>
        </row>
        <row r="1173">
          <cell r="A1173" t="str">
            <v>AHW-42450I21</v>
          </cell>
          <cell r="B1173">
            <v>80585016</v>
          </cell>
          <cell r="C1173" t="str">
            <v>Original</v>
          </cell>
          <cell r="D1173" t="str">
            <v>CEVA</v>
          </cell>
          <cell r="E1173" t="str">
            <v>Rodoimport</v>
          </cell>
          <cell r="F1173">
            <v>44357</v>
          </cell>
          <cell r="G1173">
            <v>44365</v>
          </cell>
          <cell r="H1173">
            <v>44367</v>
          </cell>
          <cell r="I1173" t="str">
            <v>21.06.2021</v>
          </cell>
          <cell r="J1173" t="str">
            <v>17.06.2021</v>
          </cell>
          <cell r="K1173" t="str">
            <v>-</v>
          </cell>
          <cell r="L1173" t="str">
            <v>OK</v>
          </cell>
        </row>
        <row r="1174">
          <cell r="A1174" t="str">
            <v>AHW-42448I21</v>
          </cell>
          <cell r="B1174">
            <v>4002762</v>
          </cell>
          <cell r="C1174" t="str">
            <v>Original</v>
          </cell>
          <cell r="D1174" t="str">
            <v>CTS</v>
          </cell>
          <cell r="E1174" t="str">
            <v>TSA</v>
          </cell>
          <cell r="F1174">
            <v>44361</v>
          </cell>
          <cell r="G1174">
            <v>44369</v>
          </cell>
          <cell r="H1174">
            <v>44371</v>
          </cell>
          <cell r="I1174" t="str">
            <v>21.06.2021</v>
          </cell>
          <cell r="J1174" t="str">
            <v>17.06.2021</v>
          </cell>
          <cell r="K1174" t="str">
            <v>-</v>
          </cell>
          <cell r="L1174" t="str">
            <v>OK</v>
          </cell>
        </row>
        <row r="1175">
          <cell r="A1175" t="str">
            <v>AHW-42449I21</v>
          </cell>
          <cell r="B1175">
            <v>80585011</v>
          </cell>
          <cell r="C1175" t="str">
            <v>Original</v>
          </cell>
          <cell r="D1175" t="str">
            <v>CEVA</v>
          </cell>
          <cell r="E1175" t="str">
            <v>Rodoimport</v>
          </cell>
          <cell r="F1175">
            <v>44361</v>
          </cell>
          <cell r="G1175">
            <v>44369</v>
          </cell>
          <cell r="H1175">
            <v>44371</v>
          </cell>
          <cell r="I1175" t="str">
            <v>21.06.2021</v>
          </cell>
          <cell r="J1175" t="str">
            <v>17.06.2021</v>
          </cell>
          <cell r="K1175" t="str">
            <v>-</v>
          </cell>
          <cell r="L1175" t="str">
            <v>OK</v>
          </cell>
        </row>
        <row r="1176">
          <cell r="A1176" t="str">
            <v>AHW-42451I21</v>
          </cell>
          <cell r="B1176">
            <v>4002755</v>
          </cell>
          <cell r="C1176" t="str">
            <v>Original</v>
          </cell>
          <cell r="D1176" t="str">
            <v>CTS</v>
          </cell>
          <cell r="E1176" t="str">
            <v>TSA</v>
          </cell>
          <cell r="F1176">
            <v>44361</v>
          </cell>
          <cell r="G1176">
            <v>44369</v>
          </cell>
          <cell r="H1176">
            <v>44371</v>
          </cell>
          <cell r="I1176" t="str">
            <v>22.06.2021</v>
          </cell>
          <cell r="J1176" t="str">
            <v>17.06.2021</v>
          </cell>
          <cell r="K1176" t="str">
            <v>-</v>
          </cell>
          <cell r="L1176" t="str">
            <v>OK</v>
          </cell>
        </row>
        <row r="1177">
          <cell r="A1177" t="str">
            <v>AHW-42472I21</v>
          </cell>
          <cell r="B1177">
            <v>4002783</v>
          </cell>
          <cell r="C1177" t="str">
            <v>Original</v>
          </cell>
          <cell r="D1177" t="str">
            <v>CTS</v>
          </cell>
          <cell r="E1177" t="str">
            <v>TSA</v>
          </cell>
          <cell r="F1177">
            <v>44361</v>
          </cell>
          <cell r="G1177">
            <v>44369</v>
          </cell>
          <cell r="H1177">
            <v>44371</v>
          </cell>
          <cell r="I1177" t="str">
            <v>22.06.2021</v>
          </cell>
          <cell r="J1177" t="str">
            <v>17.06.2021</v>
          </cell>
          <cell r="K1177" t="str">
            <v>-</v>
          </cell>
          <cell r="L1177" t="str">
            <v>OK</v>
          </cell>
        </row>
        <row r="1178">
          <cell r="A1178" t="str">
            <v>AHW-42473I21</v>
          </cell>
          <cell r="B1178">
            <v>4002771</v>
          </cell>
          <cell r="C1178" t="str">
            <v>Original</v>
          </cell>
          <cell r="D1178" t="str">
            <v>CTS</v>
          </cell>
          <cell r="E1178" t="str">
            <v>TSA</v>
          </cell>
          <cell r="F1178">
            <v>44361</v>
          </cell>
          <cell r="G1178">
            <v>44369</v>
          </cell>
          <cell r="H1178">
            <v>44371</v>
          </cell>
          <cell r="I1178" t="str">
            <v>22.06.2021</v>
          </cell>
          <cell r="J1178" t="str">
            <v>17.06.2021</v>
          </cell>
          <cell r="K1178" t="str">
            <v>-</v>
          </cell>
          <cell r="L1178" t="str">
            <v>OK</v>
          </cell>
        </row>
        <row r="1179">
          <cell r="A1179" t="str">
            <v>AHW-42474I21</v>
          </cell>
          <cell r="B1179">
            <v>4002793</v>
          </cell>
          <cell r="C1179" t="str">
            <v>Original</v>
          </cell>
          <cell r="D1179" t="str">
            <v>CTS</v>
          </cell>
          <cell r="E1179" t="str">
            <v>TSA</v>
          </cell>
          <cell r="F1179">
            <v>44361</v>
          </cell>
          <cell r="G1179">
            <v>44369</v>
          </cell>
          <cell r="H1179">
            <v>44371</v>
          </cell>
          <cell r="I1179" t="str">
            <v>22.06.2021</v>
          </cell>
          <cell r="J1179" t="str">
            <v>17.06.2021</v>
          </cell>
          <cell r="K1179" t="str">
            <v>-</v>
          </cell>
          <cell r="L1179" t="str">
            <v>OK</v>
          </cell>
        </row>
        <row r="1180">
          <cell r="A1180" t="str">
            <v>AHW-42475I21</v>
          </cell>
          <cell r="B1180">
            <v>4002776</v>
          </cell>
          <cell r="C1180" t="str">
            <v>Original</v>
          </cell>
          <cell r="D1180" t="str">
            <v>CTS</v>
          </cell>
          <cell r="E1180" t="str">
            <v>TSA</v>
          </cell>
          <cell r="F1180">
            <v>44361</v>
          </cell>
          <cell r="G1180">
            <v>44369</v>
          </cell>
          <cell r="H1180">
            <v>44371</v>
          </cell>
          <cell r="I1180" t="str">
            <v>21.06.2021</v>
          </cell>
          <cell r="J1180" t="str">
            <v>17.06.2021</v>
          </cell>
          <cell r="K1180" t="str">
            <v>-</v>
          </cell>
          <cell r="L1180" t="str">
            <v>OK</v>
          </cell>
        </row>
        <row r="1181">
          <cell r="A1181" t="str">
            <v>SHW-41788I21</v>
          </cell>
          <cell r="B1181" t="str">
            <v>EGLV149104481021</v>
          </cell>
          <cell r="C1181" t="str">
            <v>Original</v>
          </cell>
          <cell r="D1181" t="str">
            <v>CEVA</v>
          </cell>
          <cell r="E1181" t="str">
            <v>TACT</v>
          </cell>
          <cell r="F1181">
            <v>44358</v>
          </cell>
          <cell r="G1181">
            <v>44366</v>
          </cell>
          <cell r="H1181">
            <v>44368</v>
          </cell>
          <cell r="I1181" t="str">
            <v>14.06.2021</v>
          </cell>
          <cell r="J1181" t="str">
            <v>14.06.2021</v>
          </cell>
          <cell r="K1181" t="str">
            <v>-</v>
          </cell>
          <cell r="L1181" t="str">
            <v>OK</v>
          </cell>
        </row>
        <row r="1182">
          <cell r="A1182" t="str">
            <v>SHW-41886I21</v>
          </cell>
          <cell r="B1182" t="str">
            <v>EGLV149102325366</v>
          </cell>
          <cell r="C1182" t="str">
            <v>Original</v>
          </cell>
          <cell r="D1182" t="str">
            <v>CEVA</v>
          </cell>
          <cell r="E1182" t="str">
            <v>TACT</v>
          </cell>
          <cell r="F1182">
            <v>44362</v>
          </cell>
          <cell r="G1182">
            <v>44370</v>
          </cell>
          <cell r="H1182">
            <v>44372</v>
          </cell>
          <cell r="I1182" t="str">
            <v>21.06.2021</v>
          </cell>
          <cell r="J1182" t="str">
            <v>16.06.2021</v>
          </cell>
          <cell r="K1182" t="str">
            <v>-</v>
          </cell>
          <cell r="L1182" t="str">
            <v>OK</v>
          </cell>
        </row>
        <row r="1183">
          <cell r="A1183" t="str">
            <v>SHW-42071I21</v>
          </cell>
          <cell r="B1183" t="str">
            <v>EGLV149103215025</v>
          </cell>
          <cell r="C1183" t="str">
            <v>Original</v>
          </cell>
          <cell r="D1183" t="str">
            <v>CEVA</v>
          </cell>
          <cell r="E1183" t="str">
            <v>TACT</v>
          </cell>
          <cell r="F1183">
            <v>44363</v>
          </cell>
          <cell r="G1183">
            <v>44371</v>
          </cell>
          <cell r="H1183">
            <v>44373</v>
          </cell>
          <cell r="I1183" t="str">
            <v>23.06.2021</v>
          </cell>
          <cell r="J1183" t="str">
            <v>17.06.2021</v>
          </cell>
          <cell r="K1183" t="str">
            <v>-</v>
          </cell>
          <cell r="L1183" t="str">
            <v>OK</v>
          </cell>
        </row>
        <row r="1184">
          <cell r="A1184" t="str">
            <v>MEA-40843I21</v>
          </cell>
          <cell r="B1184">
            <v>24071</v>
          </cell>
          <cell r="C1184" t="str">
            <v>Original</v>
          </cell>
          <cell r="D1184" t="str">
            <v>WindLog</v>
          </cell>
          <cell r="E1184" t="str">
            <v>Future</v>
          </cell>
          <cell r="F1184">
            <v>44313</v>
          </cell>
          <cell r="G1184">
            <v>44321</v>
          </cell>
          <cell r="H1184">
            <v>44323</v>
          </cell>
          <cell r="I1184" t="str">
            <v>10.05.2021</v>
          </cell>
          <cell r="J1184" t="str">
            <v>03.05.2021</v>
          </cell>
          <cell r="K1184" t="str">
            <v>-</v>
          </cell>
          <cell r="L1184" t="str">
            <v>OK</v>
          </cell>
        </row>
        <row r="1185">
          <cell r="A1185" t="str">
            <v>MEA-41534I21</v>
          </cell>
          <cell r="B1185">
            <v>24592</v>
          </cell>
          <cell r="C1185" t="str">
            <v>Brasiliense</v>
          </cell>
          <cell r="D1185" t="str">
            <v>WindLog</v>
          </cell>
          <cell r="E1185" t="str">
            <v>Future</v>
          </cell>
          <cell r="F1185">
            <v>44326</v>
          </cell>
          <cell r="G1185">
            <v>44334</v>
          </cell>
          <cell r="H1185">
            <v>44336</v>
          </cell>
          <cell r="I1185" t="str">
            <v>13.05.2021</v>
          </cell>
          <cell r="J1185" t="str">
            <v>19.05.2021</v>
          </cell>
          <cell r="K1185" t="str">
            <v>-</v>
          </cell>
          <cell r="L1185" t="str">
            <v>OK</v>
          </cell>
        </row>
        <row r="1186">
          <cell r="A1186" t="str">
            <v>AHW-42452I21</v>
          </cell>
          <cell r="B1186">
            <v>80585015</v>
          </cell>
          <cell r="C1186" t="str">
            <v>Original</v>
          </cell>
          <cell r="D1186" t="str">
            <v>CEVA</v>
          </cell>
          <cell r="E1186" t="str">
            <v>Rodoimport</v>
          </cell>
          <cell r="F1186">
            <v>44363</v>
          </cell>
          <cell r="G1186">
            <v>44371</v>
          </cell>
          <cell r="H1186">
            <v>44373</v>
          </cell>
          <cell r="I1186" t="str">
            <v>21.06.2021</v>
          </cell>
          <cell r="J1186" t="str">
            <v>21.06.2021</v>
          </cell>
          <cell r="K1186" t="str">
            <v>-</v>
          </cell>
          <cell r="L1186" t="str">
            <v>OK</v>
          </cell>
        </row>
        <row r="1187">
          <cell r="A1187" t="str">
            <v>AHW-42476I21</v>
          </cell>
          <cell r="B1187">
            <v>80585019</v>
          </cell>
          <cell r="C1187" t="str">
            <v>Original</v>
          </cell>
          <cell r="D1187" t="str">
            <v>CEVA</v>
          </cell>
          <cell r="E1187" t="str">
            <v>Rodoimport</v>
          </cell>
          <cell r="F1187">
            <v>44363</v>
          </cell>
          <cell r="G1187">
            <v>44371</v>
          </cell>
          <cell r="H1187">
            <v>44373</v>
          </cell>
          <cell r="I1187" t="str">
            <v>22.06.2021</v>
          </cell>
          <cell r="J1187" t="str">
            <v>21.06.2021</v>
          </cell>
          <cell r="K1187" t="str">
            <v>-</v>
          </cell>
          <cell r="L1187" t="str">
            <v>OK</v>
          </cell>
        </row>
        <row r="1188">
          <cell r="A1188" t="str">
            <v>AHW-42649I21</v>
          </cell>
          <cell r="B1188">
            <v>80585061</v>
          </cell>
          <cell r="C1188" t="str">
            <v>Original</v>
          </cell>
          <cell r="D1188" t="str">
            <v>CEVA</v>
          </cell>
          <cell r="E1188" t="str">
            <v>Rodoimport</v>
          </cell>
          <cell r="F1188">
            <v>44364</v>
          </cell>
          <cell r="G1188">
            <v>44372</v>
          </cell>
          <cell r="H1188">
            <v>44374</v>
          </cell>
          <cell r="I1188" t="str">
            <v>22.06.2021</v>
          </cell>
          <cell r="J1188" t="str">
            <v>21.06.2021</v>
          </cell>
          <cell r="K1188" t="str">
            <v>-</v>
          </cell>
          <cell r="L1188" t="str">
            <v>OK</v>
          </cell>
        </row>
        <row r="1189">
          <cell r="A1189" t="str">
            <v>AHW-42664I21</v>
          </cell>
          <cell r="B1189">
            <v>4002827</v>
          </cell>
          <cell r="C1189" t="str">
            <v>Original</v>
          </cell>
          <cell r="D1189" t="str">
            <v>CTS</v>
          </cell>
          <cell r="E1189" t="str">
            <v>TSA</v>
          </cell>
          <cell r="F1189">
            <v>44370</v>
          </cell>
          <cell r="G1189">
            <v>44378</v>
          </cell>
          <cell r="H1189">
            <v>44380</v>
          </cell>
          <cell r="I1189" t="str">
            <v>05.07.2021</v>
          </cell>
          <cell r="J1189" t="str">
            <v>01.07.2021</v>
          </cell>
          <cell r="K1189" t="str">
            <v>-</v>
          </cell>
          <cell r="L1189" t="str">
            <v>OK</v>
          </cell>
        </row>
        <row r="1190">
          <cell r="A1190" t="str">
            <v>AHW-42638I21</v>
          </cell>
          <cell r="B1190">
            <v>4002813</v>
          </cell>
          <cell r="C1190" t="str">
            <v>Original</v>
          </cell>
          <cell r="D1190" t="str">
            <v>CTS</v>
          </cell>
          <cell r="E1190" t="str">
            <v>TSA</v>
          </cell>
          <cell r="F1190">
            <v>44371</v>
          </cell>
          <cell r="G1190">
            <v>44379</v>
          </cell>
          <cell r="H1190">
            <v>44381</v>
          </cell>
          <cell r="I1190" t="str">
            <v>05.07.2021</v>
          </cell>
          <cell r="J1190" t="str">
            <v>01.07.2021</v>
          </cell>
          <cell r="K1190" t="str">
            <v>-</v>
          </cell>
          <cell r="L1190" t="str">
            <v>OK</v>
          </cell>
        </row>
        <row r="1191">
          <cell r="A1191" t="str">
            <v>AHW-42477I21</v>
          </cell>
          <cell r="B1191">
            <v>80585040</v>
          </cell>
          <cell r="C1191" t="str">
            <v>Original</v>
          </cell>
          <cell r="D1191" t="str">
            <v>CEVA</v>
          </cell>
          <cell r="E1191" t="str">
            <v>Rodoimport</v>
          </cell>
          <cell r="F1191">
            <v>44371</v>
          </cell>
          <cell r="G1191">
            <v>44379</v>
          </cell>
          <cell r="H1191">
            <v>44381</v>
          </cell>
          <cell r="I1191" t="str">
            <v>05.07.2021</v>
          </cell>
          <cell r="J1191" t="str">
            <v>01.07.2021</v>
          </cell>
          <cell r="K1191" t="str">
            <v>-</v>
          </cell>
          <cell r="L1191" t="str">
            <v>OK</v>
          </cell>
        </row>
        <row r="1192">
          <cell r="A1192" t="str">
            <v>AHW-42478I21</v>
          </cell>
          <cell r="B1192">
            <v>80585039</v>
          </cell>
          <cell r="C1192" t="str">
            <v>Original</v>
          </cell>
          <cell r="D1192" t="str">
            <v>CEVA</v>
          </cell>
          <cell r="E1192" t="str">
            <v>Rodoimport</v>
          </cell>
          <cell r="F1192">
            <v>44376</v>
          </cell>
          <cell r="G1192">
            <v>44384</v>
          </cell>
          <cell r="H1192">
            <v>44386</v>
          </cell>
          <cell r="I1192" t="str">
            <v>05.07.2021</v>
          </cell>
          <cell r="J1192" t="str">
            <v>14.07.2021</v>
          </cell>
          <cell r="K1192" t="str">
            <v>-</v>
          </cell>
          <cell r="L1192" t="str">
            <v>OK</v>
          </cell>
        </row>
        <row r="1193">
          <cell r="A1193" t="str">
            <v>AHW-42479I21</v>
          </cell>
          <cell r="B1193">
            <v>80585030</v>
          </cell>
          <cell r="C1193" t="str">
            <v>Original</v>
          </cell>
          <cell r="D1193" t="str">
            <v>CEVA</v>
          </cell>
          <cell r="E1193" t="str">
            <v>Rodoimport</v>
          </cell>
          <cell r="F1193">
            <v>44376</v>
          </cell>
          <cell r="G1193">
            <v>44384</v>
          </cell>
          <cell r="H1193">
            <v>44386</v>
          </cell>
          <cell r="I1193" t="str">
            <v>05.07.2021</v>
          </cell>
          <cell r="J1193" t="str">
            <v>14.07.2021</v>
          </cell>
          <cell r="K1193" t="str">
            <v>-</v>
          </cell>
          <cell r="L1193" t="str">
            <v>OK</v>
          </cell>
        </row>
        <row r="1194">
          <cell r="A1194" t="str">
            <v>AHW-42639I21</v>
          </cell>
          <cell r="B1194">
            <v>80585041</v>
          </cell>
          <cell r="C1194" t="str">
            <v>Original</v>
          </cell>
          <cell r="D1194" t="str">
            <v>CEVA</v>
          </cell>
          <cell r="E1194" t="str">
            <v>Rodoimport</v>
          </cell>
          <cell r="F1194">
            <v>44376</v>
          </cell>
          <cell r="G1194">
            <v>44384</v>
          </cell>
          <cell r="H1194">
            <v>44386</v>
          </cell>
          <cell r="I1194" t="str">
            <v>05.07.2021</v>
          </cell>
          <cell r="J1194" t="str">
            <v>14.07.2021</v>
          </cell>
          <cell r="K1194" t="str">
            <v>-</v>
          </cell>
          <cell r="L1194" t="str">
            <v>OK</v>
          </cell>
        </row>
        <row r="1195">
          <cell r="A1195" t="str">
            <v>AHW-42648I21</v>
          </cell>
          <cell r="B1195">
            <v>4002802</v>
          </cell>
          <cell r="C1195" t="str">
            <v>Original</v>
          </cell>
          <cell r="D1195" t="str">
            <v>CTS</v>
          </cell>
          <cell r="E1195" t="str">
            <v>TSA</v>
          </cell>
          <cell r="F1195">
            <v>44376</v>
          </cell>
          <cell r="G1195">
            <v>44384</v>
          </cell>
          <cell r="H1195">
            <v>44386</v>
          </cell>
          <cell r="I1195" t="str">
            <v>05.07.2021</v>
          </cell>
          <cell r="J1195" t="str">
            <v>14.07.2021</v>
          </cell>
          <cell r="K1195" t="str">
            <v>-</v>
          </cell>
          <cell r="L1195" t="str">
            <v>OK</v>
          </cell>
        </row>
        <row r="1196">
          <cell r="A1196" t="str">
            <v>AHW-42650I21</v>
          </cell>
          <cell r="B1196">
            <v>80585042</v>
          </cell>
          <cell r="C1196" t="str">
            <v>Original</v>
          </cell>
          <cell r="D1196" t="str">
            <v>CEVA</v>
          </cell>
          <cell r="E1196" t="str">
            <v>Rodoimport</v>
          </cell>
          <cell r="F1196">
            <v>44376</v>
          </cell>
          <cell r="G1196">
            <v>44384</v>
          </cell>
          <cell r="H1196">
            <v>44386</v>
          </cell>
          <cell r="I1196" t="str">
            <v>05.07.2021</v>
          </cell>
          <cell r="J1196" t="str">
            <v>14.07.2021</v>
          </cell>
          <cell r="K1196" t="str">
            <v>-</v>
          </cell>
          <cell r="L1196" t="str">
            <v>OK</v>
          </cell>
        </row>
        <row r="1197">
          <cell r="A1197" t="str">
            <v>AHW-42651I21</v>
          </cell>
          <cell r="B1197">
            <v>80585043</v>
          </cell>
          <cell r="C1197" t="str">
            <v>Original</v>
          </cell>
          <cell r="D1197" t="str">
            <v>CEVA</v>
          </cell>
          <cell r="E1197" t="str">
            <v>Rodoimport</v>
          </cell>
          <cell r="F1197">
            <v>44376</v>
          </cell>
          <cell r="G1197">
            <v>44384</v>
          </cell>
          <cell r="H1197">
            <v>44386</v>
          </cell>
          <cell r="I1197" t="str">
            <v>05.07.2021</v>
          </cell>
          <cell r="J1197" t="str">
            <v>14.07.2021</v>
          </cell>
          <cell r="K1197" t="str">
            <v>-</v>
          </cell>
          <cell r="L1197" t="str">
            <v>OK</v>
          </cell>
        </row>
        <row r="1198">
          <cell r="A1198" t="str">
            <v>AHW-42652I21</v>
          </cell>
          <cell r="B1198">
            <v>80585062</v>
          </cell>
          <cell r="C1198" t="str">
            <v>Original</v>
          </cell>
          <cell r="D1198" t="str">
            <v>CEVA</v>
          </cell>
          <cell r="E1198" t="str">
            <v>Rodoimport</v>
          </cell>
          <cell r="F1198">
            <v>44376</v>
          </cell>
          <cell r="G1198">
            <v>44384</v>
          </cell>
          <cell r="H1198">
            <v>44386</v>
          </cell>
          <cell r="I1198" t="str">
            <v>05.07.2021</v>
          </cell>
          <cell r="J1198" t="str">
            <v>14.07.2021</v>
          </cell>
          <cell r="K1198" t="str">
            <v>-</v>
          </cell>
          <cell r="L1198" t="str">
            <v>OK</v>
          </cell>
        </row>
        <row r="1199">
          <cell r="A1199" t="str">
            <v>AHW-42653I21</v>
          </cell>
          <cell r="B1199">
            <v>4002817</v>
          </cell>
          <cell r="C1199" t="str">
            <v>Original</v>
          </cell>
          <cell r="D1199" t="str">
            <v>CTS</v>
          </cell>
          <cell r="E1199" t="str">
            <v>TSA</v>
          </cell>
          <cell r="F1199">
            <v>44376</v>
          </cell>
          <cell r="G1199">
            <v>44384</v>
          </cell>
          <cell r="H1199">
            <v>44386</v>
          </cell>
          <cell r="I1199" t="str">
            <v>05.07.2021</v>
          </cell>
          <cell r="J1199" t="str">
            <v>14.07.2021</v>
          </cell>
          <cell r="K1199" t="str">
            <v>-</v>
          </cell>
          <cell r="L1199" t="str">
            <v>OK</v>
          </cell>
        </row>
        <row r="1200">
          <cell r="A1200" t="str">
            <v>AHW-42666I21</v>
          </cell>
          <cell r="B1200">
            <v>80585063</v>
          </cell>
          <cell r="C1200" t="str">
            <v>Original</v>
          </cell>
          <cell r="D1200" t="str">
            <v>CEVA</v>
          </cell>
          <cell r="E1200" t="str">
            <v>Rodoimport</v>
          </cell>
          <cell r="F1200">
            <v>44376</v>
          </cell>
          <cell r="G1200">
            <v>44384</v>
          </cell>
          <cell r="H1200">
            <v>44386</v>
          </cell>
          <cell r="I1200" t="str">
            <v>05.07.2021</v>
          </cell>
          <cell r="J1200" t="str">
            <v>14.07.2021</v>
          </cell>
          <cell r="K1200" t="str">
            <v>-</v>
          </cell>
          <cell r="L1200" t="str">
            <v>OK</v>
          </cell>
        </row>
        <row r="1201">
          <cell r="A1201" t="str">
            <v>AHW-42667I21</v>
          </cell>
          <cell r="B1201">
            <v>80585067</v>
          </cell>
          <cell r="C1201" t="str">
            <v>Original</v>
          </cell>
          <cell r="D1201" t="str">
            <v>CEVA</v>
          </cell>
          <cell r="E1201" t="str">
            <v>Rodoimport</v>
          </cell>
          <cell r="F1201">
            <v>44376</v>
          </cell>
          <cell r="G1201">
            <v>44384</v>
          </cell>
          <cell r="H1201">
            <v>44386</v>
          </cell>
          <cell r="I1201" t="str">
            <v>05.07.2021</v>
          </cell>
          <cell r="J1201" t="str">
            <v>14.07.2021</v>
          </cell>
          <cell r="K1201" t="str">
            <v>-</v>
          </cell>
          <cell r="L1201" t="str">
            <v>OK</v>
          </cell>
        </row>
        <row r="1202">
          <cell r="A1202" t="str">
            <v>AHW-42668I21</v>
          </cell>
          <cell r="B1202">
            <v>4002836</v>
          </cell>
          <cell r="C1202" t="str">
            <v>Original</v>
          </cell>
          <cell r="D1202" t="str">
            <v>CTS</v>
          </cell>
          <cell r="E1202" t="str">
            <v>TSA</v>
          </cell>
          <cell r="F1202">
            <v>44376</v>
          </cell>
          <cell r="G1202">
            <v>44384</v>
          </cell>
          <cell r="H1202">
            <v>44386</v>
          </cell>
          <cell r="I1202" t="str">
            <v>05.07.2021</v>
          </cell>
          <cell r="J1202" t="str">
            <v>14.07.2021</v>
          </cell>
          <cell r="K1202" t="str">
            <v>-</v>
          </cell>
          <cell r="L1202" t="str">
            <v>OK</v>
          </cell>
        </row>
        <row r="1203">
          <cell r="A1203" t="str">
            <v>AHW-42669I21</v>
          </cell>
          <cell r="B1203">
            <v>80585069</v>
          </cell>
          <cell r="C1203" t="str">
            <v>Original</v>
          </cell>
          <cell r="D1203" t="str">
            <v>CEVA</v>
          </cell>
          <cell r="E1203" t="str">
            <v>Rodoimport</v>
          </cell>
          <cell r="F1203">
            <v>44376</v>
          </cell>
          <cell r="G1203">
            <v>44384</v>
          </cell>
          <cell r="H1203">
            <v>44386</v>
          </cell>
          <cell r="I1203" t="str">
            <v>05.07.2021</v>
          </cell>
          <cell r="J1203" t="str">
            <v>14.07.2021</v>
          </cell>
          <cell r="K1203" t="str">
            <v>-</v>
          </cell>
          <cell r="L1203" t="str">
            <v>OK</v>
          </cell>
        </row>
        <row r="1204">
          <cell r="A1204" t="str">
            <v>AHW-42739I21</v>
          </cell>
          <cell r="B1204">
            <v>4002844</v>
          </cell>
          <cell r="C1204" t="str">
            <v>Original</v>
          </cell>
          <cell r="D1204" t="str">
            <v>CTS</v>
          </cell>
          <cell r="E1204" t="str">
            <v>TSA</v>
          </cell>
          <cell r="F1204">
            <v>44376</v>
          </cell>
          <cell r="G1204">
            <v>44384</v>
          </cell>
          <cell r="H1204">
            <v>44386</v>
          </cell>
          <cell r="I1204" t="str">
            <v>05.07.2021</v>
          </cell>
          <cell r="J1204" t="str">
            <v>14.07.2021</v>
          </cell>
          <cell r="K1204" t="str">
            <v>-</v>
          </cell>
          <cell r="L1204" t="str">
            <v>OK</v>
          </cell>
        </row>
        <row r="1205">
          <cell r="A1205" t="str">
            <v>AHW-42740I21</v>
          </cell>
          <cell r="B1205">
            <v>80585098</v>
          </cell>
          <cell r="C1205" t="str">
            <v>Original</v>
          </cell>
          <cell r="D1205" t="str">
            <v>CEVA</v>
          </cell>
          <cell r="E1205" t="str">
            <v>Rodoimport</v>
          </cell>
          <cell r="F1205">
            <v>44376</v>
          </cell>
          <cell r="G1205">
            <v>44384</v>
          </cell>
          <cell r="H1205">
            <v>44386</v>
          </cell>
          <cell r="I1205" t="str">
            <v>05.07.2021</v>
          </cell>
          <cell r="J1205" t="str">
            <v>14.07.2021</v>
          </cell>
          <cell r="K1205" t="str">
            <v>-</v>
          </cell>
          <cell r="L1205" t="str">
            <v>OK</v>
          </cell>
        </row>
        <row r="1206">
          <cell r="A1206" t="str">
            <v>AHW-42741I21</v>
          </cell>
          <cell r="B1206">
            <v>80585095</v>
          </cell>
          <cell r="C1206" t="str">
            <v>Original</v>
          </cell>
          <cell r="D1206" t="str">
            <v>CEVA</v>
          </cell>
          <cell r="E1206" t="str">
            <v>Rodoimport</v>
          </cell>
          <cell r="F1206">
            <v>44376</v>
          </cell>
          <cell r="G1206">
            <v>44384</v>
          </cell>
          <cell r="H1206">
            <v>44386</v>
          </cell>
          <cell r="I1206" t="str">
            <v>16.07.2021</v>
          </cell>
          <cell r="J1206" t="str">
            <v>14.07.2021</v>
          </cell>
          <cell r="K1206" t="str">
            <v>-</v>
          </cell>
          <cell r="L1206" t="str">
            <v>OK</v>
          </cell>
        </row>
        <row r="1207">
          <cell r="A1207" t="str">
            <v>AHW-42742I21</v>
          </cell>
          <cell r="B1207">
            <v>80585099</v>
          </cell>
          <cell r="C1207" t="str">
            <v>Original</v>
          </cell>
          <cell r="D1207" t="str">
            <v>CEVA</v>
          </cell>
          <cell r="E1207" t="str">
            <v>Rodoimport</v>
          </cell>
          <cell r="F1207">
            <v>44376</v>
          </cell>
          <cell r="G1207">
            <v>44384</v>
          </cell>
          <cell r="H1207">
            <v>44386</v>
          </cell>
          <cell r="I1207" t="str">
            <v>05.07.2021</v>
          </cell>
          <cell r="J1207" t="str">
            <v>14.07.2021</v>
          </cell>
          <cell r="K1207" t="str">
            <v>-</v>
          </cell>
          <cell r="L1207" t="str">
            <v>OK</v>
          </cell>
        </row>
        <row r="1208">
          <cell r="A1208" t="str">
            <v>AHW-42760I21</v>
          </cell>
          <cell r="B1208">
            <v>4002150</v>
          </cell>
          <cell r="C1208" t="str">
            <v>Original</v>
          </cell>
          <cell r="D1208" t="str">
            <v>CTS</v>
          </cell>
          <cell r="E1208" t="str">
            <v>TSA</v>
          </cell>
          <cell r="F1208">
            <v>44376</v>
          </cell>
          <cell r="G1208">
            <v>44384</v>
          </cell>
          <cell r="H1208">
            <v>44386</v>
          </cell>
          <cell r="I1208" t="str">
            <v>05.07.2021</v>
          </cell>
          <cell r="J1208" t="str">
            <v>14.07.2021</v>
          </cell>
          <cell r="K1208" t="str">
            <v>-</v>
          </cell>
          <cell r="L1208" t="str">
            <v>OK</v>
          </cell>
        </row>
        <row r="1209">
          <cell r="A1209" t="str">
            <v>AHW-42767I21</v>
          </cell>
          <cell r="B1209">
            <v>80585117</v>
          </cell>
          <cell r="C1209" t="str">
            <v>Original</v>
          </cell>
          <cell r="D1209" t="str">
            <v>CEVA</v>
          </cell>
          <cell r="E1209" t="str">
            <v>Rodoimport</v>
          </cell>
          <cell r="F1209">
            <v>44376</v>
          </cell>
          <cell r="G1209">
            <v>44384</v>
          </cell>
          <cell r="H1209">
            <v>44386</v>
          </cell>
          <cell r="I1209" t="str">
            <v>05.07.2021</v>
          </cell>
          <cell r="J1209" t="str">
            <v>14.07.2021</v>
          </cell>
          <cell r="K1209" t="str">
            <v>-</v>
          </cell>
          <cell r="L1209" t="str">
            <v>OK</v>
          </cell>
        </row>
        <row r="1210">
          <cell r="A1210" t="str">
            <v>AHW-42791I21</v>
          </cell>
          <cell r="B1210">
            <v>4002877</v>
          </cell>
          <cell r="C1210" t="str">
            <v>Original</v>
          </cell>
          <cell r="D1210" t="str">
            <v>CTS</v>
          </cell>
          <cell r="E1210" t="str">
            <v>TSA</v>
          </cell>
          <cell r="F1210">
            <v>44376</v>
          </cell>
          <cell r="G1210">
            <v>44384</v>
          </cell>
          <cell r="H1210">
            <v>44386</v>
          </cell>
          <cell r="I1210" t="str">
            <v>05.07.2021</v>
          </cell>
          <cell r="J1210" t="str">
            <v>14.07.2021</v>
          </cell>
          <cell r="K1210" t="str">
            <v>-</v>
          </cell>
          <cell r="L1210" t="str">
            <v>OK</v>
          </cell>
        </row>
        <row r="1211">
          <cell r="A1211" t="str">
            <v>AHW-42796I21</v>
          </cell>
          <cell r="B1211">
            <v>4002887</v>
          </cell>
          <cell r="C1211" t="str">
            <v>Original</v>
          </cell>
          <cell r="D1211" t="str">
            <v>CTS</v>
          </cell>
          <cell r="E1211" t="str">
            <v>TSA</v>
          </cell>
          <cell r="F1211">
            <v>44376</v>
          </cell>
          <cell r="G1211">
            <v>44384</v>
          </cell>
          <cell r="H1211">
            <v>44386</v>
          </cell>
          <cell r="I1211" t="str">
            <v>05.07.2021</v>
          </cell>
          <cell r="J1211" t="str">
            <v>14.07.2021</v>
          </cell>
          <cell r="K1211" t="str">
            <v>-</v>
          </cell>
          <cell r="L1211" t="str">
            <v>OK</v>
          </cell>
        </row>
        <row r="1212">
          <cell r="A1212" t="str">
            <v>AHW-42814I21</v>
          </cell>
          <cell r="B1212">
            <v>4002895</v>
          </cell>
          <cell r="C1212" t="str">
            <v>Original</v>
          </cell>
          <cell r="D1212" t="str">
            <v>CTS</v>
          </cell>
          <cell r="E1212" t="str">
            <v>TSA</v>
          </cell>
          <cell r="F1212">
            <v>44376</v>
          </cell>
          <cell r="G1212">
            <v>44384</v>
          </cell>
          <cell r="H1212">
            <v>44386</v>
          </cell>
          <cell r="I1212" t="str">
            <v>05.07.2021</v>
          </cell>
          <cell r="J1212" t="str">
            <v>14.07.2021</v>
          </cell>
          <cell r="K1212" t="str">
            <v>-</v>
          </cell>
          <cell r="L1212" t="str">
            <v>OK</v>
          </cell>
        </row>
        <row r="1213">
          <cell r="A1213" t="str">
            <v>AHW-42816I21</v>
          </cell>
          <cell r="B1213">
            <v>4002894</v>
          </cell>
          <cell r="C1213" t="str">
            <v>Original</v>
          </cell>
          <cell r="D1213" t="str">
            <v>CTS</v>
          </cell>
          <cell r="E1213" t="str">
            <v>TSA</v>
          </cell>
          <cell r="F1213">
            <v>44376</v>
          </cell>
          <cell r="G1213">
            <v>44384</v>
          </cell>
          <cell r="H1213">
            <v>44386</v>
          </cell>
          <cell r="I1213" t="str">
            <v>05.07.2021</v>
          </cell>
          <cell r="J1213" t="str">
            <v>14.07.2021</v>
          </cell>
          <cell r="K1213" t="str">
            <v>-</v>
          </cell>
          <cell r="L1213" t="str">
            <v>OK</v>
          </cell>
        </row>
        <row r="1214">
          <cell r="A1214" t="str">
            <v>SHW-42072I21</v>
          </cell>
          <cell r="B1214" t="str">
            <v>EGLV149105075581</v>
          </cell>
          <cell r="C1214" t="str">
            <v>Original</v>
          </cell>
          <cell r="D1214" t="str">
            <v>CEVA</v>
          </cell>
          <cell r="E1214" t="str">
            <v>TACT</v>
          </cell>
          <cell r="F1214">
            <v>44372</v>
          </cell>
          <cell r="G1214">
            <v>44380</v>
          </cell>
          <cell r="H1214">
            <v>44382</v>
          </cell>
          <cell r="I1214" t="str">
            <v>07.07.2021</v>
          </cell>
          <cell r="J1214" t="str">
            <v>01.07.2021</v>
          </cell>
          <cell r="K1214" t="str">
            <v>-</v>
          </cell>
          <cell r="L1214" t="str">
            <v>OK</v>
          </cell>
        </row>
        <row r="1215">
          <cell r="A1215" t="str">
            <v>AHW-42758I21</v>
          </cell>
          <cell r="B1215">
            <v>80585107</v>
          </cell>
          <cell r="C1215" t="str">
            <v>Original</v>
          </cell>
          <cell r="D1215" t="str">
            <v>CEVA</v>
          </cell>
          <cell r="E1215" t="str">
            <v>Rodoimport</v>
          </cell>
          <cell r="F1215">
            <v>44382</v>
          </cell>
          <cell r="G1215">
            <v>44390</v>
          </cell>
          <cell r="H1215">
            <v>44392</v>
          </cell>
          <cell r="I1215" t="str">
            <v>08.07.2021</v>
          </cell>
          <cell r="J1215" t="str">
            <v>23.07.2021</v>
          </cell>
          <cell r="K1215" t="str">
            <v>-</v>
          </cell>
          <cell r="L1215" t="str">
            <v>OK</v>
          </cell>
        </row>
        <row r="1216">
          <cell r="A1216" t="str">
            <v>AHW-42759I21</v>
          </cell>
          <cell r="B1216">
            <v>80585106</v>
          </cell>
          <cell r="C1216" t="str">
            <v>Original</v>
          </cell>
          <cell r="D1216" t="str">
            <v>CEVA</v>
          </cell>
          <cell r="E1216" t="str">
            <v>Rodoimport</v>
          </cell>
          <cell r="F1216">
            <v>44382</v>
          </cell>
          <cell r="G1216">
            <v>44390</v>
          </cell>
          <cell r="H1216">
            <v>44392</v>
          </cell>
          <cell r="I1216" t="str">
            <v>08.07.2021</v>
          </cell>
          <cell r="J1216" t="str">
            <v>23.07.2021</v>
          </cell>
          <cell r="K1216" t="str">
            <v>-</v>
          </cell>
          <cell r="L1216" t="str">
            <v>OK</v>
          </cell>
        </row>
        <row r="1217">
          <cell r="A1217" t="str">
            <v>AHW-42792I21</v>
          </cell>
          <cell r="B1217">
            <v>80585118</v>
          </cell>
          <cell r="C1217" t="str">
            <v>Original</v>
          </cell>
          <cell r="D1217" t="str">
            <v>CEVA</v>
          </cell>
          <cell r="E1217" t="str">
            <v>Rodoimport</v>
          </cell>
          <cell r="F1217">
            <v>44382</v>
          </cell>
          <cell r="G1217">
            <v>44390</v>
          </cell>
          <cell r="H1217">
            <v>44392</v>
          </cell>
          <cell r="I1217" t="str">
            <v>08.07.2021</v>
          </cell>
          <cell r="J1217" t="str">
            <v>23.07.2021</v>
          </cell>
          <cell r="K1217" t="str">
            <v>-</v>
          </cell>
          <cell r="L1217" t="str">
            <v>OK</v>
          </cell>
        </row>
        <row r="1218">
          <cell r="A1218" t="str">
            <v>AHW-42798I21</v>
          </cell>
          <cell r="B1218">
            <v>80585143</v>
          </cell>
          <cell r="C1218" t="str">
            <v>Original</v>
          </cell>
          <cell r="D1218" t="str">
            <v>CEVA</v>
          </cell>
          <cell r="E1218" t="str">
            <v>Rodoimport</v>
          </cell>
          <cell r="F1218">
            <v>44382</v>
          </cell>
          <cell r="G1218">
            <v>44390</v>
          </cell>
          <cell r="H1218">
            <v>44392</v>
          </cell>
          <cell r="I1218" t="str">
            <v>08.07.2021</v>
          </cell>
          <cell r="J1218" t="str">
            <v>23.07.2021</v>
          </cell>
          <cell r="K1218" t="str">
            <v>-</v>
          </cell>
          <cell r="L1218" t="str">
            <v>OK</v>
          </cell>
        </row>
        <row r="1219">
          <cell r="A1219" t="str">
            <v>AHW-42813I21</v>
          </cell>
          <cell r="B1219">
            <v>80585153</v>
          </cell>
          <cell r="C1219" t="str">
            <v>Original</v>
          </cell>
          <cell r="D1219" t="str">
            <v>CEVA</v>
          </cell>
          <cell r="E1219" t="str">
            <v>Rodoimport</v>
          </cell>
          <cell r="F1219">
            <v>44382</v>
          </cell>
          <cell r="G1219">
            <v>44390</v>
          </cell>
          <cell r="H1219">
            <v>44392</v>
          </cell>
          <cell r="I1219" t="str">
            <v>08.07.2021</v>
          </cell>
          <cell r="J1219" t="str">
            <v>23.07.2021</v>
          </cell>
          <cell r="K1219" t="str">
            <v>-</v>
          </cell>
          <cell r="L1219" t="str">
            <v>OK</v>
          </cell>
        </row>
        <row r="1220">
          <cell r="A1220" t="str">
            <v>AHW-42817I21</v>
          </cell>
          <cell r="B1220">
            <v>80585165</v>
          </cell>
          <cell r="C1220" t="str">
            <v>Original</v>
          </cell>
          <cell r="D1220" t="str">
            <v>CEVA</v>
          </cell>
          <cell r="E1220" t="str">
            <v>Rodoimport</v>
          </cell>
          <cell r="F1220">
            <v>44382</v>
          </cell>
          <cell r="G1220">
            <v>44390</v>
          </cell>
          <cell r="H1220">
            <v>44392</v>
          </cell>
          <cell r="I1220" t="str">
            <v>08.07.2021</v>
          </cell>
          <cell r="J1220" t="str">
            <v>23.07.2021</v>
          </cell>
          <cell r="K1220" t="str">
            <v>-</v>
          </cell>
          <cell r="L1220" t="str">
            <v>OK</v>
          </cell>
        </row>
        <row r="1221">
          <cell r="A1221" t="str">
            <v>AHW-42818I21</v>
          </cell>
          <cell r="B1221">
            <v>80585155</v>
          </cell>
          <cell r="C1221" t="str">
            <v>Original</v>
          </cell>
          <cell r="D1221" t="str">
            <v>CEVA</v>
          </cell>
          <cell r="E1221" t="str">
            <v>Rodoimport</v>
          </cell>
          <cell r="F1221">
            <v>44382</v>
          </cell>
          <cell r="G1221">
            <v>44390</v>
          </cell>
          <cell r="H1221">
            <v>44392</v>
          </cell>
          <cell r="I1221" t="str">
            <v>08.07.2021</v>
          </cell>
          <cell r="J1221" t="str">
            <v>23.07.2021</v>
          </cell>
          <cell r="K1221" t="str">
            <v>-</v>
          </cell>
          <cell r="L1221" t="str">
            <v>OK</v>
          </cell>
        </row>
        <row r="1222">
          <cell r="A1222" t="str">
            <v>SHW-42322I21</v>
          </cell>
          <cell r="B1222" t="str">
            <v>EGLV149105919917</v>
          </cell>
          <cell r="C1222" t="str">
            <v>Original</v>
          </cell>
          <cell r="D1222" t="str">
            <v>CEVA</v>
          </cell>
          <cell r="E1222" t="str">
            <v>Unitrading</v>
          </cell>
          <cell r="F1222">
            <v>44382</v>
          </cell>
          <cell r="G1222">
            <v>44390</v>
          </cell>
          <cell r="H1222">
            <v>44392</v>
          </cell>
          <cell r="I1222" t="str">
            <v>13.07.2021</v>
          </cell>
          <cell r="J1222" t="str">
            <v>15.07.2021</v>
          </cell>
          <cell r="K1222" t="str">
            <v>-</v>
          </cell>
          <cell r="L1222" t="str">
            <v>OK</v>
          </cell>
        </row>
        <row r="1223">
          <cell r="A1223" t="str">
            <v>SHW-42548I21</v>
          </cell>
          <cell r="B1223" t="str">
            <v>EGLV149105904359</v>
          </cell>
          <cell r="C1223" t="str">
            <v>Original</v>
          </cell>
          <cell r="D1223" t="str">
            <v>CEVA</v>
          </cell>
          <cell r="E1223" t="str">
            <v>Unitrading</v>
          </cell>
          <cell r="F1223">
            <v>44382</v>
          </cell>
          <cell r="G1223">
            <v>44390</v>
          </cell>
          <cell r="H1223">
            <v>44392</v>
          </cell>
          <cell r="I1223" t="str">
            <v>13.07.2021</v>
          </cell>
          <cell r="J1223" t="str">
            <v>15.07.2021</v>
          </cell>
          <cell r="K1223" t="str">
            <v>-</v>
          </cell>
          <cell r="L1223" t="str">
            <v>OK</v>
          </cell>
        </row>
        <row r="1224">
          <cell r="A1224" t="str">
            <v>SHW-42549I21</v>
          </cell>
          <cell r="B1224" t="str">
            <v>EGLV149105904391</v>
          </cell>
          <cell r="C1224" t="str">
            <v>Original</v>
          </cell>
          <cell r="D1224" t="str">
            <v>CEVA</v>
          </cell>
          <cell r="E1224" t="str">
            <v>Unitrading</v>
          </cell>
          <cell r="F1224">
            <v>44382</v>
          </cell>
          <cell r="G1224">
            <v>44390</v>
          </cell>
          <cell r="H1224">
            <v>44392</v>
          </cell>
          <cell r="I1224" t="str">
            <v>13.07.2021</v>
          </cell>
          <cell r="J1224" t="str">
            <v>15.07.2021</v>
          </cell>
          <cell r="K1224" t="str">
            <v>-</v>
          </cell>
          <cell r="L1224" t="str">
            <v>OK</v>
          </cell>
        </row>
        <row r="1225">
          <cell r="A1225" t="str">
            <v>AHW-42665I21</v>
          </cell>
          <cell r="B1225">
            <v>80585066</v>
          </cell>
          <cell r="C1225" t="str">
            <v>Original</v>
          </cell>
          <cell r="D1225" t="str">
            <v>CEVA</v>
          </cell>
          <cell r="E1225" t="str">
            <v>Rodoimport</v>
          </cell>
          <cell r="F1225">
            <v>44383</v>
          </cell>
          <cell r="G1225">
            <v>44391</v>
          </cell>
          <cell r="H1225">
            <v>44393</v>
          </cell>
          <cell r="I1225" t="str">
            <v>15.07.2021</v>
          </cell>
          <cell r="J1225" t="str">
            <v>23.07.2021</v>
          </cell>
          <cell r="K1225" t="str">
            <v>-</v>
          </cell>
          <cell r="L1225" t="str">
            <v>OK</v>
          </cell>
        </row>
        <row r="1226">
          <cell r="A1226" t="str">
            <v>AMRO-43041I21</v>
          </cell>
          <cell r="B1226">
            <v>6344847821</v>
          </cell>
          <cell r="C1226" t="str">
            <v>Original</v>
          </cell>
          <cell r="D1226" t="str">
            <v>DHL</v>
          </cell>
          <cell r="E1226" t="str">
            <v>Future</v>
          </cell>
          <cell r="F1226">
            <v>44383</v>
          </cell>
          <cell r="G1226">
            <v>44391</v>
          </cell>
          <cell r="H1226">
            <v>44393</v>
          </cell>
          <cell r="I1226" t="str">
            <v>16.07.2021</v>
          </cell>
          <cell r="J1226" t="str">
            <v>23.07.2021</v>
          </cell>
          <cell r="K1226" t="str">
            <v>-</v>
          </cell>
          <cell r="L1226" t="str">
            <v>OK</v>
          </cell>
        </row>
        <row r="1227">
          <cell r="A1227" t="str">
            <v>AHW-42968I21</v>
          </cell>
          <cell r="B1227">
            <v>80585244</v>
          </cell>
          <cell r="C1227" t="str">
            <v>Original</v>
          </cell>
          <cell r="D1227" t="str">
            <v>CEVA</v>
          </cell>
          <cell r="E1227" t="str">
            <v>Rodoimport</v>
          </cell>
          <cell r="F1227">
            <v>44384</v>
          </cell>
          <cell r="G1227">
            <v>44392</v>
          </cell>
          <cell r="H1227">
            <v>44394</v>
          </cell>
          <cell r="I1227" t="str">
            <v>16.07.2021</v>
          </cell>
          <cell r="J1227" t="str">
            <v>23.07.2021</v>
          </cell>
          <cell r="K1227" t="str">
            <v>-</v>
          </cell>
          <cell r="L1227" t="str">
            <v>OK</v>
          </cell>
        </row>
        <row r="1228">
          <cell r="A1228" t="str">
            <v>AHW-42819I21</v>
          </cell>
          <cell r="B1228">
            <v>80585166</v>
          </cell>
          <cell r="C1228" t="str">
            <v>Original</v>
          </cell>
          <cell r="D1228" t="str">
            <v>CEVA</v>
          </cell>
          <cell r="E1228" t="str">
            <v>Rodoimport</v>
          </cell>
          <cell r="F1228">
            <v>44384</v>
          </cell>
          <cell r="G1228">
            <v>44392</v>
          </cell>
          <cell r="H1228">
            <v>44394</v>
          </cell>
          <cell r="I1228" t="str">
            <v>15.07.2021</v>
          </cell>
          <cell r="J1228" t="str">
            <v>23.07.2021</v>
          </cell>
          <cell r="K1228" t="str">
            <v>-</v>
          </cell>
          <cell r="L1228" t="str">
            <v>OK</v>
          </cell>
        </row>
        <row r="1229">
          <cell r="A1229" t="str">
            <v>AHW-42836I21</v>
          </cell>
          <cell r="B1229">
            <v>80585195</v>
          </cell>
          <cell r="C1229" t="str">
            <v>Original</v>
          </cell>
          <cell r="D1229" t="str">
            <v>CEVA</v>
          </cell>
          <cell r="E1229" t="str">
            <v>Rodoimport</v>
          </cell>
          <cell r="F1229">
            <v>44384</v>
          </cell>
          <cell r="G1229">
            <v>44392</v>
          </cell>
          <cell r="H1229">
            <v>44394</v>
          </cell>
          <cell r="I1229" t="str">
            <v>16.07.2021</v>
          </cell>
          <cell r="J1229" t="str">
            <v>23.07.2021</v>
          </cell>
          <cell r="K1229" t="str">
            <v>-</v>
          </cell>
          <cell r="L1229" t="str">
            <v>OK</v>
          </cell>
        </row>
        <row r="1230">
          <cell r="A1230" t="str">
            <v>AHW-42821I21</v>
          </cell>
          <cell r="B1230">
            <v>80585175</v>
          </cell>
          <cell r="C1230" t="str">
            <v>Original</v>
          </cell>
          <cell r="D1230" t="str">
            <v>CEVA</v>
          </cell>
          <cell r="E1230" t="str">
            <v>Rodoimport</v>
          </cell>
          <cell r="F1230">
            <v>44384</v>
          </cell>
          <cell r="G1230">
            <v>44392</v>
          </cell>
          <cell r="H1230">
            <v>44394</v>
          </cell>
          <cell r="I1230" t="str">
            <v>21.07.2021</v>
          </cell>
          <cell r="J1230" t="str">
            <v>23.07.2021</v>
          </cell>
          <cell r="K1230" t="str">
            <v>-</v>
          </cell>
          <cell r="L1230" t="str">
            <v>OK</v>
          </cell>
        </row>
        <row r="1231">
          <cell r="A1231" t="str">
            <v>AHW-42795I21</v>
          </cell>
          <cell r="B1231">
            <v>80585142</v>
          </cell>
          <cell r="C1231" t="str">
            <v>Original</v>
          </cell>
          <cell r="D1231" t="str">
            <v>CEVA</v>
          </cell>
          <cell r="E1231" t="str">
            <v>Rodoimport</v>
          </cell>
          <cell r="F1231">
            <v>44384</v>
          </cell>
          <cell r="G1231">
            <v>44392</v>
          </cell>
          <cell r="H1231">
            <v>44394</v>
          </cell>
          <cell r="I1231" t="str">
            <v>15.07.2021</v>
          </cell>
          <cell r="J1231" t="str">
            <v>23.07.2021</v>
          </cell>
          <cell r="K1231" t="str">
            <v>-</v>
          </cell>
          <cell r="L1231" t="str">
            <v>OK</v>
          </cell>
        </row>
        <row r="1232">
          <cell r="A1232" t="str">
            <v>AHW-42797I21</v>
          </cell>
          <cell r="B1232">
            <v>80585141</v>
          </cell>
          <cell r="C1232" t="str">
            <v>Original</v>
          </cell>
          <cell r="D1232" t="str">
            <v>CEVA</v>
          </cell>
          <cell r="E1232" t="str">
            <v>Rodoimport</v>
          </cell>
          <cell r="F1232">
            <v>44384</v>
          </cell>
          <cell r="G1232">
            <v>44392</v>
          </cell>
          <cell r="H1232">
            <v>44394</v>
          </cell>
          <cell r="I1232" t="str">
            <v>15.07.2021</v>
          </cell>
          <cell r="J1232" t="str">
            <v>23.07.2021</v>
          </cell>
          <cell r="K1232" t="str">
            <v>-</v>
          </cell>
          <cell r="L1232" t="str">
            <v>OK</v>
          </cell>
        </row>
        <row r="1233">
          <cell r="A1233" t="str">
            <v>AHW-42815I21</v>
          </cell>
          <cell r="B1233">
            <v>80585154</v>
          </cell>
          <cell r="C1233" t="str">
            <v>Original</v>
          </cell>
          <cell r="D1233" t="str">
            <v>CEVA</v>
          </cell>
          <cell r="E1233" t="str">
            <v>Rodoimport</v>
          </cell>
          <cell r="F1233">
            <v>44384</v>
          </cell>
          <cell r="G1233">
            <v>44392</v>
          </cell>
          <cell r="H1233">
            <v>44394</v>
          </cell>
          <cell r="I1233" t="str">
            <v>15.07.2021</v>
          </cell>
          <cell r="J1233" t="str">
            <v>23.07.2021</v>
          </cell>
          <cell r="K1233" t="str">
            <v>-</v>
          </cell>
          <cell r="L1233" t="str">
            <v>OK</v>
          </cell>
        </row>
        <row r="1234">
          <cell r="A1234" t="str">
            <v>AHW-42820I21</v>
          </cell>
          <cell r="B1234">
            <v>4003112</v>
          </cell>
          <cell r="C1234" t="str">
            <v>Original</v>
          </cell>
          <cell r="D1234" t="str">
            <v>CTS</v>
          </cell>
          <cell r="E1234" t="str">
            <v>TSA</v>
          </cell>
          <cell r="F1234">
            <v>44384</v>
          </cell>
          <cell r="G1234">
            <v>44392</v>
          </cell>
          <cell r="H1234">
            <v>44394</v>
          </cell>
          <cell r="I1234" t="str">
            <v>16.07.2021</v>
          </cell>
          <cell r="J1234" t="str">
            <v>23.07.2021</v>
          </cell>
          <cell r="K1234" t="str">
            <v>-</v>
          </cell>
          <cell r="L1234" t="str">
            <v>OK</v>
          </cell>
        </row>
        <row r="1235">
          <cell r="A1235" t="str">
            <v>AHW-42822I21</v>
          </cell>
          <cell r="B1235">
            <v>4002160</v>
          </cell>
          <cell r="C1235" t="str">
            <v>Original</v>
          </cell>
          <cell r="D1235" t="str">
            <v>CTS</v>
          </cell>
          <cell r="E1235" t="str">
            <v>TSA</v>
          </cell>
          <cell r="F1235">
            <v>44384</v>
          </cell>
          <cell r="G1235">
            <v>44392</v>
          </cell>
          <cell r="H1235">
            <v>44394</v>
          </cell>
          <cell r="I1235" t="str">
            <v>16.07.2021</v>
          </cell>
          <cell r="J1235" t="str">
            <v>23.07.2021</v>
          </cell>
          <cell r="K1235" t="str">
            <v>-</v>
          </cell>
          <cell r="L1235" t="str">
            <v>OK</v>
          </cell>
        </row>
        <row r="1236">
          <cell r="A1236" t="str">
            <v>AHW-42832I21</v>
          </cell>
          <cell r="B1236">
            <v>80585180</v>
          </cell>
          <cell r="C1236" t="str">
            <v>Original</v>
          </cell>
          <cell r="D1236" t="str">
            <v>CEVA</v>
          </cell>
          <cell r="E1236" t="str">
            <v>Rodoimport</v>
          </cell>
          <cell r="F1236">
            <v>44384</v>
          </cell>
          <cell r="G1236">
            <v>44392</v>
          </cell>
          <cell r="H1236">
            <v>44394</v>
          </cell>
          <cell r="I1236" t="str">
            <v>15.07.2021</v>
          </cell>
          <cell r="J1236" t="str">
            <v>23.07.2021</v>
          </cell>
          <cell r="K1236" t="str">
            <v>-</v>
          </cell>
          <cell r="L1236" t="str">
            <v>OK</v>
          </cell>
        </row>
        <row r="1237">
          <cell r="A1237" t="str">
            <v>AHW-42833I21</v>
          </cell>
          <cell r="B1237">
            <v>4003129</v>
          </cell>
          <cell r="C1237" t="str">
            <v>Original</v>
          </cell>
          <cell r="D1237" t="str">
            <v>CTS</v>
          </cell>
          <cell r="E1237" t="str">
            <v>TSA</v>
          </cell>
          <cell r="F1237">
            <v>44384</v>
          </cell>
          <cell r="G1237">
            <v>44392</v>
          </cell>
          <cell r="H1237">
            <v>44394</v>
          </cell>
          <cell r="I1237" t="str">
            <v>16.07.2021</v>
          </cell>
          <cell r="J1237" t="str">
            <v>23.07.2021</v>
          </cell>
          <cell r="K1237" t="str">
            <v>-</v>
          </cell>
          <cell r="L1237" t="str">
            <v>OK</v>
          </cell>
        </row>
        <row r="1238">
          <cell r="A1238" t="str">
            <v>AHW-42835I21</v>
          </cell>
          <cell r="B1238">
            <v>4003139</v>
          </cell>
          <cell r="C1238" t="str">
            <v>Original</v>
          </cell>
          <cell r="D1238" t="str">
            <v>CTS</v>
          </cell>
          <cell r="E1238" t="str">
            <v>TSA</v>
          </cell>
          <cell r="F1238">
            <v>44384</v>
          </cell>
          <cell r="G1238">
            <v>44392</v>
          </cell>
          <cell r="H1238">
            <v>44394</v>
          </cell>
          <cell r="I1238" t="str">
            <v>16.07.2021</v>
          </cell>
          <cell r="J1238" t="str">
            <v>23.07.2021</v>
          </cell>
          <cell r="K1238" t="str">
            <v>-</v>
          </cell>
          <cell r="L1238" t="str">
            <v>OK</v>
          </cell>
        </row>
        <row r="1239">
          <cell r="A1239" t="str">
            <v>AHW-42890I21</v>
          </cell>
          <cell r="B1239">
            <v>4003145</v>
          </cell>
          <cell r="C1239" t="str">
            <v>Original</v>
          </cell>
          <cell r="D1239" t="str">
            <v>CTS</v>
          </cell>
          <cell r="E1239" t="str">
            <v>TSA</v>
          </cell>
          <cell r="F1239">
            <v>44384</v>
          </cell>
          <cell r="G1239">
            <v>44392</v>
          </cell>
          <cell r="H1239">
            <v>44394</v>
          </cell>
          <cell r="I1239" t="str">
            <v>16.07.2021</v>
          </cell>
          <cell r="J1239" t="str">
            <v>23.07.2021</v>
          </cell>
          <cell r="K1239" t="str">
            <v>-</v>
          </cell>
          <cell r="L1239" t="str">
            <v>OK</v>
          </cell>
        </row>
        <row r="1240">
          <cell r="A1240" t="str">
            <v>AHW-42902I21</v>
          </cell>
          <cell r="B1240">
            <v>80585209</v>
          </cell>
          <cell r="C1240" t="str">
            <v>Original</v>
          </cell>
          <cell r="D1240" t="str">
            <v>CEVA</v>
          </cell>
          <cell r="E1240" t="str">
            <v>Rodoimport</v>
          </cell>
          <cell r="F1240">
            <v>44384</v>
          </cell>
          <cell r="G1240">
            <v>44392</v>
          </cell>
          <cell r="H1240">
            <v>44394</v>
          </cell>
          <cell r="I1240" t="str">
            <v>16.07.2021</v>
          </cell>
          <cell r="J1240" t="str">
            <v>23.07.2021</v>
          </cell>
          <cell r="K1240" t="str">
            <v>-</v>
          </cell>
          <cell r="L1240" t="str">
            <v>OK</v>
          </cell>
        </row>
        <row r="1241">
          <cell r="A1241" t="str">
            <v>AHW-42903I21</v>
          </cell>
          <cell r="B1241">
            <v>4003157</v>
          </cell>
          <cell r="C1241" t="str">
            <v>Original</v>
          </cell>
          <cell r="D1241" t="str">
            <v>CTS</v>
          </cell>
          <cell r="E1241" t="str">
            <v>TSA</v>
          </cell>
          <cell r="F1241">
            <v>44384</v>
          </cell>
          <cell r="G1241">
            <v>44392</v>
          </cell>
          <cell r="H1241">
            <v>44394</v>
          </cell>
          <cell r="I1241" t="str">
            <v>16.07.2021</v>
          </cell>
          <cell r="J1241" t="str">
            <v>23.07.2021</v>
          </cell>
          <cell r="K1241" t="str">
            <v>-</v>
          </cell>
          <cell r="L1241" t="str">
            <v>OK</v>
          </cell>
        </row>
        <row r="1242">
          <cell r="A1242" t="str">
            <v>AHW-42967I21</v>
          </cell>
          <cell r="B1242">
            <v>80585243</v>
          </cell>
          <cell r="C1242" t="str">
            <v>Original</v>
          </cell>
          <cell r="D1242" t="str">
            <v>CEVA</v>
          </cell>
          <cell r="E1242" t="str">
            <v>Rodoimport</v>
          </cell>
          <cell r="F1242">
            <v>44384</v>
          </cell>
          <cell r="G1242">
            <v>44392</v>
          </cell>
          <cell r="H1242">
            <v>44394</v>
          </cell>
          <cell r="I1242" t="str">
            <v>16.07.2021</v>
          </cell>
          <cell r="J1242" t="str">
            <v>23.07.2021</v>
          </cell>
          <cell r="K1242" t="str">
            <v>-</v>
          </cell>
          <cell r="L1242" t="str">
            <v>OK</v>
          </cell>
        </row>
        <row r="1243">
          <cell r="A1243" t="str">
            <v>AHW-42834I21</v>
          </cell>
          <cell r="B1243">
            <v>80585186</v>
          </cell>
          <cell r="C1243" t="str">
            <v>Original</v>
          </cell>
          <cell r="D1243" t="str">
            <v>CEVA</v>
          </cell>
          <cell r="E1243" t="str">
            <v>Rodoimport</v>
          </cell>
          <cell r="F1243">
            <v>44385</v>
          </cell>
          <cell r="G1243">
            <v>44393</v>
          </cell>
          <cell r="H1243">
            <v>44395</v>
          </cell>
          <cell r="I1243" t="str">
            <v>23.07.2021</v>
          </cell>
          <cell r="J1243" t="str">
            <v>23.07.2021</v>
          </cell>
          <cell r="K1243" t="str">
            <v>-</v>
          </cell>
          <cell r="L1243" t="str">
            <v>OK</v>
          </cell>
        </row>
        <row r="1244">
          <cell r="A1244" t="str">
            <v>AHW-42904I21</v>
          </cell>
          <cell r="B1244">
            <v>80585220</v>
          </cell>
          <cell r="C1244" t="str">
            <v>Original</v>
          </cell>
          <cell r="D1244" t="str">
            <v>CEVA</v>
          </cell>
          <cell r="E1244" t="str">
            <v>Rodoimport</v>
          </cell>
          <cell r="F1244">
            <v>44390</v>
          </cell>
          <cell r="G1244">
            <v>44398</v>
          </cell>
          <cell r="H1244">
            <v>44400</v>
          </cell>
          <cell r="I1244" t="str">
            <v>16.07.2021</v>
          </cell>
          <cell r="J1244" t="str">
            <v>23.07.2021</v>
          </cell>
          <cell r="K1244" t="str">
            <v>-</v>
          </cell>
          <cell r="L1244" t="str">
            <v>OK</v>
          </cell>
        </row>
        <row r="1245">
          <cell r="A1245" t="str">
            <v>SHW-42132I21</v>
          </cell>
          <cell r="B1245" t="str">
            <v>EGLV149105953881</v>
          </cell>
          <cell r="C1245" t="str">
            <v>Original</v>
          </cell>
          <cell r="D1245" t="str">
            <v>CEVA</v>
          </cell>
          <cell r="E1245" t="str">
            <v>Unitrading</v>
          </cell>
          <cell r="F1245">
            <v>44390</v>
          </cell>
          <cell r="G1245">
            <v>44398</v>
          </cell>
          <cell r="H1245">
            <v>44400</v>
          </cell>
          <cell r="I1245" t="str">
            <v>19.07.2021</v>
          </cell>
          <cell r="J1245" t="str">
            <v>15.07.2021</v>
          </cell>
          <cell r="K1245" t="str">
            <v>-</v>
          </cell>
          <cell r="L1245" t="str">
            <v>OK</v>
          </cell>
        </row>
        <row r="1246">
          <cell r="A1246" t="str">
            <v>AHW-42966I21</v>
          </cell>
          <cell r="B1246">
            <v>4003182</v>
          </cell>
          <cell r="C1246" t="str">
            <v>Original</v>
          </cell>
          <cell r="D1246" t="str">
            <v>CTS</v>
          </cell>
          <cell r="E1246" t="str">
            <v>TSA</v>
          </cell>
          <cell r="F1246">
            <v>44396</v>
          </cell>
          <cell r="G1246">
            <v>44404</v>
          </cell>
          <cell r="H1246">
            <v>44406</v>
          </cell>
          <cell r="I1246" t="str">
            <v>21.07.2021</v>
          </cell>
          <cell r="J1246" t="str">
            <v>02.08.2021</v>
          </cell>
          <cell r="K1246" t="str">
            <v>-</v>
          </cell>
          <cell r="L1246" t="str">
            <v>OK</v>
          </cell>
        </row>
        <row r="1247">
          <cell r="A1247" t="str">
            <v>AHW-42905I21</v>
          </cell>
          <cell r="B1247">
            <v>4003170</v>
          </cell>
          <cell r="C1247" t="str">
            <v>Original</v>
          </cell>
          <cell r="D1247" t="str">
            <v>CTS</v>
          </cell>
          <cell r="E1247" t="str">
            <v>TSA</v>
          </cell>
          <cell r="F1247">
            <v>44397</v>
          </cell>
          <cell r="G1247">
            <v>44405</v>
          </cell>
          <cell r="H1247">
            <v>44407</v>
          </cell>
          <cell r="I1247" t="str">
            <v>23.07.2021</v>
          </cell>
          <cell r="J1247" t="str">
            <v>02.08.2021</v>
          </cell>
          <cell r="K1247" t="str">
            <v>-</v>
          </cell>
          <cell r="L1247" t="str">
            <v>OK</v>
          </cell>
        </row>
        <row r="1248">
          <cell r="A1248" t="str">
            <v>AHW-42979I21</v>
          </cell>
          <cell r="B1248">
            <v>4003188</v>
          </cell>
          <cell r="C1248" t="str">
            <v>Original</v>
          </cell>
          <cell r="D1248" t="str">
            <v>CTS</v>
          </cell>
          <cell r="E1248" t="str">
            <v>TSA</v>
          </cell>
          <cell r="F1248">
            <v>44397</v>
          </cell>
          <cell r="G1248">
            <v>44405</v>
          </cell>
          <cell r="H1248">
            <v>44407</v>
          </cell>
          <cell r="I1248" t="str">
            <v>23.07.2021</v>
          </cell>
          <cell r="J1248" t="str">
            <v>02.08.2021</v>
          </cell>
          <cell r="K1248" t="str">
            <v>-</v>
          </cell>
          <cell r="L1248" t="str">
            <v>OK</v>
          </cell>
        </row>
        <row r="1249">
          <cell r="A1249" t="str">
            <v>AHW-43130I21</v>
          </cell>
          <cell r="B1249">
            <v>4003261</v>
          </cell>
          <cell r="C1249" t="str">
            <v>Original</v>
          </cell>
          <cell r="D1249" t="str">
            <v>CTS</v>
          </cell>
          <cell r="E1249" t="str">
            <v>TSA</v>
          </cell>
          <cell r="F1249">
            <v>44397</v>
          </cell>
          <cell r="G1249">
            <v>44405</v>
          </cell>
          <cell r="H1249">
            <v>44407</v>
          </cell>
          <cell r="I1249" t="str">
            <v>23.07.2021</v>
          </cell>
          <cell r="J1249" t="str">
            <v>02.08.2021</v>
          </cell>
          <cell r="K1249" t="str">
            <v>-</v>
          </cell>
          <cell r="L1249" t="str">
            <v>OK</v>
          </cell>
        </row>
        <row r="1250">
          <cell r="A1250" t="str">
            <v>AHW-43131I21</v>
          </cell>
          <cell r="B1250">
            <v>4003241</v>
          </cell>
          <cell r="C1250" t="str">
            <v>Original</v>
          </cell>
          <cell r="D1250" t="str">
            <v>CTS</v>
          </cell>
          <cell r="E1250" t="str">
            <v>TSA</v>
          </cell>
          <cell r="F1250">
            <v>44397</v>
          </cell>
          <cell r="G1250">
            <v>44405</v>
          </cell>
          <cell r="H1250">
            <v>44407</v>
          </cell>
          <cell r="I1250" t="str">
            <v>23.07.2021</v>
          </cell>
          <cell r="J1250" t="str">
            <v>02.08.2021</v>
          </cell>
          <cell r="K1250" t="str">
            <v>-</v>
          </cell>
          <cell r="L1250" t="str">
            <v>OK</v>
          </cell>
        </row>
        <row r="1251">
          <cell r="A1251" t="str">
            <v>SHW-42163I21</v>
          </cell>
          <cell r="B1251" t="str">
            <v>EGLV149105889155</v>
          </cell>
          <cell r="C1251" t="str">
            <v>Original</v>
          </cell>
          <cell r="D1251" t="str">
            <v>CEVA</v>
          </cell>
          <cell r="E1251" t="str">
            <v>Unitrading</v>
          </cell>
          <cell r="F1251">
            <v>44393</v>
          </cell>
          <cell r="G1251">
            <v>44401</v>
          </cell>
          <cell r="H1251">
            <v>44403</v>
          </cell>
          <cell r="I1251" t="str">
            <v>21.07.2021</v>
          </cell>
          <cell r="J1251" t="str">
            <v>21.07.2021</v>
          </cell>
          <cell r="K1251" t="str">
            <v>-</v>
          </cell>
          <cell r="L1251" t="str">
            <v>OK</v>
          </cell>
        </row>
        <row r="1252">
          <cell r="A1252" t="str">
            <v>SHW-42655I21</v>
          </cell>
          <cell r="B1252" t="str">
            <v>EGLV149106707107</v>
          </cell>
          <cell r="C1252" t="str">
            <v>Original</v>
          </cell>
          <cell r="D1252" t="str">
            <v>CEVA</v>
          </cell>
          <cell r="E1252" t="str">
            <v>Unitrading</v>
          </cell>
          <cell r="F1252">
            <v>44396</v>
          </cell>
          <cell r="G1252">
            <v>44404</v>
          </cell>
          <cell r="H1252">
            <v>44406</v>
          </cell>
          <cell r="I1252" t="str">
            <v>26.07.2021</v>
          </cell>
          <cell r="J1252" t="str">
            <v>19.07.2021</v>
          </cell>
          <cell r="K1252" t="str">
            <v>-</v>
          </cell>
          <cell r="L1252" t="str">
            <v>OK</v>
          </cell>
        </row>
        <row r="1253">
          <cell r="A1253" t="str">
            <v>SHW-42551I21</v>
          </cell>
          <cell r="B1253" t="str">
            <v>EGLV149106006907</v>
          </cell>
          <cell r="C1253" t="str">
            <v>Original</v>
          </cell>
          <cell r="D1253" t="str">
            <v>CEVA</v>
          </cell>
          <cell r="E1253" t="str">
            <v>Unitrading</v>
          </cell>
          <cell r="F1253">
            <v>44398</v>
          </cell>
          <cell r="G1253">
            <v>44406</v>
          </cell>
          <cell r="H1253">
            <v>44408</v>
          </cell>
          <cell r="I1253" t="str">
            <v>26.07.2021</v>
          </cell>
          <cell r="J1253" t="str">
            <v>22.07.2021</v>
          </cell>
          <cell r="K1253" t="str">
            <v>-</v>
          </cell>
          <cell r="L1253" t="str">
            <v>OK</v>
          </cell>
        </row>
        <row r="1254">
          <cell r="A1254" t="str">
            <v>SHW-42657I21</v>
          </cell>
          <cell r="B1254">
            <v>211207247</v>
          </cell>
          <cell r="C1254" t="str">
            <v>Original</v>
          </cell>
          <cell r="D1254" t="str">
            <v>CEVA</v>
          </cell>
          <cell r="E1254" t="str">
            <v>Unitrading</v>
          </cell>
          <cell r="F1254">
            <v>44398</v>
          </cell>
          <cell r="G1254">
            <v>44406</v>
          </cell>
          <cell r="H1254">
            <v>44408</v>
          </cell>
          <cell r="I1254" t="str">
            <v>26.07.2021</v>
          </cell>
          <cell r="J1254" t="str">
            <v>23.07.2021</v>
          </cell>
          <cell r="K1254" t="str">
            <v>-</v>
          </cell>
          <cell r="L1254" t="str">
            <v>OK</v>
          </cell>
        </row>
        <row r="1255">
          <cell r="A1255" t="str">
            <v>SHW-42550I21</v>
          </cell>
          <cell r="B1255" t="str">
            <v>EGLV149105904553</v>
          </cell>
          <cell r="C1255" t="str">
            <v>Original</v>
          </cell>
          <cell r="D1255" t="str">
            <v>CEVA</v>
          </cell>
          <cell r="E1255" t="str">
            <v>Unitrading</v>
          </cell>
          <cell r="F1255">
            <v>44398</v>
          </cell>
          <cell r="G1255">
            <v>44406</v>
          </cell>
          <cell r="H1255">
            <v>44408</v>
          </cell>
          <cell r="I1255" t="str">
            <v>26.07.2021</v>
          </cell>
          <cell r="J1255" t="str">
            <v>23.07.2021</v>
          </cell>
          <cell r="K1255" t="str">
            <v>-</v>
          </cell>
          <cell r="L1255" t="str">
            <v>OK</v>
          </cell>
        </row>
        <row r="1256">
          <cell r="A1256" t="str">
            <v>SHW-42656I21</v>
          </cell>
          <cell r="B1256">
            <v>912403860</v>
          </cell>
          <cell r="C1256" t="str">
            <v>Original</v>
          </cell>
          <cell r="D1256" t="str">
            <v>CEVA</v>
          </cell>
          <cell r="E1256" t="str">
            <v>Unitrading</v>
          </cell>
          <cell r="F1256">
            <v>44399</v>
          </cell>
          <cell r="G1256">
            <v>44407</v>
          </cell>
          <cell r="H1256">
            <v>44409</v>
          </cell>
          <cell r="I1256" t="str">
            <v>04.08.201</v>
          </cell>
          <cell r="J1256" t="str">
            <v>23.07.2021</v>
          </cell>
          <cell r="K1256" t="str">
            <v>-</v>
          </cell>
          <cell r="L1256" t="str">
            <v>OK</v>
          </cell>
        </row>
        <row r="1257">
          <cell r="A1257" t="str">
            <v>SHW-42552I21</v>
          </cell>
          <cell r="B1257" t="str">
            <v>EGLV149106006826</v>
          </cell>
          <cell r="C1257" t="str">
            <v>Original</v>
          </cell>
          <cell r="D1257" t="str">
            <v>CEVA</v>
          </cell>
          <cell r="E1257" t="str">
            <v>Unitrading</v>
          </cell>
          <cell r="F1257">
            <v>44400</v>
          </cell>
          <cell r="G1257">
            <v>44408</v>
          </cell>
          <cell r="H1257">
            <v>44410</v>
          </cell>
          <cell r="I1257" t="str">
            <v>04.08.2021</v>
          </cell>
          <cell r="J1257" t="str">
            <v>23.07.2021</v>
          </cell>
          <cell r="K1257" t="str">
            <v>-</v>
          </cell>
          <cell r="L1257" t="str">
            <v>OK</v>
          </cell>
        </row>
        <row r="1258">
          <cell r="A1258" t="str">
            <v>SHW-42553I21</v>
          </cell>
          <cell r="B1258">
            <v>912412618</v>
          </cell>
          <cell r="C1258" t="str">
            <v>Original</v>
          </cell>
          <cell r="D1258" t="str">
            <v>CEVA</v>
          </cell>
          <cell r="E1258" t="str">
            <v>Unitrading</v>
          </cell>
          <cell r="F1258">
            <v>44400</v>
          </cell>
          <cell r="G1258">
            <v>44408</v>
          </cell>
          <cell r="H1258">
            <v>44410</v>
          </cell>
          <cell r="I1258" t="str">
            <v>04.08.2021</v>
          </cell>
          <cell r="J1258" t="str">
            <v>26.07.2021</v>
          </cell>
          <cell r="K1258" t="str">
            <v>-</v>
          </cell>
          <cell r="L1258" t="str">
            <v>OK</v>
          </cell>
        </row>
        <row r="1259">
          <cell r="A1259" t="str">
            <v>SHW-42131I21</v>
          </cell>
          <cell r="B1259" t="str">
            <v>EGLV149106142215</v>
          </cell>
          <cell r="C1259" t="str">
            <v>Original</v>
          </cell>
          <cell r="D1259" t="str">
            <v>CEVA</v>
          </cell>
          <cell r="E1259" t="str">
            <v>Unitrading</v>
          </cell>
          <cell r="F1259">
            <v>44405</v>
          </cell>
          <cell r="G1259">
            <v>44413</v>
          </cell>
          <cell r="H1259">
            <v>44415</v>
          </cell>
          <cell r="I1259" t="str">
            <v>05.08.2021</v>
          </cell>
          <cell r="J1259" t="str">
            <v>02.08.2021</v>
          </cell>
          <cell r="K1259" t="str">
            <v>-</v>
          </cell>
          <cell r="L1259" t="str">
            <v>OK</v>
          </cell>
        </row>
        <row r="1260">
          <cell r="A1260" t="str">
            <v>AHW-43227I21</v>
          </cell>
          <cell r="B1260">
            <v>4003279</v>
          </cell>
          <cell r="C1260" t="str">
            <v>Original</v>
          </cell>
          <cell r="D1260" t="str">
            <v>CTS</v>
          </cell>
          <cell r="E1260" t="str">
            <v>TSA</v>
          </cell>
          <cell r="F1260">
            <v>44403</v>
          </cell>
          <cell r="G1260">
            <v>44411</v>
          </cell>
          <cell r="H1260">
            <v>44413</v>
          </cell>
          <cell r="I1260" t="str">
            <v>05.08.2021</v>
          </cell>
          <cell r="J1260" t="str">
            <v>02.08.2021</v>
          </cell>
          <cell r="K1260" t="str">
            <v>-</v>
          </cell>
          <cell r="L1260" t="str">
            <v>OK</v>
          </cell>
        </row>
        <row r="1261">
          <cell r="A1261" t="str">
            <v>AHW-43235I21</v>
          </cell>
          <cell r="B1261">
            <v>80585345</v>
          </cell>
          <cell r="C1261" t="str">
            <v>Original</v>
          </cell>
          <cell r="D1261" t="str">
            <v>CEVA</v>
          </cell>
          <cell r="E1261" t="str">
            <v>Rodoimport</v>
          </cell>
          <cell r="F1261">
            <v>44407</v>
          </cell>
          <cell r="G1261">
            <v>44415</v>
          </cell>
          <cell r="H1261">
            <v>44417</v>
          </cell>
          <cell r="I1261" t="str">
            <v>06.08.2021</v>
          </cell>
          <cell r="J1261" t="str">
            <v>10.08.2021</v>
          </cell>
          <cell r="K1261" t="str">
            <v>-</v>
          </cell>
          <cell r="L1261" t="str">
            <v>OK</v>
          </cell>
        </row>
        <row r="1262">
          <cell r="A1262" t="str">
            <v>AHW-43233I21</v>
          </cell>
          <cell r="B1262">
            <v>4003307</v>
          </cell>
          <cell r="C1262" t="str">
            <v>Original</v>
          </cell>
          <cell r="D1262" t="str">
            <v>CTS</v>
          </cell>
          <cell r="E1262" t="str">
            <v>TSA</v>
          </cell>
          <cell r="F1262">
            <v>44406</v>
          </cell>
          <cell r="G1262">
            <v>44414</v>
          </cell>
          <cell r="H1262">
            <v>44416</v>
          </cell>
          <cell r="I1262" t="str">
            <v>04.08.2021</v>
          </cell>
          <cell r="J1262" t="str">
            <v>10.08.2021</v>
          </cell>
          <cell r="K1262" t="str">
            <v>-</v>
          </cell>
          <cell r="L1262" t="str">
            <v>OK</v>
          </cell>
        </row>
        <row r="1263">
          <cell r="A1263" t="str">
            <v>AHW-43228I21</v>
          </cell>
          <cell r="B1263">
            <v>80585343</v>
          </cell>
          <cell r="C1263" t="str">
            <v>Original</v>
          </cell>
          <cell r="D1263" t="str">
            <v>CEVA</v>
          </cell>
          <cell r="E1263" t="str">
            <v>Rodoimport</v>
          </cell>
          <cell r="F1263">
            <v>44411</v>
          </cell>
          <cell r="G1263">
            <v>44419</v>
          </cell>
          <cell r="H1263">
            <v>44421</v>
          </cell>
          <cell r="I1263" t="str">
            <v>06.08.2021</v>
          </cell>
          <cell r="J1263" t="str">
            <v>19.08.2021</v>
          </cell>
          <cell r="K1263" t="str">
            <v>-</v>
          </cell>
          <cell r="L1263" t="str">
            <v>OK</v>
          </cell>
        </row>
        <row r="1264">
          <cell r="A1264" t="str">
            <v>AHW-43234I21</v>
          </cell>
          <cell r="B1264">
            <v>80585344</v>
          </cell>
          <cell r="C1264" t="str">
            <v>Original</v>
          </cell>
          <cell r="D1264" t="str">
            <v>CEVA</v>
          </cell>
          <cell r="E1264" t="str">
            <v>Rodoimport</v>
          </cell>
          <cell r="F1264">
            <v>44411</v>
          </cell>
          <cell r="G1264">
            <v>44419</v>
          </cell>
          <cell r="H1264">
            <v>44421</v>
          </cell>
          <cell r="I1264" t="str">
            <v>06.08.2021</v>
          </cell>
          <cell r="J1264" t="str">
            <v>19.08.2021</v>
          </cell>
          <cell r="K1264" t="str">
            <v>-</v>
          </cell>
          <cell r="L1264" t="str">
            <v>OK</v>
          </cell>
        </row>
        <row r="1265">
          <cell r="A1265" t="str">
            <v>AHW-43293I21</v>
          </cell>
          <cell r="B1265">
            <v>80585400</v>
          </cell>
          <cell r="C1265" t="str">
            <v>Original</v>
          </cell>
          <cell r="D1265" t="str">
            <v>CEVA</v>
          </cell>
          <cell r="E1265" t="str">
            <v>Rodoimport</v>
          </cell>
          <cell r="F1265">
            <v>44411</v>
          </cell>
          <cell r="G1265">
            <v>44419</v>
          </cell>
          <cell r="H1265">
            <v>44421</v>
          </cell>
          <cell r="I1265" t="str">
            <v>06.08.2021</v>
          </cell>
          <cell r="J1265" t="str">
            <v>19.08.2021</v>
          </cell>
          <cell r="K1265" t="str">
            <v>-</v>
          </cell>
          <cell r="L1265" t="str">
            <v>OK</v>
          </cell>
        </row>
        <row r="1266">
          <cell r="A1266" t="str">
            <v>AHW-43301I21</v>
          </cell>
          <cell r="B1266">
            <v>80585422</v>
          </cell>
          <cell r="C1266" t="str">
            <v>Original</v>
          </cell>
          <cell r="D1266" t="str">
            <v>CEVA</v>
          </cell>
          <cell r="E1266" t="str">
            <v>Rodoimport</v>
          </cell>
          <cell r="F1266">
            <v>44411</v>
          </cell>
          <cell r="G1266">
            <v>44419</v>
          </cell>
          <cell r="H1266">
            <v>44421</v>
          </cell>
          <cell r="I1266" t="str">
            <v>06.08.2021</v>
          </cell>
          <cell r="J1266" t="str">
            <v>19.08.2021</v>
          </cell>
          <cell r="K1266" t="str">
            <v>-</v>
          </cell>
          <cell r="L1266" t="str">
            <v>OK</v>
          </cell>
        </row>
        <row r="1267">
          <cell r="A1267" t="str">
            <v>AHW-43323I21</v>
          </cell>
          <cell r="B1267">
            <v>80585438</v>
          </cell>
          <cell r="C1267" t="str">
            <v>Original</v>
          </cell>
          <cell r="D1267" t="str">
            <v>CEVA</v>
          </cell>
          <cell r="E1267" t="str">
            <v>Rodoimport</v>
          </cell>
          <cell r="F1267">
            <v>44411</v>
          </cell>
          <cell r="G1267">
            <v>44419</v>
          </cell>
          <cell r="H1267">
            <v>44421</v>
          </cell>
          <cell r="I1267" t="str">
            <v>06.08.2021</v>
          </cell>
          <cell r="J1267" t="str">
            <v>19.08.2021</v>
          </cell>
          <cell r="K1267" t="str">
            <v>-</v>
          </cell>
          <cell r="L1267" t="str">
            <v>OK</v>
          </cell>
        </row>
        <row r="1268">
          <cell r="A1268" t="str">
            <v>AHW-43324I21</v>
          </cell>
          <cell r="B1268">
            <v>80585439</v>
          </cell>
          <cell r="C1268" t="str">
            <v>Original</v>
          </cell>
          <cell r="D1268" t="str">
            <v>CEVA</v>
          </cell>
          <cell r="E1268" t="str">
            <v>Rodoimport</v>
          </cell>
          <cell r="F1268">
            <v>44411</v>
          </cell>
          <cell r="G1268">
            <v>44419</v>
          </cell>
          <cell r="H1268">
            <v>44421</v>
          </cell>
          <cell r="I1268" t="str">
            <v>06.08.2021</v>
          </cell>
          <cell r="J1268" t="str">
            <v>19.08.2021</v>
          </cell>
          <cell r="K1268" t="str">
            <v>-</v>
          </cell>
          <cell r="L1268" t="str">
            <v>OK</v>
          </cell>
        </row>
        <row r="1269">
          <cell r="A1269" t="str">
            <v>AHW-43132I21</v>
          </cell>
          <cell r="B1269">
            <v>4003273</v>
          </cell>
          <cell r="C1269" t="str">
            <v>Original</v>
          </cell>
          <cell r="D1269" t="str">
            <v>CTS</v>
          </cell>
          <cell r="E1269" t="str">
            <v>TSA</v>
          </cell>
          <cell r="F1269">
            <v>44411</v>
          </cell>
          <cell r="G1269">
            <v>44419</v>
          </cell>
          <cell r="H1269">
            <v>44421</v>
          </cell>
          <cell r="I1269" t="str">
            <v>06.08.2021</v>
          </cell>
          <cell r="J1269" t="str">
            <v>19.08.2021</v>
          </cell>
          <cell r="K1269" t="str">
            <v>-</v>
          </cell>
          <cell r="L1269" t="str">
            <v>OK</v>
          </cell>
        </row>
        <row r="1270">
          <cell r="A1270" t="str">
            <v>AHW-43232I21</v>
          </cell>
          <cell r="B1270">
            <v>4003306</v>
          </cell>
          <cell r="C1270" t="str">
            <v>Original</v>
          </cell>
          <cell r="D1270" t="str">
            <v>CTS</v>
          </cell>
          <cell r="E1270" t="str">
            <v>TSA</v>
          </cell>
          <cell r="F1270">
            <v>44411</v>
          </cell>
          <cell r="G1270">
            <v>44419</v>
          </cell>
          <cell r="H1270">
            <v>44421</v>
          </cell>
          <cell r="I1270" t="str">
            <v>06.08.2021</v>
          </cell>
          <cell r="J1270" t="str">
            <v>19.08.2021</v>
          </cell>
          <cell r="K1270" t="str">
            <v>-</v>
          </cell>
          <cell r="L1270" t="str">
            <v>OK</v>
          </cell>
        </row>
        <row r="1271">
          <cell r="A1271" t="str">
            <v>AHW-43291I21</v>
          </cell>
          <cell r="B1271">
            <v>4003316</v>
          </cell>
          <cell r="C1271" t="str">
            <v>Original</v>
          </cell>
          <cell r="D1271" t="str">
            <v>CTS</v>
          </cell>
          <cell r="E1271" t="str">
            <v>TSA</v>
          </cell>
          <cell r="F1271">
            <v>44411</v>
          </cell>
          <cell r="G1271">
            <v>44419</v>
          </cell>
          <cell r="H1271">
            <v>44421</v>
          </cell>
          <cell r="I1271" t="str">
            <v>06.08.2021</v>
          </cell>
          <cell r="J1271" t="str">
            <v>19.08.2021</v>
          </cell>
          <cell r="K1271" t="str">
            <v>-</v>
          </cell>
          <cell r="L1271" t="str">
            <v>OK</v>
          </cell>
        </row>
        <row r="1272">
          <cell r="A1272" t="str">
            <v>AHW-43292I21</v>
          </cell>
          <cell r="B1272">
            <v>4003317</v>
          </cell>
          <cell r="C1272" t="str">
            <v>Original</v>
          </cell>
          <cell r="D1272" t="str">
            <v>CTS</v>
          </cell>
          <cell r="E1272" t="str">
            <v>TSA</v>
          </cell>
          <cell r="F1272">
            <v>44411</v>
          </cell>
          <cell r="G1272">
            <v>44419</v>
          </cell>
          <cell r="H1272">
            <v>44421</v>
          </cell>
          <cell r="I1272" t="str">
            <v>06.08.2021</v>
          </cell>
          <cell r="J1272" t="str">
            <v>19.08.2021</v>
          </cell>
          <cell r="K1272" t="str">
            <v>-</v>
          </cell>
          <cell r="L1272" t="str">
            <v>OK</v>
          </cell>
        </row>
        <row r="1273">
          <cell r="A1273" t="str">
            <v>AHW-43294I21</v>
          </cell>
          <cell r="B1273">
            <v>4002174</v>
          </cell>
          <cell r="C1273" t="str">
            <v>Original</v>
          </cell>
          <cell r="D1273" t="str">
            <v>CTS</v>
          </cell>
          <cell r="E1273" t="str">
            <v>TSA</v>
          </cell>
          <cell r="F1273">
            <v>44411</v>
          </cell>
          <cell r="G1273">
            <v>44419</v>
          </cell>
          <cell r="H1273">
            <v>44421</v>
          </cell>
          <cell r="I1273" t="str">
            <v>09.08.2021</v>
          </cell>
          <cell r="J1273" t="str">
            <v>19.08.2021</v>
          </cell>
          <cell r="K1273" t="str">
            <v>-</v>
          </cell>
          <cell r="L1273" t="str">
            <v>OK</v>
          </cell>
        </row>
        <row r="1274">
          <cell r="A1274" t="str">
            <v>AHW-43295I21</v>
          </cell>
          <cell r="B1274">
            <v>4003326</v>
          </cell>
          <cell r="C1274" t="str">
            <v>Original</v>
          </cell>
          <cell r="D1274" t="str">
            <v>CTS</v>
          </cell>
          <cell r="E1274" t="str">
            <v>TSA</v>
          </cell>
          <cell r="F1274">
            <v>44411</v>
          </cell>
          <cell r="G1274">
            <v>44419</v>
          </cell>
          <cell r="H1274">
            <v>44421</v>
          </cell>
          <cell r="I1274" t="str">
            <v>09.08.2021</v>
          </cell>
          <cell r="J1274" t="str">
            <v>19.08.2021</v>
          </cell>
          <cell r="K1274" t="str">
            <v>-</v>
          </cell>
          <cell r="L1274" t="str">
            <v>OK</v>
          </cell>
        </row>
        <row r="1275">
          <cell r="A1275" t="str">
            <v>AHW-43300I21</v>
          </cell>
          <cell r="B1275">
            <v>4003333</v>
          </cell>
          <cell r="C1275" t="str">
            <v>Original</v>
          </cell>
          <cell r="D1275" t="str">
            <v>CTS</v>
          </cell>
          <cell r="E1275" t="str">
            <v>TSA</v>
          </cell>
          <cell r="F1275">
            <v>44411</v>
          </cell>
          <cell r="G1275">
            <v>44419</v>
          </cell>
          <cell r="H1275">
            <v>44421</v>
          </cell>
          <cell r="I1275" t="str">
            <v>09.08.2021</v>
          </cell>
          <cell r="J1275" t="str">
            <v>19.08.2021</v>
          </cell>
          <cell r="K1275" t="str">
            <v>-</v>
          </cell>
          <cell r="L1275" t="str">
            <v>OK</v>
          </cell>
        </row>
        <row r="1276">
          <cell r="A1276" t="str">
            <v>AHW-43325I21</v>
          </cell>
          <cell r="B1276">
            <v>4003341</v>
          </cell>
          <cell r="C1276" t="str">
            <v>Original</v>
          </cell>
          <cell r="D1276" t="str">
            <v>CTS</v>
          </cell>
          <cell r="E1276" t="str">
            <v>TSA</v>
          </cell>
          <cell r="F1276">
            <v>44411</v>
          </cell>
          <cell r="G1276">
            <v>44419</v>
          </cell>
          <cell r="H1276">
            <v>44421</v>
          </cell>
          <cell r="I1276" t="str">
            <v>09.08.2021</v>
          </cell>
          <cell r="J1276" t="str">
            <v>19.08.2021</v>
          </cell>
          <cell r="K1276" t="str">
            <v>-</v>
          </cell>
          <cell r="L1276" t="str">
            <v>OK</v>
          </cell>
        </row>
        <row r="1277">
          <cell r="A1277" t="str">
            <v>AHW-43333I21</v>
          </cell>
          <cell r="B1277">
            <v>4003076</v>
          </cell>
          <cell r="C1277" t="str">
            <v>Original</v>
          </cell>
          <cell r="D1277" t="str">
            <v>CTS</v>
          </cell>
          <cell r="E1277" t="str">
            <v>TSA</v>
          </cell>
          <cell r="F1277">
            <v>44411</v>
          </cell>
          <cell r="G1277">
            <v>44419</v>
          </cell>
          <cell r="H1277">
            <v>44421</v>
          </cell>
          <cell r="I1277" t="str">
            <v>09.08.2021</v>
          </cell>
          <cell r="J1277" t="str">
            <v>19.08.2021</v>
          </cell>
          <cell r="K1277" t="str">
            <v>-</v>
          </cell>
          <cell r="L1277" t="str">
            <v>OK</v>
          </cell>
        </row>
        <row r="1278">
          <cell r="A1278" t="str">
            <v>SHW-42654I21</v>
          </cell>
          <cell r="B1278" t="str">
            <v>EGLV149106890076</v>
          </cell>
          <cell r="C1278" t="str">
            <v>Original</v>
          </cell>
          <cell r="D1278" t="str">
            <v>CEVA</v>
          </cell>
          <cell r="E1278" t="str">
            <v>Unitrading</v>
          </cell>
          <cell r="F1278">
            <v>44407</v>
          </cell>
          <cell r="G1278">
            <v>44415</v>
          </cell>
          <cell r="H1278">
            <v>44417</v>
          </cell>
          <cell r="I1278" t="str">
            <v>04.08.2021</v>
          </cell>
          <cell r="J1278" t="str">
            <v>03.08.2021</v>
          </cell>
          <cell r="K1278" t="str">
            <v>-</v>
          </cell>
          <cell r="L1278" t="str">
            <v>OK</v>
          </cell>
        </row>
        <row r="1279">
          <cell r="A1279" t="str">
            <v>AHW-43377I21</v>
          </cell>
          <cell r="B1279">
            <v>4003369</v>
          </cell>
          <cell r="C1279" t="str">
            <v>Original</v>
          </cell>
          <cell r="D1279" t="str">
            <v>CTS</v>
          </cell>
          <cell r="E1279" t="str">
            <v>TSA</v>
          </cell>
          <cell r="F1279">
            <v>44414</v>
          </cell>
          <cell r="G1279">
            <v>44422</v>
          </cell>
          <cell r="H1279">
            <v>44424</v>
          </cell>
          <cell r="I1279" t="str">
            <v>11.08.2021</v>
          </cell>
          <cell r="J1279" t="str">
            <v>19.08.2021</v>
          </cell>
          <cell r="K1279" t="str">
            <v>-</v>
          </cell>
          <cell r="L1279" t="str">
            <v>OK</v>
          </cell>
        </row>
        <row r="1280">
          <cell r="A1280" t="str">
            <v>AHW-43567I21</v>
          </cell>
          <cell r="B1280">
            <v>4003399</v>
          </cell>
          <cell r="C1280" t="str">
            <v>Original</v>
          </cell>
          <cell r="D1280" t="str">
            <v>CTS</v>
          </cell>
          <cell r="E1280" t="str">
            <v>TSA</v>
          </cell>
          <cell r="F1280">
            <v>44417</v>
          </cell>
          <cell r="G1280">
            <v>44425</v>
          </cell>
          <cell r="H1280">
            <v>44427</v>
          </cell>
          <cell r="I1280" t="str">
            <v>11.08.2021</v>
          </cell>
          <cell r="J1280" t="str">
            <v>25.08.2021</v>
          </cell>
          <cell r="K1280" t="str">
            <v>-</v>
          </cell>
          <cell r="L1280" t="str">
            <v>OK</v>
          </cell>
        </row>
        <row r="1281">
          <cell r="A1281" t="str">
            <v>AHW-43569I21</v>
          </cell>
          <cell r="B1281">
            <v>4003420</v>
          </cell>
          <cell r="C1281" t="str">
            <v>Original</v>
          </cell>
          <cell r="D1281" t="str">
            <v>CTS</v>
          </cell>
          <cell r="E1281" t="str">
            <v>TSA</v>
          </cell>
          <cell r="F1281">
            <v>44417</v>
          </cell>
          <cell r="G1281">
            <v>44425</v>
          </cell>
          <cell r="H1281">
            <v>44427</v>
          </cell>
          <cell r="I1281" t="str">
            <v>11.08.2021</v>
          </cell>
          <cell r="J1281" t="str">
            <v>25.08.2021</v>
          </cell>
          <cell r="K1281" t="str">
            <v>-</v>
          </cell>
          <cell r="L1281" t="str">
            <v>OK</v>
          </cell>
        </row>
        <row r="1282">
          <cell r="A1282" t="str">
            <v>AHW-43570I21</v>
          </cell>
          <cell r="B1282">
            <v>4003400</v>
          </cell>
          <cell r="C1282" t="str">
            <v>Original</v>
          </cell>
          <cell r="D1282" t="str">
            <v>CTS</v>
          </cell>
          <cell r="E1282" t="str">
            <v>TSA</v>
          </cell>
          <cell r="F1282">
            <v>44417</v>
          </cell>
          <cell r="G1282">
            <v>44425</v>
          </cell>
          <cell r="H1282">
            <v>44427</v>
          </cell>
          <cell r="I1282" t="str">
            <v>11.08.2021</v>
          </cell>
          <cell r="J1282" t="str">
            <v>25.08.2021</v>
          </cell>
          <cell r="K1282" t="str">
            <v>-</v>
          </cell>
          <cell r="L1282" t="str">
            <v>OK</v>
          </cell>
        </row>
        <row r="1283">
          <cell r="A1283" t="str">
            <v>AHW-43627I21</v>
          </cell>
          <cell r="B1283">
            <v>4003452</v>
          </cell>
          <cell r="C1283" t="str">
            <v>Original</v>
          </cell>
          <cell r="D1283" t="str">
            <v>CTS</v>
          </cell>
          <cell r="E1283" t="str">
            <v>TSA</v>
          </cell>
          <cell r="F1283">
            <v>44417</v>
          </cell>
          <cell r="G1283">
            <v>44425</v>
          </cell>
          <cell r="H1283">
            <v>44427</v>
          </cell>
          <cell r="I1283" t="str">
            <v>11.08.2021</v>
          </cell>
          <cell r="J1283" t="str">
            <v>25.08.2021</v>
          </cell>
          <cell r="K1283" t="str">
            <v>-</v>
          </cell>
          <cell r="L1283" t="str">
            <v>OK</v>
          </cell>
        </row>
        <row r="1284">
          <cell r="A1284" t="str">
            <v>SHW-42794I21</v>
          </cell>
          <cell r="B1284">
            <v>211567662</v>
          </cell>
          <cell r="C1284" t="str">
            <v>Original</v>
          </cell>
          <cell r="D1284" t="str">
            <v>CEVA</v>
          </cell>
          <cell r="E1284" t="str">
            <v>Unitrading</v>
          </cell>
          <cell r="F1284">
            <v>44412</v>
          </cell>
          <cell r="G1284">
            <v>44420</v>
          </cell>
          <cell r="H1284">
            <v>44422</v>
          </cell>
          <cell r="I1284" t="str">
            <v>05.08.2021</v>
          </cell>
          <cell r="J1284" t="str">
            <v>19.08.2021</v>
          </cell>
          <cell r="K1284" t="str">
            <v>-</v>
          </cell>
          <cell r="L1284" t="str">
            <v>OK</v>
          </cell>
        </row>
        <row r="1285">
          <cell r="A1285" t="str">
            <v>AHW-43568I21</v>
          </cell>
          <cell r="B1285">
            <v>80585488</v>
          </cell>
          <cell r="C1285" t="str">
            <v>Original</v>
          </cell>
          <cell r="D1285" t="str">
            <v>CEVA</v>
          </cell>
          <cell r="E1285" t="str">
            <v>Rodoimport</v>
          </cell>
          <cell r="F1285">
            <v>44424</v>
          </cell>
          <cell r="G1285">
            <v>44432</v>
          </cell>
          <cell r="H1285">
            <v>44434</v>
          </cell>
          <cell r="I1285" t="str">
            <v>19.08.2021</v>
          </cell>
          <cell r="J1285" t="str">
            <v>27.08.2021</v>
          </cell>
          <cell r="K1285" t="str">
            <v>-</v>
          </cell>
          <cell r="L1285" t="str">
            <v>OK</v>
          </cell>
        </row>
        <row r="1286">
          <cell r="A1286" t="str">
            <v>AHW-43628I21</v>
          </cell>
          <cell r="B1286">
            <v>4003458</v>
          </cell>
          <cell r="C1286" t="str">
            <v>Original</v>
          </cell>
          <cell r="D1286" t="str">
            <v>CTS</v>
          </cell>
          <cell r="E1286" t="str">
            <v>TSA</v>
          </cell>
          <cell r="F1286">
            <v>44424</v>
          </cell>
          <cell r="G1286">
            <v>44432</v>
          </cell>
          <cell r="H1286">
            <v>44434</v>
          </cell>
          <cell r="I1286" t="str">
            <v>19.08.2021</v>
          </cell>
          <cell r="J1286" t="str">
            <v>27.08.2021</v>
          </cell>
          <cell r="K1286" t="str">
            <v>-</v>
          </cell>
          <cell r="L1286" t="str">
            <v>OK</v>
          </cell>
        </row>
        <row r="1287">
          <cell r="A1287" t="str">
            <v>SHW-42965I21</v>
          </cell>
          <cell r="B1287" t="str">
            <v>EGLV149106442987</v>
          </cell>
          <cell r="C1287" t="str">
            <v>Original</v>
          </cell>
          <cell r="D1287" t="str">
            <v>CEVA</v>
          </cell>
          <cell r="E1287" t="str">
            <v>Unitrading</v>
          </cell>
          <cell r="F1287">
            <v>44421</v>
          </cell>
          <cell r="G1287">
            <v>44429</v>
          </cell>
          <cell r="H1287">
            <v>44431</v>
          </cell>
          <cell r="I1287" t="str">
            <v>17.08.2021</v>
          </cell>
          <cell r="J1287" t="str">
            <v>13.08.2021</v>
          </cell>
          <cell r="K1287" t="str">
            <v>-</v>
          </cell>
          <cell r="L1287" t="str">
            <v>OK</v>
          </cell>
        </row>
        <row r="1288">
          <cell r="A1288" t="str">
            <v>AHW-43566I21</v>
          </cell>
          <cell r="B1288">
            <v>80585489</v>
          </cell>
          <cell r="C1288" t="str">
            <v>Original</v>
          </cell>
          <cell r="D1288" t="str">
            <v>CEVA</v>
          </cell>
          <cell r="E1288" t="str">
            <v>Unitrading</v>
          </cell>
          <cell r="F1288">
            <v>44428</v>
          </cell>
          <cell r="G1288">
            <v>44436</v>
          </cell>
          <cell r="H1288">
            <v>44438</v>
          </cell>
          <cell r="I1288" t="str">
            <v>10.09.2021</v>
          </cell>
          <cell r="J1288" t="str">
            <v>27.08.2021</v>
          </cell>
          <cell r="K1288" t="str">
            <v>-</v>
          </cell>
          <cell r="L1288" t="str">
            <v>OK</v>
          </cell>
        </row>
        <row r="1289">
          <cell r="A1289" t="str">
            <v>AHW-43630I21</v>
          </cell>
          <cell r="B1289">
            <v>80585579</v>
          </cell>
          <cell r="C1289" t="str">
            <v>Original</v>
          </cell>
          <cell r="D1289" t="str">
            <v>CEVA</v>
          </cell>
          <cell r="E1289" t="str">
            <v>Unitrading</v>
          </cell>
          <cell r="F1289">
            <v>44428</v>
          </cell>
          <cell r="G1289">
            <v>44436</v>
          </cell>
          <cell r="H1289">
            <v>44438</v>
          </cell>
          <cell r="I1289" t="str">
            <v>24.08.2021</v>
          </cell>
          <cell r="J1289" t="str">
            <v>27.08.2021</v>
          </cell>
          <cell r="K1289" t="str">
            <v>-</v>
          </cell>
          <cell r="L1289" t="str">
            <v>OK</v>
          </cell>
        </row>
        <row r="1290">
          <cell r="A1290" t="str">
            <v>AHW-43806I21</v>
          </cell>
          <cell r="B1290">
            <v>4003558</v>
          </cell>
          <cell r="C1290" t="str">
            <v>Original</v>
          </cell>
          <cell r="D1290" t="str">
            <v>CTS</v>
          </cell>
          <cell r="E1290" t="str">
            <v>TSA</v>
          </cell>
          <cell r="F1290">
            <v>44431</v>
          </cell>
          <cell r="G1290">
            <v>44439</v>
          </cell>
          <cell r="H1290">
            <v>44441</v>
          </cell>
          <cell r="I1290" t="str">
            <v>26.08.2020</v>
          </cell>
          <cell r="J1290" t="str">
            <v>09.09.2021</v>
          </cell>
          <cell r="K1290" t="str">
            <v>-</v>
          </cell>
          <cell r="L1290" t="str">
            <v>OK</v>
          </cell>
        </row>
        <row r="1291">
          <cell r="A1291" t="str">
            <v>AHW-43631I21</v>
          </cell>
          <cell r="B1291">
            <v>4003444</v>
          </cell>
          <cell r="C1291" t="str">
            <v>Original</v>
          </cell>
          <cell r="D1291" t="str">
            <v>CTS</v>
          </cell>
          <cell r="E1291" t="str">
            <v>TSA</v>
          </cell>
          <cell r="F1291">
            <v>44428</v>
          </cell>
          <cell r="G1291">
            <v>44436</v>
          </cell>
          <cell r="H1291">
            <v>44438</v>
          </cell>
          <cell r="I1291" t="str">
            <v>26.08.2021</v>
          </cell>
          <cell r="J1291" t="str">
            <v>27.08.2021</v>
          </cell>
          <cell r="K1291" t="str">
            <v>-</v>
          </cell>
          <cell r="L1291" t="str">
            <v>OK</v>
          </cell>
        </row>
        <row r="1292">
          <cell r="A1292" t="str">
            <v>AHW-43652I21</v>
          </cell>
          <cell r="B1292">
            <v>4003484</v>
          </cell>
          <cell r="C1292" t="str">
            <v>Original</v>
          </cell>
          <cell r="D1292" t="str">
            <v>CTS</v>
          </cell>
          <cell r="E1292" t="str">
            <v>TSA</v>
          </cell>
          <cell r="F1292">
            <v>44428</v>
          </cell>
          <cell r="G1292">
            <v>44436</v>
          </cell>
          <cell r="H1292">
            <v>44438</v>
          </cell>
          <cell r="I1292" t="str">
            <v>26.08.2021</v>
          </cell>
          <cell r="J1292" t="str">
            <v>27.08.2021</v>
          </cell>
          <cell r="K1292" t="str">
            <v>-</v>
          </cell>
          <cell r="L1292" t="str">
            <v>OK</v>
          </cell>
        </row>
        <row r="1293">
          <cell r="A1293" t="str">
            <v>AHW-43715I21</v>
          </cell>
          <cell r="B1293">
            <v>80585604</v>
          </cell>
          <cell r="C1293" t="str">
            <v>Original</v>
          </cell>
          <cell r="D1293" t="str">
            <v>CEVA</v>
          </cell>
          <cell r="E1293" t="str">
            <v>Rodoimport</v>
          </cell>
          <cell r="F1293">
            <v>44432</v>
          </cell>
          <cell r="G1293">
            <v>44440</v>
          </cell>
          <cell r="H1293">
            <v>44442</v>
          </cell>
          <cell r="I1293" t="str">
            <v>03.09.2021</v>
          </cell>
          <cell r="J1293" t="str">
            <v>09.09.2021</v>
          </cell>
          <cell r="K1293" t="str">
            <v>-</v>
          </cell>
          <cell r="L1293" t="str">
            <v>OK</v>
          </cell>
        </row>
        <row r="1294">
          <cell r="A1294" t="str">
            <v>AHW-43738I21</v>
          </cell>
          <cell r="B1294">
            <v>80585645</v>
          </cell>
          <cell r="C1294" t="str">
            <v>Original</v>
          </cell>
          <cell r="D1294" t="str">
            <v>CEVA</v>
          </cell>
          <cell r="E1294" t="str">
            <v>Rodoimport</v>
          </cell>
          <cell r="F1294">
            <v>44432</v>
          </cell>
          <cell r="G1294">
            <v>44440</v>
          </cell>
          <cell r="H1294">
            <v>44442</v>
          </cell>
          <cell r="I1294" t="str">
            <v>03.09.2021</v>
          </cell>
          <cell r="J1294" t="str">
            <v>09.09.2021</v>
          </cell>
          <cell r="K1294" t="str">
            <v>-</v>
          </cell>
          <cell r="L1294" t="str">
            <v>OK</v>
          </cell>
        </row>
        <row r="1295">
          <cell r="A1295" t="str">
            <v>AHW-43629I21</v>
          </cell>
          <cell r="B1295">
            <v>80585536</v>
          </cell>
          <cell r="C1295" t="str">
            <v>Original</v>
          </cell>
          <cell r="D1295" t="str">
            <v>CEVA</v>
          </cell>
          <cell r="E1295" t="str">
            <v>Rodoimport</v>
          </cell>
          <cell r="F1295">
            <v>44432</v>
          </cell>
          <cell r="G1295">
            <v>44440</v>
          </cell>
          <cell r="H1295">
            <v>44442</v>
          </cell>
          <cell r="I1295" t="str">
            <v>03.09.2021</v>
          </cell>
          <cell r="J1295" t="str">
            <v>09.09.2021</v>
          </cell>
          <cell r="K1295" t="str">
            <v>-</v>
          </cell>
          <cell r="L1295" t="str">
            <v>OK</v>
          </cell>
        </row>
        <row r="1296">
          <cell r="A1296" t="str">
            <v>AHW-43571I21</v>
          </cell>
          <cell r="B1296">
            <v>80585548</v>
          </cell>
          <cell r="C1296" t="str">
            <v>Original</v>
          </cell>
          <cell r="D1296" t="str">
            <v>CEVA</v>
          </cell>
          <cell r="E1296" t="str">
            <v>Rodoimport</v>
          </cell>
          <cell r="F1296">
            <v>44432</v>
          </cell>
          <cell r="G1296">
            <v>44440</v>
          </cell>
          <cell r="H1296">
            <v>44442</v>
          </cell>
          <cell r="I1296" t="str">
            <v>03.09.2021</v>
          </cell>
          <cell r="J1296" t="str">
            <v>09.09.2021</v>
          </cell>
          <cell r="K1296" t="str">
            <v>-</v>
          </cell>
          <cell r="L1296" t="str">
            <v>OK</v>
          </cell>
        </row>
        <row r="1297">
          <cell r="A1297" t="str">
            <v>AHW-43915I21</v>
          </cell>
          <cell r="B1297">
            <v>4003621</v>
          </cell>
          <cell r="C1297" t="str">
            <v>Original</v>
          </cell>
          <cell r="D1297" t="str">
            <v>CTS</v>
          </cell>
          <cell r="E1297" t="str">
            <v>TSA</v>
          </cell>
          <cell r="F1297">
            <v>44432</v>
          </cell>
          <cell r="G1297">
            <v>44440</v>
          </cell>
          <cell r="H1297">
            <v>44442</v>
          </cell>
          <cell r="I1297" t="str">
            <v>03.09.2021</v>
          </cell>
          <cell r="J1297" t="str">
            <v>09.09.2021</v>
          </cell>
          <cell r="K1297" t="str">
            <v>-</v>
          </cell>
          <cell r="L1297" t="str">
            <v>OK</v>
          </cell>
        </row>
        <row r="1298">
          <cell r="A1298" t="str">
            <v>AHW-43736I21</v>
          </cell>
          <cell r="B1298">
            <v>4003527</v>
          </cell>
          <cell r="C1298" t="str">
            <v>Original</v>
          </cell>
          <cell r="D1298" t="str">
            <v>CTS</v>
          </cell>
          <cell r="E1298" t="str">
            <v>TSA</v>
          </cell>
          <cell r="F1298">
            <v>44432</v>
          </cell>
          <cell r="G1298">
            <v>44440</v>
          </cell>
          <cell r="H1298">
            <v>44442</v>
          </cell>
          <cell r="I1298" t="str">
            <v>03.09.2021</v>
          </cell>
          <cell r="J1298" t="str">
            <v>09.09.2021</v>
          </cell>
          <cell r="K1298" t="str">
            <v>-</v>
          </cell>
          <cell r="L1298" t="str">
            <v>OK</v>
          </cell>
        </row>
        <row r="1299">
          <cell r="A1299" t="str">
            <v>SHW-41244I21</v>
          </cell>
          <cell r="B1299">
            <v>911940639</v>
          </cell>
          <cell r="C1299" t="str">
            <v>Original</v>
          </cell>
          <cell r="D1299" t="str">
            <v>CEVA</v>
          </cell>
          <cell r="E1299" t="str">
            <v>Unitrading</v>
          </cell>
          <cell r="F1299">
            <v>44320</v>
          </cell>
          <cell r="G1299">
            <v>44328</v>
          </cell>
          <cell r="H1299">
            <v>44330</v>
          </cell>
          <cell r="I1299" t="str">
            <v>10.05.2021</v>
          </cell>
          <cell r="J1299" t="str">
            <v>06.05.2021</v>
          </cell>
          <cell r="K1299" t="str">
            <v>-</v>
          </cell>
          <cell r="L1299" t="str">
            <v>OK</v>
          </cell>
        </row>
        <row r="1300">
          <cell r="A1300" t="str">
            <v>AMS-43961I21</v>
          </cell>
          <cell r="B1300" t="str">
            <v>1Z6469V00448151705</v>
          </cell>
          <cell r="C1300" t="str">
            <v>Brasiliense</v>
          </cell>
          <cell r="D1300" t="str">
            <v>UPS</v>
          </cell>
          <cell r="E1300" t="str">
            <v>Future</v>
          </cell>
          <cell r="F1300">
            <v>44433</v>
          </cell>
          <cell r="G1300">
            <v>44441</v>
          </cell>
          <cell r="H1300">
            <v>44443</v>
          </cell>
          <cell r="I1300" t="str">
            <v>01.09.2021</v>
          </cell>
          <cell r="J1300" t="str">
            <v>09.09.2021</v>
          </cell>
          <cell r="K1300" t="str">
            <v>01.09.2021</v>
          </cell>
          <cell r="L1300" t="str">
            <v>OK</v>
          </cell>
        </row>
        <row r="1301">
          <cell r="A1301" t="str">
            <v>AMS-43962I21</v>
          </cell>
          <cell r="B1301" t="str">
            <v>1Z6469V00448263657</v>
          </cell>
          <cell r="C1301" t="str">
            <v>Brasiliense</v>
          </cell>
          <cell r="D1301" t="str">
            <v>UPS</v>
          </cell>
          <cell r="E1301" t="str">
            <v>Future</v>
          </cell>
          <cell r="F1301">
            <v>44433</v>
          </cell>
          <cell r="G1301">
            <v>44441</v>
          </cell>
          <cell r="H1301">
            <v>44443</v>
          </cell>
          <cell r="I1301" t="str">
            <v>01.09.2021</v>
          </cell>
          <cell r="J1301" t="str">
            <v>09.09.2021</v>
          </cell>
          <cell r="K1301" t="str">
            <v>01.09.2021</v>
          </cell>
          <cell r="L1301" t="str">
            <v>OK</v>
          </cell>
        </row>
        <row r="1302">
          <cell r="A1302" t="str">
            <v>AMS-43963I21</v>
          </cell>
          <cell r="B1302" t="str">
            <v>1Z6469V00448575669</v>
          </cell>
          <cell r="C1302" t="str">
            <v>Brasiliense</v>
          </cell>
          <cell r="D1302" t="str">
            <v>UPS</v>
          </cell>
          <cell r="E1302" t="str">
            <v>Future</v>
          </cell>
          <cell r="F1302">
            <v>44433</v>
          </cell>
          <cell r="G1302">
            <v>44441</v>
          </cell>
          <cell r="H1302">
            <v>44443</v>
          </cell>
          <cell r="I1302" t="str">
            <v>01.09.2021</v>
          </cell>
          <cell r="J1302" t="str">
            <v>09.09.2021</v>
          </cell>
          <cell r="K1302" t="str">
            <v>01.09.2021</v>
          </cell>
          <cell r="L1302" t="str">
            <v>OK</v>
          </cell>
        </row>
        <row r="1303">
          <cell r="A1303" t="str">
            <v>AMS-43967I21</v>
          </cell>
          <cell r="B1303" t="str">
            <v>1Z6469V00447562693</v>
          </cell>
          <cell r="C1303" t="str">
            <v>Brasiliense</v>
          </cell>
          <cell r="D1303" t="str">
            <v>UPS</v>
          </cell>
          <cell r="E1303" t="str">
            <v>Future</v>
          </cell>
          <cell r="F1303">
            <v>44438</v>
          </cell>
          <cell r="G1303">
            <v>44446</v>
          </cell>
          <cell r="H1303">
            <v>44448</v>
          </cell>
          <cell r="I1303" t="str">
            <v>01.09.2021</v>
          </cell>
          <cell r="J1303" t="str">
            <v>09.09.2021</v>
          </cell>
          <cell r="K1303" t="str">
            <v>08.09.2021</v>
          </cell>
          <cell r="L1303" t="str">
            <v>OK</v>
          </cell>
        </row>
        <row r="1304">
          <cell r="A1304" t="str">
            <v>AMS-43968I21</v>
          </cell>
          <cell r="B1304" t="str">
            <v>1Z6469V00446671111</v>
          </cell>
          <cell r="C1304" t="str">
            <v>Brasiliense</v>
          </cell>
          <cell r="D1304" t="str">
            <v>UPS</v>
          </cell>
          <cell r="E1304" t="str">
            <v>Future</v>
          </cell>
          <cell r="F1304">
            <v>44438</v>
          </cell>
          <cell r="G1304">
            <v>44446</v>
          </cell>
          <cell r="H1304">
            <v>44448</v>
          </cell>
          <cell r="I1304" t="str">
            <v>01.09.2021</v>
          </cell>
          <cell r="J1304" t="str">
            <v>09.09.2021</v>
          </cell>
          <cell r="K1304" t="str">
            <v>08.09.2021</v>
          </cell>
          <cell r="L1304" t="str">
            <v>OK</v>
          </cell>
        </row>
        <row r="1305">
          <cell r="A1305" t="str">
            <v>AMS-43969I21</v>
          </cell>
          <cell r="B1305" t="str">
            <v>1Z6469V00447011886</v>
          </cell>
          <cell r="C1305" t="str">
            <v>Brasiliense</v>
          </cell>
          <cell r="D1305" t="str">
            <v>UPS</v>
          </cell>
          <cell r="E1305" t="str">
            <v>Future</v>
          </cell>
          <cell r="F1305">
            <v>44438</v>
          </cell>
          <cell r="G1305">
            <v>44446</v>
          </cell>
          <cell r="H1305">
            <v>44448</v>
          </cell>
          <cell r="I1305" t="str">
            <v>01.09.2021</v>
          </cell>
          <cell r="J1305" t="str">
            <v>09.09.2021</v>
          </cell>
          <cell r="K1305" t="str">
            <v>08.09.2021</v>
          </cell>
          <cell r="L1305" t="str">
            <v>OK</v>
          </cell>
        </row>
        <row r="1306">
          <cell r="A1306" t="str">
            <v>AMS-43970I21</v>
          </cell>
          <cell r="B1306" t="str">
            <v>1Z6469V00447868676</v>
          </cell>
          <cell r="C1306" t="str">
            <v>Brasiliense</v>
          </cell>
          <cell r="D1306" t="str">
            <v>UPS</v>
          </cell>
          <cell r="E1306" t="str">
            <v>Future</v>
          </cell>
          <cell r="F1306">
            <v>44438</v>
          </cell>
          <cell r="G1306">
            <v>44446</v>
          </cell>
          <cell r="H1306">
            <v>44448</v>
          </cell>
          <cell r="I1306" t="str">
            <v>01.09.2021</v>
          </cell>
          <cell r="J1306" t="str">
            <v>09.09.2021</v>
          </cell>
          <cell r="K1306" t="str">
            <v>08.09.2021</v>
          </cell>
          <cell r="L1306" t="str">
            <v>OK</v>
          </cell>
        </row>
        <row r="1307">
          <cell r="A1307" t="str">
            <v>AMS-43971I21</v>
          </cell>
          <cell r="B1307" t="str">
            <v>1Z6469V00447037064</v>
          </cell>
          <cell r="C1307" t="str">
            <v>Brasiliense</v>
          </cell>
          <cell r="D1307" t="str">
            <v>UPS</v>
          </cell>
          <cell r="E1307" t="str">
            <v>Future</v>
          </cell>
          <cell r="F1307">
            <v>44438</v>
          </cell>
          <cell r="G1307">
            <v>44446</v>
          </cell>
          <cell r="H1307">
            <v>44448</v>
          </cell>
          <cell r="I1307" t="str">
            <v>01.09.2021</v>
          </cell>
          <cell r="J1307" t="str">
            <v>09.09.2021</v>
          </cell>
          <cell r="K1307" t="str">
            <v>08.09.2021</v>
          </cell>
          <cell r="L1307" t="str">
            <v>OK</v>
          </cell>
        </row>
        <row r="1308">
          <cell r="A1308" t="str">
            <v>AMS-43972I21</v>
          </cell>
          <cell r="B1308" t="str">
            <v>1Z6469V00446377109</v>
          </cell>
          <cell r="C1308" t="str">
            <v>Brasiliense</v>
          </cell>
          <cell r="D1308" t="str">
            <v>UPS</v>
          </cell>
          <cell r="E1308" t="str">
            <v>Future</v>
          </cell>
          <cell r="F1308">
            <v>44438</v>
          </cell>
          <cell r="G1308">
            <v>44446</v>
          </cell>
          <cell r="H1308">
            <v>44448</v>
          </cell>
          <cell r="I1308" t="str">
            <v>01.09.2021</v>
          </cell>
          <cell r="J1308" t="str">
            <v>09.09.2021</v>
          </cell>
          <cell r="K1308" t="str">
            <v>08.09.2021</v>
          </cell>
          <cell r="L1308" t="str">
            <v>OK</v>
          </cell>
        </row>
        <row r="1309">
          <cell r="A1309" t="str">
            <v>AMS-43973I21</v>
          </cell>
          <cell r="B1309" t="str">
            <v>1Z6469V00446620729</v>
          </cell>
          <cell r="C1309" t="str">
            <v>Brasiliense</v>
          </cell>
          <cell r="D1309" t="str">
            <v>UPS</v>
          </cell>
          <cell r="E1309" t="str">
            <v>Future</v>
          </cell>
          <cell r="F1309">
            <v>44438</v>
          </cell>
          <cell r="G1309">
            <v>44446</v>
          </cell>
          <cell r="H1309">
            <v>44448</v>
          </cell>
          <cell r="I1309" t="str">
            <v>01.09.2021</v>
          </cell>
          <cell r="J1309" t="str">
            <v>09.09.2021</v>
          </cell>
          <cell r="K1309" t="str">
            <v>08.09.2021</v>
          </cell>
          <cell r="L1309" t="str">
            <v>OK</v>
          </cell>
        </row>
        <row r="1310">
          <cell r="A1310" t="str">
            <v>AMS-44090I21</v>
          </cell>
          <cell r="B1310" t="str">
            <v>1Z6469V00448801959</v>
          </cell>
          <cell r="C1310" t="str">
            <v>Brasiliense</v>
          </cell>
          <cell r="D1310" t="str">
            <v>UPS</v>
          </cell>
          <cell r="E1310" t="str">
            <v>Future</v>
          </cell>
          <cell r="F1310">
            <v>44439</v>
          </cell>
          <cell r="G1310">
            <v>44447</v>
          </cell>
          <cell r="H1310">
            <v>44449</v>
          </cell>
          <cell r="I1310" t="str">
            <v>08.09.2021</v>
          </cell>
          <cell r="J1310" t="str">
            <v>09.09.2021</v>
          </cell>
          <cell r="K1310" t="str">
            <v>08.09.2021</v>
          </cell>
          <cell r="L1310" t="str">
            <v>OK</v>
          </cell>
        </row>
        <row r="1311">
          <cell r="A1311" t="str">
            <v>AMS-44091I21</v>
          </cell>
          <cell r="B1311" t="str">
            <v>1Z6469V00448718086</v>
          </cell>
          <cell r="C1311" t="str">
            <v>Brasiliense</v>
          </cell>
          <cell r="D1311" t="str">
            <v>UPS</v>
          </cell>
          <cell r="E1311" t="str">
            <v>Future</v>
          </cell>
          <cell r="F1311">
            <v>44439</v>
          </cell>
          <cell r="G1311">
            <v>44447</v>
          </cell>
          <cell r="H1311">
            <v>44449</v>
          </cell>
          <cell r="I1311" t="str">
            <v>08.09.2021</v>
          </cell>
          <cell r="J1311" t="str">
            <v>09.09.2021</v>
          </cell>
          <cell r="K1311" t="str">
            <v>08.09.2021</v>
          </cell>
          <cell r="L1311" t="str">
            <v>OK</v>
          </cell>
        </row>
        <row r="1312">
          <cell r="A1312" t="str">
            <v>AMS-43955I21</v>
          </cell>
          <cell r="B1312" t="str">
            <v>1Z6469V00446410563
1Z6469V00448245337</v>
          </cell>
          <cell r="C1312" t="str">
            <v>Brasiliense</v>
          </cell>
          <cell r="D1312" t="str">
            <v>UPS</v>
          </cell>
          <cell r="E1312" t="str">
            <v>Future</v>
          </cell>
          <cell r="F1312">
            <v>44433</v>
          </cell>
          <cell r="G1312">
            <v>44441</v>
          </cell>
          <cell r="H1312">
            <v>44443</v>
          </cell>
          <cell r="I1312" t="str">
            <v>01.09.2021</v>
          </cell>
          <cell r="J1312" t="str">
            <v>09.09.2021</v>
          </cell>
          <cell r="K1312" t="str">
            <v>01.09.2021</v>
          </cell>
          <cell r="L1312" t="str">
            <v>OK</v>
          </cell>
        </row>
        <row r="1313">
          <cell r="A1313" t="str">
            <v>SHW-43236I21</v>
          </cell>
          <cell r="B1313" t="str">
            <v>EGLV149109297554</v>
          </cell>
          <cell r="C1313" t="str">
            <v>Original</v>
          </cell>
          <cell r="D1313" t="str">
            <v>CEVA</v>
          </cell>
          <cell r="E1313" t="str">
            <v>Unitrading</v>
          </cell>
          <cell r="F1313">
            <v>44433</v>
          </cell>
          <cell r="G1313">
            <v>44441</v>
          </cell>
          <cell r="H1313">
            <v>44443</v>
          </cell>
          <cell r="I1313" t="str">
            <v>03.09.2021</v>
          </cell>
          <cell r="J1313" t="str">
            <v>26.08.2021</v>
          </cell>
          <cell r="K1313" t="str">
            <v>-</v>
          </cell>
          <cell r="L1313" t="str">
            <v>OK</v>
          </cell>
        </row>
        <row r="1314">
          <cell r="A1314" t="str">
            <v>SHW-43110I21</v>
          </cell>
          <cell r="B1314" t="str">
            <v>EGLV149106036237</v>
          </cell>
          <cell r="C1314" t="str">
            <v>Original</v>
          </cell>
          <cell r="D1314" t="str">
            <v>CEVA</v>
          </cell>
          <cell r="E1314" t="str">
            <v>Unitrading</v>
          </cell>
          <cell r="F1314">
            <v>44440</v>
          </cell>
          <cell r="G1314">
            <v>44448</v>
          </cell>
          <cell r="H1314">
            <v>44450</v>
          </cell>
          <cell r="I1314" t="str">
            <v>03.09.2021</v>
          </cell>
          <cell r="J1314" t="str">
            <v>01.09.2021</v>
          </cell>
          <cell r="K1314" t="str">
            <v>-</v>
          </cell>
          <cell r="L1314" t="str">
            <v>OK</v>
          </cell>
        </row>
        <row r="1315">
          <cell r="A1315" t="str">
            <v>SHW-43369I21</v>
          </cell>
          <cell r="B1315" t="str">
            <v>EGLV149109398172</v>
          </cell>
          <cell r="C1315" t="str">
            <v>Original</v>
          </cell>
          <cell r="D1315" t="str">
            <v>CEVA</v>
          </cell>
          <cell r="E1315" t="str">
            <v>Unitrading</v>
          </cell>
          <cell r="F1315">
            <v>44440</v>
          </cell>
          <cell r="G1315">
            <v>44448</v>
          </cell>
          <cell r="H1315">
            <v>44450</v>
          </cell>
          <cell r="I1315" t="str">
            <v>03.09.2021</v>
          </cell>
          <cell r="J1315" t="str">
            <v>01.09.2021</v>
          </cell>
          <cell r="K1315" t="str">
            <v>-</v>
          </cell>
          <cell r="L1315" t="str">
            <v>OK</v>
          </cell>
        </row>
        <row r="1316">
          <cell r="A1316" t="str">
            <v>SHW-43133I21</v>
          </cell>
          <cell r="B1316" t="str">
            <v>EGLV149108391671</v>
          </cell>
          <cell r="C1316" t="str">
            <v>Original</v>
          </cell>
          <cell r="D1316" t="str">
            <v>CEVA</v>
          </cell>
          <cell r="E1316" t="str">
            <v>Unitrading</v>
          </cell>
          <cell r="F1316">
            <v>44442</v>
          </cell>
          <cell r="G1316">
            <v>44450</v>
          </cell>
          <cell r="H1316">
            <v>44452</v>
          </cell>
          <cell r="I1316" t="str">
            <v>08.09.2021</v>
          </cell>
          <cell r="J1316" t="str">
            <v>03.09.2021</v>
          </cell>
          <cell r="K1316" t="str">
            <v>-</v>
          </cell>
          <cell r="L1316" t="str">
            <v>OK</v>
          </cell>
        </row>
        <row r="1317">
          <cell r="A1317" t="str">
            <v>SHW-43378I21</v>
          </cell>
          <cell r="B1317">
            <v>912695890</v>
          </cell>
          <cell r="C1317" t="str">
            <v>Original</v>
          </cell>
          <cell r="D1317" t="str">
            <v>CEVA</v>
          </cell>
          <cell r="E1317" t="str">
            <v>Unitrading</v>
          </cell>
          <cell r="F1317">
            <v>44442</v>
          </cell>
          <cell r="G1317">
            <v>44450</v>
          </cell>
          <cell r="H1317">
            <v>44452</v>
          </cell>
          <cell r="I1317" t="str">
            <v>08.09.2021</v>
          </cell>
          <cell r="J1317" t="str">
            <v>08.09.2021</v>
          </cell>
          <cell r="K1317" t="str">
            <v>-</v>
          </cell>
          <cell r="L1317" t="str">
            <v>OK</v>
          </cell>
        </row>
        <row r="1318">
          <cell r="A1318" t="str">
            <v>AHW-43913I21</v>
          </cell>
          <cell r="B1318">
            <v>4003626</v>
          </cell>
          <cell r="C1318" t="str">
            <v>Original</v>
          </cell>
          <cell r="D1318" t="str">
            <v>CTS</v>
          </cell>
          <cell r="E1318" t="str">
            <v>TSA</v>
          </cell>
          <cell r="F1318">
            <v>44432</v>
          </cell>
          <cell r="G1318">
            <v>44440</v>
          </cell>
          <cell r="H1318">
            <v>44442</v>
          </cell>
          <cell r="I1318" t="str">
            <v>03.09.2021</v>
          </cell>
          <cell r="J1318" t="str">
            <v>09.09.2021</v>
          </cell>
          <cell r="K1318" t="str">
            <v>-</v>
          </cell>
          <cell r="L1318" t="str">
            <v>OK</v>
          </cell>
        </row>
        <row r="1319">
          <cell r="A1319" t="str">
            <v>AHW-43912I21</v>
          </cell>
          <cell r="B1319">
            <v>80585707</v>
          </cell>
          <cell r="C1319" t="str">
            <v>Original</v>
          </cell>
          <cell r="D1319" t="str">
            <v>CEVA</v>
          </cell>
          <cell r="E1319" t="str">
            <v>Rodoimport</v>
          </cell>
          <cell r="F1319">
            <v>44434</v>
          </cell>
          <cell r="G1319">
            <v>44442</v>
          </cell>
          <cell r="H1319">
            <v>44444</v>
          </cell>
          <cell r="I1319" t="str">
            <v>03.09.2021</v>
          </cell>
          <cell r="J1319" t="str">
            <v>09.09.2021</v>
          </cell>
          <cell r="K1319" t="str">
            <v>-</v>
          </cell>
          <cell r="L1319" t="str">
            <v>OK</v>
          </cell>
        </row>
        <row r="1320">
          <cell r="A1320" t="str">
            <v>AHW-43714I21</v>
          </cell>
          <cell r="B1320">
            <v>4003501</v>
          </cell>
          <cell r="C1320" t="str">
            <v>Original</v>
          </cell>
          <cell r="D1320" t="str">
            <v>CTS</v>
          </cell>
          <cell r="E1320" t="str">
            <v>TSA</v>
          </cell>
          <cell r="F1320">
            <v>44435</v>
          </cell>
          <cell r="G1320">
            <v>44443</v>
          </cell>
          <cell r="H1320">
            <v>44445</v>
          </cell>
          <cell r="I1320" t="str">
            <v>03.09.2021</v>
          </cell>
          <cell r="J1320" t="str">
            <v>09.09.2021</v>
          </cell>
          <cell r="K1320" t="str">
            <v>-</v>
          </cell>
          <cell r="L1320" t="str">
            <v>OK</v>
          </cell>
        </row>
        <row r="1321">
          <cell r="A1321" t="str">
            <v>AHW-43911I21</v>
          </cell>
          <cell r="B1321">
            <v>4003620</v>
          </cell>
          <cell r="C1321" t="str">
            <v>Original</v>
          </cell>
          <cell r="D1321" t="str">
            <v>CTS</v>
          </cell>
          <cell r="E1321" t="str">
            <v>TSA</v>
          </cell>
          <cell r="F1321">
            <v>44435</v>
          </cell>
          <cell r="G1321">
            <v>44443</v>
          </cell>
          <cell r="H1321">
            <v>44445</v>
          </cell>
          <cell r="I1321" t="str">
            <v>03.09.2021</v>
          </cell>
          <cell r="J1321" t="str">
            <v>09.09.2021</v>
          </cell>
          <cell r="K1321" t="str">
            <v>-</v>
          </cell>
          <cell r="L1321" t="str">
            <v>OK</v>
          </cell>
        </row>
        <row r="1322">
          <cell r="A1322" t="str">
            <v>AHW-43807I21</v>
          </cell>
          <cell r="B1322">
            <v>80585688</v>
          </cell>
          <cell r="C1322" t="str">
            <v>Original</v>
          </cell>
          <cell r="D1322" t="str">
            <v>CEVA</v>
          </cell>
          <cell r="E1322" t="str">
            <v>Rodoimport</v>
          </cell>
          <cell r="F1322">
            <v>44438</v>
          </cell>
          <cell r="G1322">
            <v>44446</v>
          </cell>
          <cell r="H1322">
            <v>44448</v>
          </cell>
          <cell r="I1322" t="str">
            <v>03.09.2021</v>
          </cell>
          <cell r="J1322" t="str">
            <v>09.09.2021</v>
          </cell>
          <cell r="K1322" t="str">
            <v>-</v>
          </cell>
          <cell r="L1322" t="str">
            <v>OK</v>
          </cell>
        </row>
        <row r="1323">
          <cell r="A1323" t="str">
            <v>AHW-43951I21</v>
          </cell>
          <cell r="B1323">
            <v>78208017</v>
          </cell>
          <cell r="C1323" t="str">
            <v>Original</v>
          </cell>
          <cell r="D1323" t="str">
            <v>CTS</v>
          </cell>
          <cell r="E1323" t="str">
            <v>TSA</v>
          </cell>
          <cell r="F1323">
            <v>44441</v>
          </cell>
          <cell r="G1323">
            <v>44449</v>
          </cell>
          <cell r="H1323">
            <v>44451</v>
          </cell>
          <cell r="I1323" t="str">
            <v>08.09.2021</v>
          </cell>
          <cell r="J1323" t="str">
            <v>21.09.2021</v>
          </cell>
          <cell r="K1323" t="str">
            <v>-</v>
          </cell>
          <cell r="L1323" t="str">
            <v>OK</v>
          </cell>
        </row>
        <row r="1324">
          <cell r="A1324" t="str">
            <v>AHW-43979I21</v>
          </cell>
          <cell r="B1324">
            <v>78208023</v>
          </cell>
          <cell r="C1324" t="str">
            <v>Original</v>
          </cell>
          <cell r="D1324" t="str">
            <v>CTS</v>
          </cell>
          <cell r="E1324" t="str">
            <v>TSA</v>
          </cell>
          <cell r="F1324">
            <v>44441</v>
          </cell>
          <cell r="G1324">
            <v>44449</v>
          </cell>
          <cell r="H1324">
            <v>44451</v>
          </cell>
          <cell r="I1324" t="str">
            <v>08.09.2021</v>
          </cell>
          <cell r="J1324" t="str">
            <v>21.09.2021</v>
          </cell>
          <cell r="K1324" t="str">
            <v>-</v>
          </cell>
          <cell r="L1324" t="str">
            <v>OK</v>
          </cell>
        </row>
        <row r="1325">
          <cell r="A1325" t="str">
            <v>AHW-43735I21</v>
          </cell>
          <cell r="B1325">
            <v>80585644</v>
          </cell>
          <cell r="C1325" t="str">
            <v>Original</v>
          </cell>
          <cell r="D1325" t="str">
            <v>CEVA</v>
          </cell>
          <cell r="E1325" t="str">
            <v>Rodoimport</v>
          </cell>
          <cell r="F1325">
            <v>44441</v>
          </cell>
          <cell r="G1325">
            <v>44449</v>
          </cell>
          <cell r="H1325">
            <v>44451</v>
          </cell>
          <cell r="I1325" t="str">
            <v>08.09.2021</v>
          </cell>
          <cell r="J1325" t="str">
            <v>21.09.2021</v>
          </cell>
          <cell r="K1325" t="str">
            <v>-</v>
          </cell>
          <cell r="L1325" t="str">
            <v>OK</v>
          </cell>
        </row>
        <row r="1326">
          <cell r="A1326" t="str">
            <v>AHW-43803I21</v>
          </cell>
          <cell r="B1326">
            <v>80585659</v>
          </cell>
          <cell r="C1326" t="str">
            <v>Original</v>
          </cell>
          <cell r="D1326" t="str">
            <v>CEVA</v>
          </cell>
          <cell r="E1326" t="str">
            <v>Rodoimport</v>
          </cell>
          <cell r="F1326">
            <v>44441</v>
          </cell>
          <cell r="G1326">
            <v>44449</v>
          </cell>
          <cell r="H1326">
            <v>44451</v>
          </cell>
          <cell r="I1326" t="str">
            <v>08.09.2021</v>
          </cell>
          <cell r="J1326" t="str">
            <v>21.09.2021</v>
          </cell>
          <cell r="K1326" t="str">
            <v>-</v>
          </cell>
          <cell r="L1326" t="str">
            <v>OK</v>
          </cell>
        </row>
        <row r="1327">
          <cell r="A1327" t="str">
            <v>AHW-43808I21</v>
          </cell>
          <cell r="B1327">
            <v>80585689</v>
          </cell>
          <cell r="C1327" t="str">
            <v>Original</v>
          </cell>
          <cell r="D1327" t="str">
            <v>CEVA</v>
          </cell>
          <cell r="E1327" t="str">
            <v>Rodoimport</v>
          </cell>
          <cell r="F1327">
            <v>44441</v>
          </cell>
          <cell r="G1327">
            <v>44449</v>
          </cell>
          <cell r="H1327">
            <v>44451</v>
          </cell>
          <cell r="I1327" t="str">
            <v>08.09.2021</v>
          </cell>
          <cell r="J1327" t="str">
            <v>21.09.2021</v>
          </cell>
          <cell r="K1327" t="str">
            <v>-</v>
          </cell>
          <cell r="L1327" t="str">
            <v>OK</v>
          </cell>
        </row>
        <row r="1328">
          <cell r="A1328" t="str">
            <v>AHW-43734I21</v>
          </cell>
          <cell r="B1328">
            <v>4003535</v>
          </cell>
          <cell r="C1328" t="str">
            <v>Original</v>
          </cell>
          <cell r="D1328" t="str">
            <v>CTS</v>
          </cell>
          <cell r="E1328" t="str">
            <v>TSA</v>
          </cell>
          <cell r="F1328">
            <v>44441</v>
          </cell>
          <cell r="G1328">
            <v>44449</v>
          </cell>
          <cell r="H1328">
            <v>44451</v>
          </cell>
          <cell r="I1328" t="str">
            <v>09.09.2021</v>
          </cell>
          <cell r="J1328" t="str">
            <v>21.09.2021</v>
          </cell>
          <cell r="K1328" t="str">
            <v>-</v>
          </cell>
          <cell r="L1328" t="str">
            <v>OK</v>
          </cell>
        </row>
        <row r="1329">
          <cell r="A1329" t="str">
            <v>AHW-43737I21</v>
          </cell>
          <cell r="B1329">
            <v>4003536</v>
          </cell>
          <cell r="C1329" t="str">
            <v>Original</v>
          </cell>
          <cell r="D1329" t="str">
            <v>CTS</v>
          </cell>
          <cell r="E1329" t="str">
            <v>TSA</v>
          </cell>
          <cell r="F1329">
            <v>44441</v>
          </cell>
          <cell r="G1329">
            <v>44449</v>
          </cell>
          <cell r="H1329">
            <v>44451</v>
          </cell>
          <cell r="I1329" t="str">
            <v>09.09.2021</v>
          </cell>
          <cell r="J1329" t="str">
            <v>21.09.2021</v>
          </cell>
          <cell r="K1329" t="str">
            <v>-</v>
          </cell>
          <cell r="L1329" t="str">
            <v>OK</v>
          </cell>
        </row>
        <row r="1330">
          <cell r="A1330" t="str">
            <v>AHW-43804I21</v>
          </cell>
          <cell r="B1330">
            <v>4003549</v>
          </cell>
          <cell r="C1330" t="str">
            <v>Original</v>
          </cell>
          <cell r="D1330" t="str">
            <v>CTS</v>
          </cell>
          <cell r="E1330" t="str">
            <v>TSA</v>
          </cell>
          <cell r="F1330">
            <v>44441</v>
          </cell>
          <cell r="G1330">
            <v>44449</v>
          </cell>
          <cell r="H1330">
            <v>44451</v>
          </cell>
          <cell r="I1330" t="str">
            <v>09.09.2021</v>
          </cell>
          <cell r="J1330" t="str">
            <v>21.09.2021</v>
          </cell>
          <cell r="K1330" t="str">
            <v>-</v>
          </cell>
          <cell r="L1330" t="str">
            <v>OK</v>
          </cell>
        </row>
        <row r="1331">
          <cell r="A1331" t="str">
            <v>AHW-43805I21</v>
          </cell>
          <cell r="B1331">
            <v>4003550</v>
          </cell>
          <cell r="C1331" t="str">
            <v>Original</v>
          </cell>
          <cell r="D1331" t="str">
            <v>CTS</v>
          </cell>
          <cell r="E1331" t="str">
            <v>TSA</v>
          </cell>
          <cell r="F1331">
            <v>44441</v>
          </cell>
          <cell r="G1331">
            <v>44449</v>
          </cell>
          <cell r="H1331">
            <v>44451</v>
          </cell>
          <cell r="I1331" t="str">
            <v>09.09.2021</v>
          </cell>
          <cell r="J1331" t="str">
            <v>21.09.2021</v>
          </cell>
          <cell r="K1331" t="str">
            <v>-</v>
          </cell>
          <cell r="L1331" t="str">
            <v>OK</v>
          </cell>
        </row>
        <row r="1332">
          <cell r="A1332" t="str">
            <v>AHW-43914I21</v>
          </cell>
          <cell r="B1332">
            <v>4003641</v>
          </cell>
          <cell r="C1332" t="str">
            <v>Original</v>
          </cell>
          <cell r="D1332" t="str">
            <v>CTS</v>
          </cell>
          <cell r="E1332" t="str">
            <v>TSA</v>
          </cell>
          <cell r="F1332">
            <v>44441</v>
          </cell>
          <cell r="G1332">
            <v>44449</v>
          </cell>
          <cell r="H1332">
            <v>44451</v>
          </cell>
          <cell r="I1332" t="str">
            <v>09.09.2021</v>
          </cell>
          <cell r="J1332" t="str">
            <v>21.09.2021</v>
          </cell>
          <cell r="K1332" t="str">
            <v>-</v>
          </cell>
          <cell r="L1332" t="str">
            <v>OK</v>
          </cell>
        </row>
        <row r="1333">
          <cell r="A1333" t="str">
            <v>AHW-43949I21</v>
          </cell>
          <cell r="B1333">
            <v>4003654</v>
          </cell>
          <cell r="C1333" t="str">
            <v>Original</v>
          </cell>
          <cell r="D1333" t="str">
            <v>CTS</v>
          </cell>
          <cell r="E1333" t="str">
            <v>TSA</v>
          </cell>
          <cell r="F1333">
            <v>44441</v>
          </cell>
          <cell r="G1333">
            <v>44449</v>
          </cell>
          <cell r="H1333">
            <v>44451</v>
          </cell>
          <cell r="I1333" t="str">
            <v>09.09.2021</v>
          </cell>
          <cell r="J1333" t="str">
            <v>21.09.2021</v>
          </cell>
          <cell r="K1333" t="str">
            <v>-</v>
          </cell>
          <cell r="L1333" t="str">
            <v>OK</v>
          </cell>
        </row>
        <row r="1334">
          <cell r="A1334" t="str">
            <v>AHW-43950I21</v>
          </cell>
          <cell r="B1334">
            <v>4003663</v>
          </cell>
          <cell r="C1334" t="str">
            <v>Original</v>
          </cell>
          <cell r="D1334" t="str">
            <v>CTS</v>
          </cell>
          <cell r="E1334" t="str">
            <v>TSA</v>
          </cell>
          <cell r="F1334">
            <v>44441</v>
          </cell>
          <cell r="G1334">
            <v>44449</v>
          </cell>
          <cell r="H1334">
            <v>44451</v>
          </cell>
          <cell r="I1334" t="str">
            <v>09.09.2021</v>
          </cell>
          <cell r="J1334" t="str">
            <v>21.09.2021</v>
          </cell>
          <cell r="K1334" t="str">
            <v>-</v>
          </cell>
          <cell r="L1334" t="str">
            <v>OK</v>
          </cell>
        </row>
        <row r="1335">
          <cell r="A1335" t="str">
            <v>AHW-43810I21</v>
          </cell>
          <cell r="B1335">
            <v>4003672</v>
          </cell>
          <cell r="C1335" t="str">
            <v>Original</v>
          </cell>
          <cell r="D1335" t="str">
            <v>CTS</v>
          </cell>
          <cell r="E1335" t="str">
            <v>TSA</v>
          </cell>
          <cell r="F1335">
            <v>44441</v>
          </cell>
          <cell r="G1335">
            <v>44449</v>
          </cell>
          <cell r="H1335">
            <v>44451</v>
          </cell>
          <cell r="I1335" t="str">
            <v>09.09.2021</v>
          </cell>
          <cell r="J1335" t="str">
            <v>21.09.2021</v>
          </cell>
          <cell r="K1335" t="str">
            <v>-</v>
          </cell>
          <cell r="L1335" t="str">
            <v>OK</v>
          </cell>
        </row>
        <row r="1336">
          <cell r="A1336" t="str">
            <v>AHW-43977I21</v>
          </cell>
          <cell r="B1336">
            <v>4003673</v>
          </cell>
          <cell r="C1336" t="str">
            <v>Original</v>
          </cell>
          <cell r="D1336" t="str">
            <v>CTS</v>
          </cell>
          <cell r="E1336" t="str">
            <v>TSA</v>
          </cell>
          <cell r="F1336">
            <v>44441</v>
          </cell>
          <cell r="G1336">
            <v>44449</v>
          </cell>
          <cell r="H1336">
            <v>44451</v>
          </cell>
          <cell r="I1336" t="str">
            <v>09.09.2021</v>
          </cell>
          <cell r="J1336" t="str">
            <v>21.09.2021</v>
          </cell>
          <cell r="K1336" t="str">
            <v>-</v>
          </cell>
          <cell r="L1336" t="str">
            <v>OK</v>
          </cell>
        </row>
        <row r="1337">
          <cell r="A1337" t="str">
            <v>AHW-43978I21</v>
          </cell>
          <cell r="B1337">
            <v>4003674</v>
          </cell>
          <cell r="C1337" t="str">
            <v>Original</v>
          </cell>
          <cell r="D1337" t="str">
            <v>CTS</v>
          </cell>
          <cell r="E1337" t="str">
            <v>TSA</v>
          </cell>
          <cell r="F1337">
            <v>44441</v>
          </cell>
          <cell r="G1337">
            <v>44449</v>
          </cell>
          <cell r="H1337">
            <v>44451</v>
          </cell>
          <cell r="I1337" t="str">
            <v>09.09.2021</v>
          </cell>
          <cell r="J1337" t="str">
            <v>21.09.2021</v>
          </cell>
          <cell r="K1337" t="str">
            <v>-</v>
          </cell>
          <cell r="L1337" t="str">
            <v>OK</v>
          </cell>
        </row>
        <row r="1338">
          <cell r="A1338" t="str">
            <v>AHW-44002I21</v>
          </cell>
          <cell r="B1338">
            <v>4003697</v>
          </cell>
          <cell r="C1338" t="str">
            <v>Original</v>
          </cell>
          <cell r="D1338" t="str">
            <v>CTS</v>
          </cell>
          <cell r="E1338" t="str">
            <v>TSA</v>
          </cell>
          <cell r="F1338">
            <v>44441</v>
          </cell>
          <cell r="G1338">
            <v>44449</v>
          </cell>
          <cell r="H1338">
            <v>44451</v>
          </cell>
          <cell r="I1338" t="str">
            <v>09.09.2021</v>
          </cell>
          <cell r="J1338" t="str">
            <v>21.09.2021</v>
          </cell>
          <cell r="K1338" t="str">
            <v>-</v>
          </cell>
          <cell r="L1338" t="str">
            <v>OK</v>
          </cell>
        </row>
        <row r="1339">
          <cell r="A1339" t="str">
            <v>AHW-44005I21</v>
          </cell>
          <cell r="B1339">
            <v>4003685</v>
          </cell>
          <cell r="C1339" t="str">
            <v>Original</v>
          </cell>
          <cell r="D1339" t="str">
            <v>CTS</v>
          </cell>
          <cell r="E1339" t="str">
            <v>TSA</v>
          </cell>
          <cell r="F1339">
            <v>44441</v>
          </cell>
          <cell r="G1339">
            <v>44449</v>
          </cell>
          <cell r="H1339">
            <v>44451</v>
          </cell>
          <cell r="I1339" t="str">
            <v>09.09.2021</v>
          </cell>
          <cell r="J1339" t="str">
            <v>21.09.2021</v>
          </cell>
          <cell r="K1339" t="str">
            <v>-</v>
          </cell>
          <cell r="L1339" t="str">
            <v>OK</v>
          </cell>
        </row>
        <row r="1340">
          <cell r="A1340" t="str">
            <v>AHW-44001I21</v>
          </cell>
          <cell r="B1340">
            <v>4003699</v>
          </cell>
          <cell r="C1340" t="str">
            <v>Original</v>
          </cell>
          <cell r="D1340" t="str">
            <v>CTS</v>
          </cell>
          <cell r="E1340" t="str">
            <v>TSA</v>
          </cell>
          <cell r="F1340">
            <v>44447</v>
          </cell>
          <cell r="G1340">
            <v>44455</v>
          </cell>
          <cell r="H1340">
            <v>44457</v>
          </cell>
          <cell r="I1340" t="str">
            <v>09.09.2021</v>
          </cell>
          <cell r="J1340" t="str">
            <v>21.09.2021</v>
          </cell>
          <cell r="K1340" t="str">
            <v>-</v>
          </cell>
          <cell r="L1340" t="str">
            <v>OK</v>
          </cell>
        </row>
        <row r="1341">
          <cell r="A1341" t="str">
            <v>AHW-44047I21</v>
          </cell>
          <cell r="B1341">
            <v>4003704</v>
          </cell>
          <cell r="C1341" t="str">
            <v>Original</v>
          </cell>
          <cell r="D1341" t="str">
            <v>CTS</v>
          </cell>
          <cell r="E1341" t="str">
            <v>TSA</v>
          </cell>
          <cell r="F1341">
            <v>44448</v>
          </cell>
          <cell r="G1341">
            <v>44456</v>
          </cell>
          <cell r="H1341">
            <v>44458</v>
          </cell>
          <cell r="I1341" t="str">
            <v>22.09.2021</v>
          </cell>
          <cell r="J1341" t="str">
            <v>21.09.2021</v>
          </cell>
          <cell r="K1341" t="str">
            <v>-</v>
          </cell>
          <cell r="L1341" t="str">
            <v>OK</v>
          </cell>
        </row>
        <row r="1342">
          <cell r="A1342" t="str">
            <v>AHW-44048I21</v>
          </cell>
          <cell r="B1342">
            <v>4003716</v>
          </cell>
          <cell r="C1342" t="str">
            <v>Original</v>
          </cell>
          <cell r="D1342" t="str">
            <v>CTS</v>
          </cell>
          <cell r="E1342" t="str">
            <v>TSA</v>
          </cell>
          <cell r="F1342">
            <v>44448</v>
          </cell>
          <cell r="G1342">
            <v>44456</v>
          </cell>
          <cell r="H1342">
            <v>44458</v>
          </cell>
          <cell r="I1342" t="str">
            <v>22.09.2021</v>
          </cell>
          <cell r="J1342" t="str">
            <v>21.09.2021</v>
          </cell>
          <cell r="K1342" t="str">
            <v>-</v>
          </cell>
          <cell r="L1342" t="str">
            <v>OK</v>
          </cell>
        </row>
        <row r="1343">
          <cell r="A1343" t="str">
            <v>AHW-44049I21</v>
          </cell>
          <cell r="B1343">
            <v>4003715</v>
          </cell>
          <cell r="C1343" t="str">
            <v>Original</v>
          </cell>
          <cell r="D1343" t="str">
            <v>CTS</v>
          </cell>
          <cell r="E1343" t="str">
            <v>TSA</v>
          </cell>
          <cell r="F1343">
            <v>44448</v>
          </cell>
          <cell r="G1343">
            <v>44456</v>
          </cell>
          <cell r="H1343">
            <v>44458</v>
          </cell>
          <cell r="I1343" t="str">
            <v>22.09.2021</v>
          </cell>
          <cell r="J1343" t="str">
            <v>21.09.2021</v>
          </cell>
          <cell r="K1343" t="str">
            <v>-</v>
          </cell>
          <cell r="L1343" t="str">
            <v>OK</v>
          </cell>
        </row>
        <row r="1344">
          <cell r="A1344" t="str">
            <v>AHW-44050I21</v>
          </cell>
          <cell r="B1344">
            <v>4003714</v>
          </cell>
          <cell r="C1344" t="str">
            <v>Original</v>
          </cell>
          <cell r="D1344" t="str">
            <v>CTS</v>
          </cell>
          <cell r="E1344" t="str">
            <v>TSA</v>
          </cell>
          <cell r="F1344">
            <v>44448</v>
          </cell>
          <cell r="G1344">
            <v>44456</v>
          </cell>
          <cell r="H1344">
            <v>44458</v>
          </cell>
          <cell r="I1344" t="str">
            <v>22.09.2021</v>
          </cell>
          <cell r="J1344" t="str">
            <v>21.09.2021</v>
          </cell>
          <cell r="K1344" t="str">
            <v>-</v>
          </cell>
          <cell r="L1344" t="str">
            <v>OK</v>
          </cell>
        </row>
        <row r="1345">
          <cell r="A1345" t="str">
            <v>AHW-44092I21</v>
          </cell>
          <cell r="B1345">
            <v>4003721</v>
          </cell>
          <cell r="C1345" t="str">
            <v>Original</v>
          </cell>
          <cell r="D1345" t="str">
            <v>CTS</v>
          </cell>
          <cell r="E1345" t="str">
            <v>TSA</v>
          </cell>
          <cell r="F1345">
            <v>44448</v>
          </cell>
          <cell r="G1345">
            <v>44456</v>
          </cell>
          <cell r="H1345">
            <v>44458</v>
          </cell>
          <cell r="I1345" t="str">
            <v>22.09.2021</v>
          </cell>
          <cell r="J1345" t="str">
            <v>21.09.2021</v>
          </cell>
          <cell r="K1345" t="str">
            <v>-</v>
          </cell>
          <cell r="L1345" t="str">
            <v>OK</v>
          </cell>
        </row>
        <row r="1346">
          <cell r="A1346" t="str">
            <v>AHW-44093I21</v>
          </cell>
          <cell r="B1346">
            <v>4003720</v>
          </cell>
          <cell r="C1346" t="str">
            <v>Original</v>
          </cell>
          <cell r="D1346" t="str">
            <v>CTS</v>
          </cell>
          <cell r="E1346" t="str">
            <v>TSA</v>
          </cell>
          <cell r="F1346">
            <v>44448</v>
          </cell>
          <cell r="G1346">
            <v>44456</v>
          </cell>
          <cell r="H1346">
            <v>44458</v>
          </cell>
          <cell r="I1346" t="str">
            <v>22.09.2021</v>
          </cell>
          <cell r="J1346" t="str">
            <v>21.09.2021</v>
          </cell>
          <cell r="K1346" t="str">
            <v>-</v>
          </cell>
          <cell r="L1346" t="str">
            <v>OK</v>
          </cell>
        </row>
        <row r="1347">
          <cell r="A1347" t="str">
            <v>AHW-44094I21</v>
          </cell>
          <cell r="B1347">
            <v>4003725</v>
          </cell>
          <cell r="C1347" t="str">
            <v>Original</v>
          </cell>
          <cell r="D1347" t="str">
            <v>CTS</v>
          </cell>
          <cell r="E1347" t="str">
            <v>TSA</v>
          </cell>
          <cell r="F1347">
            <v>44448</v>
          </cell>
          <cell r="G1347">
            <v>44456</v>
          </cell>
          <cell r="H1347">
            <v>44458</v>
          </cell>
          <cell r="I1347" t="str">
            <v>22.09.2021</v>
          </cell>
          <cell r="J1347" t="str">
            <v>21.09.2021</v>
          </cell>
          <cell r="K1347" t="str">
            <v>-</v>
          </cell>
          <cell r="L1347" t="str">
            <v>OK</v>
          </cell>
        </row>
        <row r="1348">
          <cell r="A1348" t="str">
            <v>AHW-44095I21</v>
          </cell>
          <cell r="B1348">
            <v>4003726</v>
          </cell>
          <cell r="C1348" t="str">
            <v>Original</v>
          </cell>
          <cell r="D1348" t="str">
            <v>CTS</v>
          </cell>
          <cell r="E1348" t="str">
            <v>TSA</v>
          </cell>
          <cell r="F1348">
            <v>44448</v>
          </cell>
          <cell r="G1348">
            <v>44456</v>
          </cell>
          <cell r="H1348">
            <v>44458</v>
          </cell>
          <cell r="I1348" t="str">
            <v>22.09.2021</v>
          </cell>
          <cell r="J1348" t="str">
            <v>21.09.2021</v>
          </cell>
          <cell r="K1348" t="str">
            <v>-</v>
          </cell>
          <cell r="L1348" t="str">
            <v>OK</v>
          </cell>
        </row>
        <row r="1349">
          <cell r="A1349" t="str">
            <v>AMS-44179I21</v>
          </cell>
          <cell r="B1349" t="str">
            <v>1Z6469V00447141414</v>
          </cell>
          <cell r="C1349" t="str">
            <v>Brasiliense</v>
          </cell>
          <cell r="D1349" t="str">
            <v>UPS</v>
          </cell>
          <cell r="E1349" t="str">
            <v>Future</v>
          </cell>
          <cell r="F1349">
            <v>44442</v>
          </cell>
          <cell r="G1349">
            <v>44450</v>
          </cell>
          <cell r="H1349">
            <v>44452</v>
          </cell>
          <cell r="I1349" t="str">
            <v>08.09.2021</v>
          </cell>
          <cell r="J1349" t="str">
            <v>21.09.2021</v>
          </cell>
          <cell r="K1349" t="str">
            <v>11.09.2021</v>
          </cell>
          <cell r="L1349" t="str">
            <v>OK</v>
          </cell>
        </row>
        <row r="1350">
          <cell r="A1350" t="str">
            <v>AMS-44180I21</v>
          </cell>
          <cell r="B1350" t="str">
            <v>1Z6469V00447459402</v>
          </cell>
          <cell r="C1350" t="str">
            <v>Brasiliense</v>
          </cell>
          <cell r="D1350" t="str">
            <v>UPS</v>
          </cell>
          <cell r="E1350" t="str">
            <v>Future</v>
          </cell>
          <cell r="F1350">
            <v>44442</v>
          </cell>
          <cell r="G1350">
            <v>44450</v>
          </cell>
          <cell r="H1350">
            <v>44452</v>
          </cell>
          <cell r="I1350" t="str">
            <v>08.09.2021</v>
          </cell>
          <cell r="J1350" t="str">
            <v>21.09.2021</v>
          </cell>
          <cell r="K1350" t="str">
            <v>11.09.2021</v>
          </cell>
          <cell r="L1350" t="str">
            <v>OK</v>
          </cell>
        </row>
        <row r="1351">
          <cell r="A1351" t="str">
            <v>AMS-44181I21</v>
          </cell>
          <cell r="B1351" t="str">
            <v>1Z6469V00446985452</v>
          </cell>
          <cell r="C1351" t="str">
            <v>Brasiliense</v>
          </cell>
          <cell r="D1351" t="str">
            <v>UPS</v>
          </cell>
          <cell r="E1351" t="str">
            <v>Future</v>
          </cell>
          <cell r="F1351">
            <v>44442</v>
          </cell>
          <cell r="G1351">
            <v>44450</v>
          </cell>
          <cell r="H1351">
            <v>44452</v>
          </cell>
          <cell r="I1351" t="str">
            <v>08.09.2021</v>
          </cell>
          <cell r="J1351" t="str">
            <v>21.09.2021</v>
          </cell>
          <cell r="K1351" t="str">
            <v>11.09.2021</v>
          </cell>
          <cell r="L1351" t="str">
            <v>OK</v>
          </cell>
        </row>
        <row r="1352">
          <cell r="A1352" t="str">
            <v>AMS-44182I21</v>
          </cell>
          <cell r="B1352" t="str">
            <v>1Z6469V00448759023</v>
          </cell>
          <cell r="C1352" t="str">
            <v>Brasiliense</v>
          </cell>
          <cell r="D1352" t="str">
            <v>UPS</v>
          </cell>
          <cell r="E1352" t="str">
            <v>Future</v>
          </cell>
          <cell r="F1352">
            <v>44442</v>
          </cell>
          <cell r="G1352">
            <v>44450</v>
          </cell>
          <cell r="H1352">
            <v>44452</v>
          </cell>
          <cell r="I1352" t="str">
            <v>11.09.2021</v>
          </cell>
          <cell r="J1352" t="str">
            <v>21.09.2021</v>
          </cell>
          <cell r="K1352" t="str">
            <v>11.09.2021</v>
          </cell>
          <cell r="L1352" t="str">
            <v>OK</v>
          </cell>
        </row>
        <row r="1353">
          <cell r="A1353" t="str">
            <v>AMS-44183I21</v>
          </cell>
          <cell r="B1353" t="str">
            <v>1Z6469V00446736999</v>
          </cell>
          <cell r="C1353" t="str">
            <v>Brasiliense</v>
          </cell>
          <cell r="D1353" t="str">
            <v>UPS</v>
          </cell>
          <cell r="E1353" t="str">
            <v>Future</v>
          </cell>
          <cell r="F1353">
            <v>44442</v>
          </cell>
          <cell r="G1353">
            <v>44450</v>
          </cell>
          <cell r="H1353">
            <v>44452</v>
          </cell>
          <cell r="I1353" t="str">
            <v>08.09.2021</v>
          </cell>
          <cell r="J1353" t="str">
            <v>21.09.2021</v>
          </cell>
          <cell r="K1353" t="str">
            <v>11.09.2021</v>
          </cell>
          <cell r="L1353" t="str">
            <v>OK</v>
          </cell>
        </row>
        <row r="1354">
          <cell r="A1354" t="str">
            <v>AMS-44184I21</v>
          </cell>
          <cell r="B1354" t="str">
            <v>1Z6469V00447848232</v>
          </cell>
          <cell r="C1354" t="str">
            <v>Brasiliense</v>
          </cell>
          <cell r="D1354" t="str">
            <v>UPS</v>
          </cell>
          <cell r="E1354" t="str">
            <v>Future</v>
          </cell>
          <cell r="F1354">
            <v>44442</v>
          </cell>
          <cell r="G1354">
            <v>44450</v>
          </cell>
          <cell r="H1354">
            <v>44452</v>
          </cell>
          <cell r="I1354" t="str">
            <v>08.09.2021</v>
          </cell>
          <cell r="J1354" t="str">
            <v>21.09.2021</v>
          </cell>
          <cell r="K1354" t="str">
            <v>11.09.2021</v>
          </cell>
          <cell r="L1354" t="str">
            <v>OK</v>
          </cell>
        </row>
        <row r="1355">
          <cell r="A1355" t="str">
            <v>AMS-44185I21</v>
          </cell>
          <cell r="B1355" t="str">
            <v>1Z6469V00448105041</v>
          </cell>
          <cell r="C1355" t="str">
            <v>Brasiliense</v>
          </cell>
          <cell r="D1355" t="str">
            <v>UPS</v>
          </cell>
          <cell r="E1355" t="str">
            <v>Future</v>
          </cell>
          <cell r="F1355">
            <v>44442</v>
          </cell>
          <cell r="G1355">
            <v>44450</v>
          </cell>
          <cell r="H1355">
            <v>44452</v>
          </cell>
          <cell r="I1355" t="str">
            <v>08.09.2021</v>
          </cell>
          <cell r="J1355" t="str">
            <v>21.09.2021</v>
          </cell>
          <cell r="K1355" t="str">
            <v>11.09.2021</v>
          </cell>
          <cell r="L1355" t="str">
            <v>OK</v>
          </cell>
        </row>
        <row r="1356">
          <cell r="A1356" t="str">
            <v>AMS-44186I21</v>
          </cell>
          <cell r="B1356" t="str">
            <v>1Z6469V00446245180</v>
          </cell>
          <cell r="C1356" t="str">
            <v>Brasiliense</v>
          </cell>
          <cell r="D1356" t="str">
            <v>UPS</v>
          </cell>
          <cell r="E1356" t="str">
            <v>Future</v>
          </cell>
          <cell r="F1356">
            <v>44442</v>
          </cell>
          <cell r="G1356">
            <v>44450</v>
          </cell>
          <cell r="H1356">
            <v>44452</v>
          </cell>
          <cell r="I1356" t="str">
            <v>08.09.2021</v>
          </cell>
          <cell r="J1356" t="str">
            <v>21.09.2021</v>
          </cell>
          <cell r="K1356" t="str">
            <v>11.09.2021</v>
          </cell>
          <cell r="L1356" t="str">
            <v>OK</v>
          </cell>
        </row>
        <row r="1357">
          <cell r="A1357" t="str">
            <v>SHW-43632I21</v>
          </cell>
          <cell r="B1357" t="str">
            <v>EGLV149108392090</v>
          </cell>
          <cell r="C1357" t="str">
            <v>Original</v>
          </cell>
          <cell r="D1357" t="str">
            <v>CEVA</v>
          </cell>
          <cell r="E1357" t="str">
            <v>Unitrading</v>
          </cell>
          <cell r="F1357">
            <v>44448</v>
          </cell>
          <cell r="G1357">
            <v>44456</v>
          </cell>
          <cell r="H1357">
            <v>44458</v>
          </cell>
          <cell r="I1357" t="str">
            <v>17.09.2021</v>
          </cell>
          <cell r="J1357" t="str">
            <v>17.09.2021</v>
          </cell>
          <cell r="K1357" t="str">
            <v>-</v>
          </cell>
          <cell r="L1357" t="str">
            <v>OK</v>
          </cell>
        </row>
        <row r="1358">
          <cell r="A1358" t="str">
            <v>SHW-43716I21</v>
          </cell>
          <cell r="B1358">
            <v>912764144</v>
          </cell>
          <cell r="C1358" t="str">
            <v>Original</v>
          </cell>
          <cell r="D1358" t="str">
            <v>CEVA</v>
          </cell>
          <cell r="E1358" t="str">
            <v>Unitrading</v>
          </cell>
          <cell r="F1358">
            <v>44452</v>
          </cell>
          <cell r="G1358">
            <v>44460</v>
          </cell>
          <cell r="H1358">
            <v>44462</v>
          </cell>
          <cell r="I1358" t="str">
            <v>17.09.2021</v>
          </cell>
          <cell r="J1358" t="str">
            <v>22.09.2021</v>
          </cell>
          <cell r="K1358" t="str">
            <v>-</v>
          </cell>
          <cell r="L1358" t="str">
            <v>OK</v>
          </cell>
        </row>
        <row r="1359">
          <cell r="A1359" t="str">
            <v>SHW-43739I21</v>
          </cell>
          <cell r="B1359" t="str">
            <v>EGLV149108392707</v>
          </cell>
          <cell r="C1359" t="str">
            <v>Original</v>
          </cell>
          <cell r="D1359" t="str">
            <v>CEVA</v>
          </cell>
          <cell r="E1359" t="str">
            <v>Unitrading</v>
          </cell>
          <cell r="F1359">
            <v>44454</v>
          </cell>
          <cell r="G1359">
            <v>44462</v>
          </cell>
          <cell r="H1359">
            <v>44464</v>
          </cell>
          <cell r="I1359" t="str">
            <v>22.09.2021</v>
          </cell>
          <cell r="J1359" t="str">
            <v>22.09.2021</v>
          </cell>
          <cell r="K1359" t="str">
            <v>-</v>
          </cell>
          <cell r="L1359" t="str">
            <v>OK</v>
          </cell>
        </row>
        <row r="1360">
          <cell r="A1360" t="str">
            <v>AHW-44311I21</v>
          </cell>
          <cell r="B1360">
            <v>78208181</v>
          </cell>
          <cell r="C1360" t="str">
            <v>Original</v>
          </cell>
          <cell r="D1360" t="str">
            <v>CEVA</v>
          </cell>
          <cell r="E1360" t="str">
            <v>Rodoimport</v>
          </cell>
          <cell r="F1360">
            <v>44459</v>
          </cell>
          <cell r="G1360">
            <v>44467</v>
          </cell>
          <cell r="H1360">
            <v>44469</v>
          </cell>
          <cell r="I1360" t="str">
            <v>22.09.2021</v>
          </cell>
          <cell r="J1360" t="str">
            <v>27.09.2021</v>
          </cell>
          <cell r="K1360" t="str">
            <v>-</v>
          </cell>
          <cell r="L1360" t="str">
            <v>OK</v>
          </cell>
        </row>
        <row r="1361">
          <cell r="A1361" t="str">
            <v>AHW-44199I21</v>
          </cell>
          <cell r="B1361">
            <v>4003772</v>
          </cell>
          <cell r="C1361" t="str">
            <v>Original</v>
          </cell>
          <cell r="D1361" t="str">
            <v>CTS</v>
          </cell>
          <cell r="E1361" t="str">
            <v>TSA</v>
          </cell>
          <cell r="F1361">
            <v>44459</v>
          </cell>
          <cell r="G1361">
            <v>44467</v>
          </cell>
          <cell r="H1361">
            <v>44469</v>
          </cell>
          <cell r="I1361" t="str">
            <v>22.09.2021</v>
          </cell>
          <cell r="J1361" t="str">
            <v>27.09.2021</v>
          </cell>
          <cell r="K1361" t="str">
            <v>-</v>
          </cell>
          <cell r="L1361" t="str">
            <v>OK</v>
          </cell>
        </row>
        <row r="1362">
          <cell r="A1362" t="str">
            <v>AHW-44201I21</v>
          </cell>
          <cell r="B1362">
            <v>4003773</v>
          </cell>
          <cell r="C1362" t="str">
            <v>Original</v>
          </cell>
          <cell r="D1362" t="str">
            <v>CTS</v>
          </cell>
          <cell r="E1362" t="str">
            <v>TSA</v>
          </cell>
          <cell r="F1362">
            <v>44459</v>
          </cell>
          <cell r="G1362">
            <v>44467</v>
          </cell>
          <cell r="H1362">
            <v>44469</v>
          </cell>
          <cell r="I1362" t="str">
            <v>22.09.2021</v>
          </cell>
          <cell r="J1362" t="str">
            <v>27.09.2021</v>
          </cell>
          <cell r="K1362" t="str">
            <v>-</v>
          </cell>
          <cell r="L1362" t="str">
            <v>OK</v>
          </cell>
        </row>
        <row r="1363">
          <cell r="A1363" t="str">
            <v>AMS-44323I21</v>
          </cell>
          <cell r="B1363" t="str">
            <v>1Z6469V00448528693</v>
          </cell>
          <cell r="C1363" t="str">
            <v>Brasiliense</v>
          </cell>
          <cell r="D1363" t="str">
            <v>UPS</v>
          </cell>
          <cell r="E1363" t="str">
            <v>Future</v>
          </cell>
          <cell r="F1363">
            <v>44452</v>
          </cell>
          <cell r="G1363">
            <v>44460</v>
          </cell>
          <cell r="H1363">
            <v>44462</v>
          </cell>
          <cell r="I1363" t="str">
            <v>21.09.2021</v>
          </cell>
          <cell r="J1363" t="str">
            <v>27.09.2021</v>
          </cell>
          <cell r="K1363" t="str">
            <v>21.09.2021</v>
          </cell>
          <cell r="L1363" t="str">
            <v>OK</v>
          </cell>
        </row>
        <row r="1364">
          <cell r="A1364" t="str">
            <v>AMS-44324I21</v>
          </cell>
          <cell r="B1364" t="str">
            <v>1Z6469V00448303103</v>
          </cell>
          <cell r="C1364" t="str">
            <v>Brasiliense</v>
          </cell>
          <cell r="D1364" t="str">
            <v>UPS</v>
          </cell>
          <cell r="E1364" t="str">
            <v>Future</v>
          </cell>
          <cell r="F1364">
            <v>44452</v>
          </cell>
          <cell r="G1364">
            <v>44460</v>
          </cell>
          <cell r="H1364">
            <v>44462</v>
          </cell>
          <cell r="I1364" t="str">
            <v>21.09.2021</v>
          </cell>
          <cell r="J1364" t="str">
            <v>27.09.2021</v>
          </cell>
          <cell r="K1364" t="str">
            <v>21.09.2021</v>
          </cell>
          <cell r="L1364" t="str">
            <v>OK</v>
          </cell>
        </row>
        <row r="1365">
          <cell r="A1365" t="str">
            <v>AMS-44325I21</v>
          </cell>
          <cell r="B1365" t="str">
            <v>1Z6469V00446386877</v>
          </cell>
          <cell r="C1365" t="str">
            <v>Brasiliense</v>
          </cell>
          <cell r="D1365" t="str">
            <v>UPS</v>
          </cell>
          <cell r="E1365" t="str">
            <v>Future</v>
          </cell>
          <cell r="F1365">
            <v>44452</v>
          </cell>
          <cell r="G1365">
            <v>44460</v>
          </cell>
          <cell r="H1365">
            <v>44462</v>
          </cell>
          <cell r="I1365" t="str">
            <v>21.09.2021</v>
          </cell>
          <cell r="J1365" t="str">
            <v>27.09.2021</v>
          </cell>
          <cell r="K1365" t="str">
            <v>21.09.2021</v>
          </cell>
          <cell r="L1365" t="str">
            <v>OK</v>
          </cell>
        </row>
        <row r="1366">
          <cell r="A1366" t="str">
            <v>AMS-44326I21</v>
          </cell>
          <cell r="B1366" t="str">
            <v>1Z6469V00448483268</v>
          </cell>
          <cell r="C1366" t="str">
            <v>Brasiliense</v>
          </cell>
          <cell r="D1366" t="str">
            <v>UPS</v>
          </cell>
          <cell r="E1366" t="str">
            <v>Future</v>
          </cell>
          <cell r="F1366">
            <v>44452</v>
          </cell>
          <cell r="G1366">
            <v>44460</v>
          </cell>
          <cell r="H1366">
            <v>44462</v>
          </cell>
          <cell r="I1366" t="str">
            <v>21.09.2021</v>
          </cell>
          <cell r="J1366" t="str">
            <v>27.09.2021</v>
          </cell>
          <cell r="K1366" t="str">
            <v>21.09.2021</v>
          </cell>
          <cell r="L1366" t="str">
            <v>OK</v>
          </cell>
        </row>
        <row r="1367">
          <cell r="A1367" t="str">
            <v>AHW-44189I21</v>
          </cell>
          <cell r="B1367">
            <v>78208150</v>
          </cell>
          <cell r="C1367" t="str">
            <v>Original</v>
          </cell>
          <cell r="D1367" t="str">
            <v>CEVA</v>
          </cell>
          <cell r="E1367" t="str">
            <v>Rodoimport</v>
          </cell>
          <cell r="F1367">
            <v>44461</v>
          </cell>
          <cell r="G1367">
            <v>44469</v>
          </cell>
          <cell r="H1367">
            <v>44471</v>
          </cell>
          <cell r="I1367" t="str">
            <v>27.09.2021</v>
          </cell>
          <cell r="J1367" t="str">
            <v>27.09.2021</v>
          </cell>
          <cell r="K1367" t="str">
            <v>-</v>
          </cell>
          <cell r="L1367" t="str">
            <v>OK</v>
          </cell>
        </row>
        <row r="1368">
          <cell r="A1368" t="str">
            <v>AHW-44304I21</v>
          </cell>
          <cell r="B1368">
            <v>78208198</v>
          </cell>
          <cell r="C1368" t="str">
            <v>Original</v>
          </cell>
          <cell r="D1368" t="str">
            <v>CEVA</v>
          </cell>
          <cell r="E1368" t="str">
            <v>Rodoimport</v>
          </cell>
          <cell r="F1368">
            <v>44463</v>
          </cell>
          <cell r="G1368">
            <v>44471</v>
          </cell>
          <cell r="H1368">
            <v>44473</v>
          </cell>
          <cell r="I1368" t="str">
            <v>06.10.2021</v>
          </cell>
          <cell r="J1368" t="str">
            <v>27.09.2021</v>
          </cell>
          <cell r="K1368" t="str">
            <v>-</v>
          </cell>
          <cell r="L1368" t="str">
            <v>OK</v>
          </cell>
        </row>
        <row r="1369">
          <cell r="A1369" t="str">
            <v>AHW-44369I21</v>
          </cell>
          <cell r="B1369">
            <v>78208307</v>
          </cell>
          <cell r="C1369" t="str">
            <v>Original</v>
          </cell>
          <cell r="D1369" t="str">
            <v>CEVA</v>
          </cell>
          <cell r="E1369" t="str">
            <v>Rodoimport</v>
          </cell>
          <cell r="F1369">
            <v>44466</v>
          </cell>
          <cell r="G1369">
            <v>44474</v>
          </cell>
          <cell r="H1369">
            <v>44476</v>
          </cell>
          <cell r="I1369" t="str">
            <v>06.10.2021</v>
          </cell>
          <cell r="J1369" t="str">
            <v>15.10.2021</v>
          </cell>
          <cell r="K1369" t="str">
            <v>-</v>
          </cell>
          <cell r="L1369" t="str">
            <v>OK</v>
          </cell>
        </row>
        <row r="1370">
          <cell r="A1370" t="str">
            <v>AHW-44330I21</v>
          </cell>
          <cell r="B1370">
            <v>78208267</v>
          </cell>
          <cell r="C1370" t="str">
            <v>Original</v>
          </cell>
          <cell r="D1370" t="str">
            <v>CEVA</v>
          </cell>
          <cell r="E1370" t="str">
            <v>Rodoimport</v>
          </cell>
          <cell r="F1370">
            <v>44467</v>
          </cell>
          <cell r="G1370">
            <v>44475</v>
          </cell>
          <cell r="H1370">
            <v>44477</v>
          </cell>
          <cell r="I1370" t="str">
            <v>06.10.2021</v>
          </cell>
          <cell r="J1370" t="str">
            <v>15.10.2021</v>
          </cell>
          <cell r="K1370" t="str">
            <v>-</v>
          </cell>
          <cell r="L1370" t="str">
            <v>OK</v>
          </cell>
        </row>
        <row r="1371">
          <cell r="A1371" t="str">
            <v>AHW-44172I21</v>
          </cell>
          <cell r="B1371">
            <v>4004027</v>
          </cell>
          <cell r="C1371" t="str">
            <v>Original</v>
          </cell>
          <cell r="D1371" t="str">
            <v>CTS</v>
          </cell>
          <cell r="E1371" t="str">
            <v>JP</v>
          </cell>
          <cell r="F1371">
            <v>44467</v>
          </cell>
          <cell r="G1371">
            <v>44475</v>
          </cell>
          <cell r="H1371">
            <v>44477</v>
          </cell>
          <cell r="I1371" t="str">
            <v>06.10.2021</v>
          </cell>
          <cell r="J1371" t="str">
            <v>15.10.2021</v>
          </cell>
          <cell r="K1371" t="str">
            <v>-</v>
          </cell>
          <cell r="L1371" t="str">
            <v>OK</v>
          </cell>
        </row>
        <row r="1372">
          <cell r="A1372" t="str">
            <v>AHW-44200I21</v>
          </cell>
          <cell r="B1372">
            <v>4004044</v>
          </cell>
          <cell r="C1372" t="str">
            <v>Original</v>
          </cell>
          <cell r="D1372" t="str">
            <v>CTS</v>
          </cell>
          <cell r="E1372" t="str">
            <v>JP</v>
          </cell>
          <cell r="F1372">
            <v>44467</v>
          </cell>
          <cell r="G1372">
            <v>44475</v>
          </cell>
          <cell r="H1372">
            <v>44477</v>
          </cell>
          <cell r="I1372" t="str">
            <v>06.10.2021</v>
          </cell>
          <cell r="J1372" t="str">
            <v>15.10.2021</v>
          </cell>
          <cell r="K1372" t="str">
            <v>-</v>
          </cell>
          <cell r="L1372" t="str">
            <v>OK</v>
          </cell>
        </row>
        <row r="1373">
          <cell r="A1373" t="str">
            <v>AMS-43957I21</v>
          </cell>
          <cell r="B1373" t="str">
            <v>41L0068895</v>
          </cell>
          <cell r="C1373" t="str">
            <v>Brasiliense</v>
          </cell>
          <cell r="D1373" t="str">
            <v>Expeditors</v>
          </cell>
          <cell r="E1373" t="str">
            <v>Expeditors</v>
          </cell>
          <cell r="F1373">
            <v>44466</v>
          </cell>
          <cell r="G1373">
            <v>44474</v>
          </cell>
          <cell r="H1373">
            <v>44476</v>
          </cell>
          <cell r="I1373" t="str">
            <v>08.09.2021</v>
          </cell>
          <cell r="J1373" t="str">
            <v>04.10.2021</v>
          </cell>
          <cell r="K1373" t="str">
            <v>-</v>
          </cell>
          <cell r="L1373" t="str">
            <v>OK</v>
          </cell>
        </row>
        <row r="1374">
          <cell r="A1374" t="str">
            <v>AMS-44054I21</v>
          </cell>
          <cell r="B1374" t="str">
            <v>41L0068896</v>
          </cell>
          <cell r="C1374" t="str">
            <v>Brasiliense</v>
          </cell>
          <cell r="D1374" t="str">
            <v>Expeditors</v>
          </cell>
          <cell r="E1374" t="str">
            <v>Expeditors</v>
          </cell>
          <cell r="F1374">
            <v>44466</v>
          </cell>
          <cell r="G1374">
            <v>44474</v>
          </cell>
          <cell r="H1374">
            <v>44476</v>
          </cell>
          <cell r="I1374" t="str">
            <v>08.09.2021</v>
          </cell>
          <cell r="J1374" t="str">
            <v>04.10.2021</v>
          </cell>
          <cell r="K1374" t="str">
            <v>-</v>
          </cell>
          <cell r="L1374" t="str">
            <v>OK</v>
          </cell>
        </row>
        <row r="1375">
          <cell r="A1375" t="str">
            <v>AMS-44188I21</v>
          </cell>
          <cell r="B1375" t="str">
            <v>1Z6469V00446862665</v>
          </cell>
          <cell r="C1375" t="str">
            <v>Brasiliense</v>
          </cell>
          <cell r="D1375" t="str">
            <v>UPS</v>
          </cell>
          <cell r="E1375" t="str">
            <v>Future</v>
          </cell>
          <cell r="F1375">
            <v>44468</v>
          </cell>
          <cell r="G1375">
            <v>44476</v>
          </cell>
          <cell r="H1375">
            <v>44478</v>
          </cell>
          <cell r="I1375" t="str">
            <v>04.10.2021</v>
          </cell>
          <cell r="J1375" t="str">
            <v>15.10.2021</v>
          </cell>
          <cell r="K1375" t="str">
            <v>13.10.2021</v>
          </cell>
          <cell r="L1375" t="str">
            <v>OK</v>
          </cell>
        </row>
        <row r="1376">
          <cell r="A1376" t="str">
            <v>AMS-44735I21</v>
          </cell>
          <cell r="B1376" t="str">
            <v xml:space="preserve">1Z6469V00448923345 </v>
          </cell>
          <cell r="C1376" t="str">
            <v>Brasiliense</v>
          </cell>
          <cell r="D1376" t="str">
            <v>UPS</v>
          </cell>
          <cell r="E1376" t="str">
            <v>Future</v>
          </cell>
          <cell r="F1376">
            <v>44469</v>
          </cell>
          <cell r="G1376">
            <v>44477</v>
          </cell>
          <cell r="H1376">
            <v>44479</v>
          </cell>
          <cell r="I1376" t="str">
            <v>04.10.2021</v>
          </cell>
          <cell r="J1376" t="str">
            <v>15.10.2021</v>
          </cell>
          <cell r="K1376" t="str">
            <v>04.10.2021</v>
          </cell>
          <cell r="L1376" t="str">
            <v>OK</v>
          </cell>
        </row>
        <row r="1377">
          <cell r="A1377" t="str">
            <v>AMS-44736I21</v>
          </cell>
          <cell r="B1377" t="str">
            <v xml:space="preserve">1Z6469V00448080765 </v>
          </cell>
          <cell r="C1377" t="str">
            <v>Brasiliense</v>
          </cell>
          <cell r="D1377" t="str">
            <v>UPS</v>
          </cell>
          <cell r="E1377" t="str">
            <v>Future</v>
          </cell>
          <cell r="F1377">
            <v>44469</v>
          </cell>
          <cell r="G1377">
            <v>44477</v>
          </cell>
          <cell r="H1377">
            <v>44479</v>
          </cell>
          <cell r="I1377" t="str">
            <v>04.10.2021</v>
          </cell>
          <cell r="J1377" t="str">
            <v>15.10.2021</v>
          </cell>
          <cell r="K1377" t="str">
            <v>04.10.2021</v>
          </cell>
          <cell r="L1377" t="str">
            <v>OK</v>
          </cell>
        </row>
        <row r="1378">
          <cell r="A1378" t="str">
            <v>AMS-44737I21</v>
          </cell>
          <cell r="B1378" t="str">
            <v xml:space="preserve">1Z6469V00446158248 </v>
          </cell>
          <cell r="C1378" t="str">
            <v>Brasiliense</v>
          </cell>
          <cell r="D1378" t="str">
            <v>UPS</v>
          </cell>
          <cell r="E1378" t="str">
            <v>Future</v>
          </cell>
          <cell r="F1378">
            <v>44469</v>
          </cell>
          <cell r="G1378">
            <v>44477</v>
          </cell>
          <cell r="H1378">
            <v>44479</v>
          </cell>
          <cell r="I1378" t="str">
            <v>04.10.2021</v>
          </cell>
          <cell r="J1378" t="str">
            <v>15.10.2021</v>
          </cell>
          <cell r="K1378" t="str">
            <v>04.10.2021</v>
          </cell>
          <cell r="L1378" t="str">
            <v>OK</v>
          </cell>
        </row>
        <row r="1379">
          <cell r="A1379" t="str">
            <v>AMS-44738I21</v>
          </cell>
          <cell r="B1379" t="str">
            <v xml:space="preserve">1Z6469V00447030650 </v>
          </cell>
          <cell r="C1379" t="str">
            <v>Brasiliense</v>
          </cell>
          <cell r="D1379" t="str">
            <v>UPS</v>
          </cell>
          <cell r="E1379" t="str">
            <v>Future</v>
          </cell>
          <cell r="F1379">
            <v>44469</v>
          </cell>
          <cell r="G1379">
            <v>44477</v>
          </cell>
          <cell r="H1379">
            <v>44479</v>
          </cell>
          <cell r="I1379" t="str">
            <v>04.10.2021</v>
          </cell>
          <cell r="J1379" t="str">
            <v>15.10.2021</v>
          </cell>
          <cell r="K1379" t="str">
            <v>04.10.2021</v>
          </cell>
          <cell r="L1379" t="str">
            <v>OK</v>
          </cell>
        </row>
        <row r="1380">
          <cell r="A1380" t="str">
            <v>AMS-44149I21</v>
          </cell>
          <cell r="B1380">
            <v>25556</v>
          </cell>
          <cell r="C1380" t="str">
            <v>Brasiliense</v>
          </cell>
          <cell r="D1380" t="str">
            <v>UPS</v>
          </cell>
          <cell r="E1380" t="str">
            <v>Future</v>
          </cell>
          <cell r="F1380">
            <v>44468</v>
          </cell>
          <cell r="G1380">
            <v>44476</v>
          </cell>
          <cell r="H1380">
            <v>44478</v>
          </cell>
          <cell r="I1380" t="str">
            <v>04.10.2021</v>
          </cell>
          <cell r="J1380" t="str">
            <v>15.10.2021</v>
          </cell>
          <cell r="K1380" t="str">
            <v>18.10.2021</v>
          </cell>
          <cell r="L1380" t="str">
            <v>OK</v>
          </cell>
        </row>
        <row r="1381">
          <cell r="A1381" t="str">
            <v>SHW-43809I21</v>
          </cell>
          <cell r="B1381" t="str">
            <v>EGLV149110523228</v>
          </cell>
          <cell r="C1381" t="str">
            <v>Original</v>
          </cell>
          <cell r="D1381" t="str">
            <v>CEVA</v>
          </cell>
          <cell r="E1381" t="str">
            <v>Unitrading</v>
          </cell>
          <cell r="F1381">
            <v>44462</v>
          </cell>
          <cell r="G1381">
            <v>44470</v>
          </cell>
          <cell r="H1381">
            <v>44472</v>
          </cell>
          <cell r="I1381" t="str">
            <v>06.10.2021</v>
          </cell>
          <cell r="J1381" t="str">
            <v>27.09.2021</v>
          </cell>
          <cell r="K1381" t="str">
            <v>-</v>
          </cell>
          <cell r="L1381" t="str">
            <v>OK</v>
          </cell>
        </row>
        <row r="1382">
          <cell r="A1382" t="str">
            <v>SHW-43952I21</v>
          </cell>
          <cell r="B1382" t="str">
            <v>EGLV149108392260</v>
          </cell>
          <cell r="C1382" t="str">
            <v>Original</v>
          </cell>
          <cell r="D1382" t="str">
            <v>CEVA</v>
          </cell>
          <cell r="E1382" t="str">
            <v>Unitrading</v>
          </cell>
          <cell r="F1382">
            <v>44468</v>
          </cell>
          <cell r="G1382">
            <v>44476</v>
          </cell>
          <cell r="H1382">
            <v>44478</v>
          </cell>
          <cell r="I1382" t="str">
            <v>06.10.2021</v>
          </cell>
          <cell r="J1382" t="str">
            <v>06.10.2021</v>
          </cell>
          <cell r="K1382" t="str">
            <v>-</v>
          </cell>
          <cell r="L1382" t="str">
            <v>OK</v>
          </cell>
        </row>
        <row r="1383">
          <cell r="A1383" t="str">
            <v>SHW-43953I21</v>
          </cell>
          <cell r="B1383" t="str">
            <v>EGLV149110765141</v>
          </cell>
          <cell r="C1383" t="str">
            <v>Original</v>
          </cell>
          <cell r="D1383" t="str">
            <v>CEVA</v>
          </cell>
          <cell r="E1383" t="str">
            <v>Unitrading</v>
          </cell>
          <cell r="F1383">
            <v>44467</v>
          </cell>
          <cell r="G1383">
            <v>44475</v>
          </cell>
          <cell r="H1383">
            <v>44477</v>
          </cell>
          <cell r="I1383" t="str">
            <v>06.10.2021</v>
          </cell>
          <cell r="J1383" t="str">
            <v>06.10.2021</v>
          </cell>
          <cell r="K1383" t="str">
            <v>-</v>
          </cell>
          <cell r="L1383" t="str">
            <v>OK</v>
          </cell>
        </row>
        <row r="1384">
          <cell r="A1384" t="str">
            <v>SHW-43954I21</v>
          </cell>
          <cell r="B1384" t="str">
            <v>EGLV149110811525</v>
          </cell>
          <cell r="C1384" t="str">
            <v>Original</v>
          </cell>
          <cell r="D1384" t="str">
            <v>CEVA</v>
          </cell>
          <cell r="E1384" t="str">
            <v>Unitrading</v>
          </cell>
          <cell r="F1384">
            <v>44468</v>
          </cell>
          <cell r="G1384">
            <v>44476</v>
          </cell>
          <cell r="H1384">
            <v>44478</v>
          </cell>
          <cell r="I1384" t="str">
            <v>06.10.2021</v>
          </cell>
          <cell r="J1384" t="str">
            <v>06.10.2021</v>
          </cell>
          <cell r="K1384" t="str">
            <v>-</v>
          </cell>
          <cell r="L1384" t="str">
            <v>OK</v>
          </cell>
        </row>
        <row r="1385">
          <cell r="A1385" t="str">
            <v>AHW-44202I21</v>
          </cell>
          <cell r="B1385">
            <v>78208180</v>
          </cell>
          <cell r="C1385" t="str">
            <v>Original</v>
          </cell>
          <cell r="D1385" t="str">
            <v>CEVA</v>
          </cell>
          <cell r="E1385" t="str">
            <v>Rodoimport</v>
          </cell>
          <cell r="F1385">
            <v>44468</v>
          </cell>
          <cell r="G1385">
            <v>44476</v>
          </cell>
          <cell r="H1385">
            <v>44478</v>
          </cell>
          <cell r="I1385" t="str">
            <v>06.10.2021</v>
          </cell>
          <cell r="J1385" t="str">
            <v>15.10.2021</v>
          </cell>
          <cell r="K1385" t="str">
            <v>-</v>
          </cell>
          <cell r="L1385" t="str">
            <v>OK</v>
          </cell>
        </row>
        <row r="1386">
          <cell r="A1386" t="str">
            <v>AHW-44307I21</v>
          </cell>
          <cell r="B1386">
            <v>78208258</v>
          </cell>
          <cell r="C1386" t="str">
            <v>Original</v>
          </cell>
          <cell r="D1386" t="str">
            <v>CEVA</v>
          </cell>
          <cell r="E1386" t="str">
            <v>Rodoimport</v>
          </cell>
          <cell r="F1386">
            <v>44468</v>
          </cell>
          <cell r="G1386">
            <v>44476</v>
          </cell>
          <cell r="H1386">
            <v>44478</v>
          </cell>
          <cell r="I1386" t="str">
            <v>06.10.2021</v>
          </cell>
          <cell r="J1386" t="str">
            <v>15.10.2021</v>
          </cell>
          <cell r="K1386" t="str">
            <v>-</v>
          </cell>
          <cell r="L1386" t="str">
            <v>OK</v>
          </cell>
        </row>
        <row r="1387">
          <cell r="A1387" t="str">
            <v>AHW-44305I21</v>
          </cell>
          <cell r="B1387">
            <v>78208232</v>
          </cell>
          <cell r="C1387" t="str">
            <v>Original</v>
          </cell>
          <cell r="D1387" t="str">
            <v>CEVA</v>
          </cell>
          <cell r="E1387" t="str">
            <v>Rodoimport</v>
          </cell>
          <cell r="F1387">
            <v>44470</v>
          </cell>
          <cell r="G1387">
            <v>44478</v>
          </cell>
          <cell r="H1387">
            <v>44480</v>
          </cell>
          <cell r="I1387" t="str">
            <v>06.10.2021</v>
          </cell>
          <cell r="J1387" t="str">
            <v>26.10.2021</v>
          </cell>
          <cell r="K1387" t="str">
            <v>-</v>
          </cell>
          <cell r="L1387" t="str">
            <v>OK</v>
          </cell>
        </row>
        <row r="1388">
          <cell r="A1388" t="str">
            <v>AHW-44306I21</v>
          </cell>
          <cell r="B1388">
            <v>78208242</v>
          </cell>
          <cell r="C1388" t="str">
            <v>Original</v>
          </cell>
          <cell r="D1388" t="str">
            <v>CEVA</v>
          </cell>
          <cell r="E1388" t="str">
            <v>Rodoimport</v>
          </cell>
          <cell r="F1388">
            <v>44470</v>
          </cell>
          <cell r="G1388">
            <v>44478</v>
          </cell>
          <cell r="H1388">
            <v>44480</v>
          </cell>
          <cell r="I1388" t="str">
            <v>06.10.2021</v>
          </cell>
          <cell r="J1388" t="str">
            <v>26.10.2021</v>
          </cell>
          <cell r="K1388" t="str">
            <v>-</v>
          </cell>
          <cell r="L1388" t="str">
            <v>OK</v>
          </cell>
        </row>
        <row r="1389">
          <cell r="A1389" t="str">
            <v>AHW-44331I21</v>
          </cell>
          <cell r="B1389">
            <v>78208259</v>
          </cell>
          <cell r="C1389" t="str">
            <v>Original</v>
          </cell>
          <cell r="D1389" t="str">
            <v>CEVA</v>
          </cell>
          <cell r="E1389" t="str">
            <v>Rodoimport</v>
          </cell>
          <cell r="F1389">
            <v>44470</v>
          </cell>
          <cell r="G1389">
            <v>44478</v>
          </cell>
          <cell r="H1389">
            <v>44480</v>
          </cell>
          <cell r="I1389" t="str">
            <v>06.10.2021</v>
          </cell>
          <cell r="J1389" t="str">
            <v>26.10.2021</v>
          </cell>
          <cell r="K1389" t="str">
            <v>-</v>
          </cell>
          <cell r="L1389" t="str">
            <v>OK</v>
          </cell>
        </row>
        <row r="1390">
          <cell r="A1390" t="str">
            <v>AHW-44333I21</v>
          </cell>
          <cell r="B1390">
            <v>78208269</v>
          </cell>
          <cell r="C1390" t="str">
            <v>Original</v>
          </cell>
          <cell r="D1390" t="str">
            <v>CEVA</v>
          </cell>
          <cell r="E1390" t="str">
            <v>Rodoimport</v>
          </cell>
          <cell r="F1390">
            <v>44470</v>
          </cell>
          <cell r="G1390">
            <v>44478</v>
          </cell>
          <cell r="H1390">
            <v>44480</v>
          </cell>
          <cell r="I1390" t="str">
            <v>06.10.2021</v>
          </cell>
          <cell r="J1390" t="str">
            <v>26.10.2021</v>
          </cell>
          <cell r="K1390" t="str">
            <v>-</v>
          </cell>
          <cell r="L1390" t="str">
            <v>OK</v>
          </cell>
        </row>
        <row r="1391">
          <cell r="A1391" t="str">
            <v>AHW-44372I21</v>
          </cell>
          <cell r="B1391">
            <v>78208291</v>
          </cell>
          <cell r="C1391" t="str">
            <v>Original</v>
          </cell>
          <cell r="D1391" t="str">
            <v>CEVA</v>
          </cell>
          <cell r="E1391" t="str">
            <v>Rodoimport</v>
          </cell>
          <cell r="F1391">
            <v>44470</v>
          </cell>
          <cell r="G1391">
            <v>44478</v>
          </cell>
          <cell r="H1391">
            <v>44480</v>
          </cell>
          <cell r="I1391" t="str">
            <v>06.10.2021</v>
          </cell>
          <cell r="J1391" t="str">
            <v>26.10.2021</v>
          </cell>
          <cell r="K1391" t="str">
            <v>-</v>
          </cell>
          <cell r="L1391" t="str">
            <v>OK</v>
          </cell>
        </row>
        <row r="1392">
          <cell r="A1392" t="str">
            <v>AHW-44473I21</v>
          </cell>
          <cell r="B1392">
            <v>4003875</v>
          </cell>
          <cell r="C1392" t="str">
            <v>Original</v>
          </cell>
          <cell r="D1392" t="str">
            <v>CTS</v>
          </cell>
          <cell r="E1392" t="str">
            <v>JP</v>
          </cell>
          <cell r="F1392">
            <v>44470</v>
          </cell>
          <cell r="G1392">
            <v>44478</v>
          </cell>
          <cell r="H1392">
            <v>44480</v>
          </cell>
          <cell r="I1392" t="str">
            <v>13.10.2021</v>
          </cell>
          <cell r="J1392" t="str">
            <v>26.10.2021</v>
          </cell>
          <cell r="K1392" t="str">
            <v>-</v>
          </cell>
          <cell r="L1392" t="str">
            <v>OK</v>
          </cell>
        </row>
        <row r="1393">
          <cell r="A1393" t="str">
            <v>AHW-44472I21</v>
          </cell>
          <cell r="B1393">
            <v>78208328</v>
          </cell>
          <cell r="C1393" t="str">
            <v>Original</v>
          </cell>
          <cell r="D1393" t="str">
            <v>CEVA</v>
          </cell>
          <cell r="E1393" t="str">
            <v>Rodoimport</v>
          </cell>
          <cell r="F1393">
            <v>44474</v>
          </cell>
          <cell r="G1393">
            <v>44482</v>
          </cell>
          <cell r="H1393">
            <v>44484</v>
          </cell>
          <cell r="I1393" t="str">
            <v>13.10.2021</v>
          </cell>
          <cell r="J1393" t="str">
            <v>26.10.2021</v>
          </cell>
          <cell r="K1393" t="str">
            <v>-</v>
          </cell>
          <cell r="L1393" t="str">
            <v>OK</v>
          </cell>
        </row>
        <row r="1394">
          <cell r="A1394" t="str">
            <v>AMS-44864I21</v>
          </cell>
          <cell r="B1394" t="str">
            <v>1Z6469V00448904259</v>
          </cell>
          <cell r="C1394" t="str">
            <v>Brasiliense</v>
          </cell>
          <cell r="D1394" t="str">
            <v>UPS</v>
          </cell>
          <cell r="E1394" t="str">
            <v>Future</v>
          </cell>
          <cell r="F1394">
            <v>44474</v>
          </cell>
          <cell r="G1394">
            <v>44482</v>
          </cell>
          <cell r="H1394">
            <v>44484</v>
          </cell>
          <cell r="I1394" t="str">
            <v>08.10.2021</v>
          </cell>
          <cell r="J1394" t="str">
            <v>26.10.2021</v>
          </cell>
          <cell r="K1394" t="str">
            <v>18.10.2021</v>
          </cell>
          <cell r="L1394" t="str">
            <v>OK</v>
          </cell>
        </row>
        <row r="1395">
          <cell r="A1395" t="str">
            <v>AMS-44865I21</v>
          </cell>
          <cell r="B1395" t="str">
            <v>1Z6469V00447095877</v>
          </cell>
          <cell r="C1395" t="str">
            <v>Brasiliense</v>
          </cell>
          <cell r="D1395" t="str">
            <v>UPS</v>
          </cell>
          <cell r="E1395" t="str">
            <v>Future</v>
          </cell>
          <cell r="F1395">
            <v>44474</v>
          </cell>
          <cell r="G1395">
            <v>44482</v>
          </cell>
          <cell r="H1395">
            <v>44484</v>
          </cell>
          <cell r="I1395" t="str">
            <v>08.10.2021</v>
          </cell>
          <cell r="J1395" t="str">
            <v>26.10.2021</v>
          </cell>
          <cell r="K1395" t="str">
            <v>18.10.2021</v>
          </cell>
          <cell r="L1395" t="str">
            <v>OK</v>
          </cell>
        </row>
        <row r="1396">
          <cell r="A1396" t="str">
            <v>AMS-44866I21</v>
          </cell>
          <cell r="B1396" t="str">
            <v>1Z6469V00446552268</v>
          </cell>
          <cell r="C1396" t="str">
            <v>Brasiliense</v>
          </cell>
          <cell r="D1396" t="str">
            <v>UPS</v>
          </cell>
          <cell r="E1396" t="str">
            <v>Future</v>
          </cell>
          <cell r="F1396">
            <v>44474</v>
          </cell>
          <cell r="G1396">
            <v>44482</v>
          </cell>
          <cell r="H1396">
            <v>44484</v>
          </cell>
          <cell r="I1396" t="str">
            <v>08.10.2021</v>
          </cell>
          <cell r="J1396" t="str">
            <v>26.10.2021</v>
          </cell>
          <cell r="K1396" t="str">
            <v>18.10.2021</v>
          </cell>
          <cell r="L1396" t="str">
            <v>OK</v>
          </cell>
        </row>
        <row r="1397">
          <cell r="A1397" t="str">
            <v>AMS-44867I21</v>
          </cell>
          <cell r="B1397" t="str">
            <v>1Z6469V00448125252</v>
          </cell>
          <cell r="C1397" t="str">
            <v>Brasiliense</v>
          </cell>
          <cell r="D1397" t="str">
            <v>UPS</v>
          </cell>
          <cell r="E1397" t="str">
            <v>Future</v>
          </cell>
          <cell r="F1397">
            <v>44474</v>
          </cell>
          <cell r="G1397">
            <v>44482</v>
          </cell>
          <cell r="H1397">
            <v>44484</v>
          </cell>
          <cell r="I1397" t="str">
            <v>08.10.2021</v>
          </cell>
          <cell r="J1397" t="str">
            <v>26.10.2021</v>
          </cell>
          <cell r="K1397" t="str">
            <v>18.10.2021</v>
          </cell>
          <cell r="L1397" t="str">
            <v>OK</v>
          </cell>
        </row>
        <row r="1398">
          <cell r="A1398" t="str">
            <v>AMS-44868I21</v>
          </cell>
          <cell r="B1398" t="str">
            <v>1Z6469V00447077164</v>
          </cell>
          <cell r="C1398" t="str">
            <v>Brasiliense</v>
          </cell>
          <cell r="D1398" t="str">
            <v>UPS</v>
          </cell>
          <cell r="E1398" t="str">
            <v>Future</v>
          </cell>
          <cell r="F1398">
            <v>44474</v>
          </cell>
          <cell r="G1398">
            <v>44482</v>
          </cell>
          <cell r="H1398">
            <v>44484</v>
          </cell>
          <cell r="I1398" t="str">
            <v>08.10.2021</v>
          </cell>
          <cell r="J1398" t="str">
            <v>26.10.2021</v>
          </cell>
          <cell r="K1398" t="str">
            <v>18.10.2021</v>
          </cell>
          <cell r="L1398" t="str">
            <v>OK</v>
          </cell>
        </row>
        <row r="1399">
          <cell r="A1399" t="str">
            <v>AMS-44869I21</v>
          </cell>
          <cell r="B1399" t="str">
            <v>1Z6469V00446825151</v>
          </cell>
          <cell r="C1399" t="str">
            <v>Brasiliense</v>
          </cell>
          <cell r="D1399" t="str">
            <v>UPS</v>
          </cell>
          <cell r="E1399" t="str">
            <v>Future</v>
          </cell>
          <cell r="F1399">
            <v>44474</v>
          </cell>
          <cell r="G1399">
            <v>44482</v>
          </cell>
          <cell r="H1399">
            <v>44484</v>
          </cell>
          <cell r="I1399" t="str">
            <v>08.10.2021</v>
          </cell>
          <cell r="J1399" t="str">
            <v>26.10.2021</v>
          </cell>
          <cell r="K1399" t="str">
            <v>18.10.2021</v>
          </cell>
          <cell r="L1399" t="str">
            <v>OK</v>
          </cell>
        </row>
        <row r="1400">
          <cell r="A1400" t="str">
            <v>AMS-44870I21</v>
          </cell>
          <cell r="B1400" t="str">
            <v>1Z6469V00447464772</v>
          </cell>
          <cell r="C1400" t="str">
            <v>Brasiliense</v>
          </cell>
          <cell r="D1400" t="str">
            <v>UPS</v>
          </cell>
          <cell r="E1400" t="str">
            <v>Future</v>
          </cell>
          <cell r="F1400">
            <v>44474</v>
          </cell>
          <cell r="G1400">
            <v>44482</v>
          </cell>
          <cell r="H1400">
            <v>44484</v>
          </cell>
          <cell r="I1400" t="str">
            <v>08.10.2021</v>
          </cell>
          <cell r="J1400" t="str">
            <v>26.10.2021</v>
          </cell>
          <cell r="K1400" t="str">
            <v>18.10.2021</v>
          </cell>
          <cell r="L1400" t="str">
            <v>OK</v>
          </cell>
        </row>
        <row r="1401">
          <cell r="A1401" t="str">
            <v>AMS-44871I21</v>
          </cell>
          <cell r="B1401" t="str">
            <v>1Z6469V00448763867</v>
          </cell>
          <cell r="C1401" t="str">
            <v>Brasiliense</v>
          </cell>
          <cell r="D1401" t="str">
            <v>UPS</v>
          </cell>
          <cell r="E1401" t="str">
            <v>Future</v>
          </cell>
          <cell r="F1401">
            <v>44474</v>
          </cell>
          <cell r="G1401">
            <v>44482</v>
          </cell>
          <cell r="H1401">
            <v>44484</v>
          </cell>
          <cell r="I1401" t="str">
            <v>08.10.2021</v>
          </cell>
          <cell r="J1401" t="str">
            <v>26.10.2021</v>
          </cell>
          <cell r="K1401" t="str">
            <v>18.10.2021</v>
          </cell>
          <cell r="L1401" t="str">
            <v>OK</v>
          </cell>
        </row>
        <row r="1402">
          <cell r="A1402" t="str">
            <v>AMS-44872I21</v>
          </cell>
          <cell r="B1402" t="str">
            <v>1Z6469V00447272658</v>
          </cell>
          <cell r="C1402" t="str">
            <v>Brasiliense</v>
          </cell>
          <cell r="D1402" t="str">
            <v>UPS</v>
          </cell>
          <cell r="E1402" t="str">
            <v>Future</v>
          </cell>
          <cell r="F1402">
            <v>44474</v>
          </cell>
          <cell r="G1402">
            <v>44482</v>
          </cell>
          <cell r="H1402">
            <v>44484</v>
          </cell>
          <cell r="I1402" t="str">
            <v>08.10.2021</v>
          </cell>
          <cell r="J1402" t="str">
            <v>26.10.2021</v>
          </cell>
          <cell r="K1402" t="str">
            <v>18.10.2021</v>
          </cell>
          <cell r="L1402" t="str">
            <v>OK</v>
          </cell>
        </row>
        <row r="1403">
          <cell r="A1403" t="str">
            <v>SHW-44203I21</v>
          </cell>
          <cell r="B1403" t="str">
            <v>EGLV149111688662</v>
          </cell>
          <cell r="C1403" t="str">
            <v>Original</v>
          </cell>
          <cell r="D1403" t="str">
            <v>CEVA</v>
          </cell>
          <cell r="E1403" t="str">
            <v>Unitrading</v>
          </cell>
          <cell r="F1403">
            <v>44475</v>
          </cell>
          <cell r="G1403">
            <v>44483</v>
          </cell>
          <cell r="H1403">
            <v>44485</v>
          </cell>
          <cell r="I1403" t="str">
            <v>07.10.2021</v>
          </cell>
          <cell r="J1403" t="str">
            <v>07.10.2021</v>
          </cell>
          <cell r="K1403" t="str">
            <v>-</v>
          </cell>
          <cell r="L1403" t="str">
            <v>OK</v>
          </cell>
        </row>
        <row r="1404">
          <cell r="A1404" t="str">
            <v>SHW-44046I21</v>
          </cell>
          <cell r="B1404">
            <v>212912529</v>
          </cell>
          <cell r="C1404" t="str">
            <v>Original</v>
          </cell>
          <cell r="D1404" t="str">
            <v>CEVA</v>
          </cell>
          <cell r="E1404" t="str">
            <v>Unitrading</v>
          </cell>
          <cell r="F1404">
            <v>44476</v>
          </cell>
          <cell r="G1404">
            <v>44484</v>
          </cell>
          <cell r="H1404">
            <v>44486</v>
          </cell>
          <cell r="I1404" t="str">
            <v>08.10.2021</v>
          </cell>
          <cell r="J1404" t="str">
            <v>13.10.2021</v>
          </cell>
          <cell r="K1404" t="str">
            <v>-</v>
          </cell>
          <cell r="L1404" t="str">
            <v>OK</v>
          </cell>
        </row>
        <row r="1405">
          <cell r="A1405" t="str">
            <v>SHW-44051I21</v>
          </cell>
          <cell r="B1405">
            <v>912687644</v>
          </cell>
          <cell r="C1405" t="str">
            <v>Original</v>
          </cell>
          <cell r="D1405" t="str">
            <v>CEVA</v>
          </cell>
          <cell r="E1405" t="str">
            <v>Unitrading</v>
          </cell>
          <cell r="F1405">
            <v>44476</v>
          </cell>
          <cell r="G1405">
            <v>44484</v>
          </cell>
          <cell r="H1405">
            <v>44486</v>
          </cell>
          <cell r="I1405" t="str">
            <v>08.10.2021</v>
          </cell>
          <cell r="J1405" t="str">
            <v>13.10.2021</v>
          </cell>
          <cell r="K1405" t="str">
            <v>-</v>
          </cell>
          <cell r="L1405" t="str">
            <v>OK</v>
          </cell>
        </row>
        <row r="1406">
          <cell r="A1406" t="str">
            <v>SHW-44052I21</v>
          </cell>
          <cell r="B1406">
            <v>912778070</v>
          </cell>
          <cell r="C1406" t="str">
            <v>Original</v>
          </cell>
          <cell r="D1406" t="str">
            <v>Shenker</v>
          </cell>
          <cell r="E1406" t="str">
            <v>Unitrading</v>
          </cell>
          <cell r="F1406">
            <v>44477</v>
          </cell>
          <cell r="G1406">
            <v>44485</v>
          </cell>
          <cell r="H1406">
            <v>44487</v>
          </cell>
          <cell r="I1406" t="str">
            <v>13.10.2021</v>
          </cell>
          <cell r="J1406" t="str">
            <v>13.10.2021</v>
          </cell>
          <cell r="K1406" t="str">
            <v>-</v>
          </cell>
          <cell r="L1406" t="str">
            <v>OK</v>
          </cell>
        </row>
        <row r="1407">
          <cell r="A1407" t="str">
            <v>SHW-44190I21</v>
          </cell>
          <cell r="B1407" t="str">
            <v>EGLV149111408414</v>
          </cell>
          <cell r="C1407" t="str">
            <v>Original</v>
          </cell>
          <cell r="D1407" t="str">
            <v>Shenker</v>
          </cell>
          <cell r="E1407" t="str">
            <v>Unitrading</v>
          </cell>
          <cell r="F1407">
            <v>44477</v>
          </cell>
          <cell r="G1407">
            <v>44485</v>
          </cell>
          <cell r="H1407">
            <v>44487</v>
          </cell>
          <cell r="I1407" t="str">
            <v>13.10.2021</v>
          </cell>
          <cell r="J1407" t="str">
            <v>13.10.2021</v>
          </cell>
          <cell r="K1407" t="str">
            <v>-</v>
          </cell>
          <cell r="L1407" t="str">
            <v>OK</v>
          </cell>
        </row>
        <row r="1408">
          <cell r="A1408" t="str">
            <v>SHW-44191I21</v>
          </cell>
          <cell r="B1408" t="str">
            <v>EGLV149111538831</v>
          </cell>
          <cell r="C1408" t="str">
            <v>Original</v>
          </cell>
          <cell r="D1408" t="str">
            <v>Shenker</v>
          </cell>
          <cell r="E1408" t="str">
            <v>Unitrading</v>
          </cell>
          <cell r="F1408">
            <v>44477</v>
          </cell>
          <cell r="G1408">
            <v>44485</v>
          </cell>
          <cell r="H1408">
            <v>44487</v>
          </cell>
          <cell r="I1408" t="str">
            <v>13.10.2021</v>
          </cell>
          <cell r="J1408" t="str">
            <v>13.10.2021</v>
          </cell>
          <cell r="K1408" t="str">
            <v>-</v>
          </cell>
          <cell r="L1408" t="str">
            <v>OK</v>
          </cell>
        </row>
        <row r="1409">
          <cell r="A1409" t="str">
            <v>SHW-44313I21</v>
          </cell>
          <cell r="B1409" t="str">
            <v>EGLV149111919613</v>
          </cell>
          <cell r="C1409" t="str">
            <v>Original</v>
          </cell>
          <cell r="D1409" t="str">
            <v>Shenker</v>
          </cell>
          <cell r="E1409" t="str">
            <v>Unitrading</v>
          </cell>
          <cell r="F1409">
            <v>44483</v>
          </cell>
          <cell r="G1409">
            <v>44491</v>
          </cell>
          <cell r="H1409">
            <v>44493</v>
          </cell>
          <cell r="I1409" t="str">
            <v>18.10.2021</v>
          </cell>
          <cell r="J1409" t="str">
            <v>21.10.2021</v>
          </cell>
          <cell r="K1409" t="str">
            <v>-</v>
          </cell>
          <cell r="L1409" t="str">
            <v>OK</v>
          </cell>
        </row>
        <row r="1410">
          <cell r="A1410" t="str">
            <v>SHW-44314I21</v>
          </cell>
          <cell r="B1410" t="str">
            <v>EGLV149109829033</v>
          </cell>
          <cell r="C1410" t="str">
            <v>Original</v>
          </cell>
          <cell r="D1410" t="str">
            <v>Shenker</v>
          </cell>
          <cell r="E1410" t="str">
            <v>Unitrading</v>
          </cell>
          <cell r="F1410">
            <v>44483</v>
          </cell>
          <cell r="G1410">
            <v>44491</v>
          </cell>
          <cell r="H1410">
            <v>44493</v>
          </cell>
          <cell r="I1410" t="str">
            <v>18.10.2021</v>
          </cell>
          <cell r="J1410" t="str">
            <v>21.10.2021</v>
          </cell>
          <cell r="K1410" t="str">
            <v>-</v>
          </cell>
          <cell r="L1410" t="str">
            <v>OK</v>
          </cell>
        </row>
        <row r="1411">
          <cell r="A1411" t="str">
            <v>SHW-44315I21</v>
          </cell>
          <cell r="B1411" t="str">
            <v>EGLV149111961539</v>
          </cell>
          <cell r="C1411" t="str">
            <v>Original</v>
          </cell>
          <cell r="D1411" t="str">
            <v>Shenker</v>
          </cell>
          <cell r="E1411" t="str">
            <v>Unitrading</v>
          </cell>
          <cell r="F1411">
            <v>44483</v>
          </cell>
          <cell r="G1411">
            <v>44491</v>
          </cell>
          <cell r="H1411">
            <v>44493</v>
          </cell>
          <cell r="I1411" t="str">
            <v>18.10.2021</v>
          </cell>
          <cell r="J1411" t="str">
            <v>21.10.2021</v>
          </cell>
          <cell r="K1411" t="str">
            <v>-</v>
          </cell>
          <cell r="L1411" t="str">
            <v>OK</v>
          </cell>
        </row>
        <row r="1412">
          <cell r="A1412" t="str">
            <v>SHW-44334I21</v>
          </cell>
          <cell r="B1412" t="str">
            <v>EGLV149111966905</v>
          </cell>
          <cell r="C1412" t="str">
            <v>Original</v>
          </cell>
          <cell r="D1412" t="str">
            <v>Shenker</v>
          </cell>
          <cell r="E1412" t="str">
            <v>Unitrading</v>
          </cell>
          <cell r="F1412">
            <v>44483</v>
          </cell>
          <cell r="G1412">
            <v>44491</v>
          </cell>
          <cell r="H1412">
            <v>44493</v>
          </cell>
          <cell r="I1412" t="str">
            <v>18.10.2021</v>
          </cell>
          <cell r="J1412" t="str">
            <v>18.10.2021</v>
          </cell>
          <cell r="K1412" t="str">
            <v>-</v>
          </cell>
          <cell r="L1412" t="str">
            <v>OK</v>
          </cell>
        </row>
        <row r="1413">
          <cell r="A1413" t="str">
            <v>SHW-44335I21</v>
          </cell>
          <cell r="B1413" t="str">
            <v>EGLV149112002501</v>
          </cell>
          <cell r="C1413" t="str">
            <v>Original</v>
          </cell>
          <cell r="D1413" t="str">
            <v>Shenker</v>
          </cell>
          <cell r="E1413" t="str">
            <v>Unitrading</v>
          </cell>
          <cell r="F1413">
            <v>44483</v>
          </cell>
          <cell r="G1413">
            <v>44491</v>
          </cell>
          <cell r="H1413">
            <v>44493</v>
          </cell>
          <cell r="I1413" t="str">
            <v>18.10.2021</v>
          </cell>
          <cell r="J1413" t="str">
            <v>21.10.2021</v>
          </cell>
          <cell r="K1413" t="str">
            <v>-</v>
          </cell>
          <cell r="L1413" t="str">
            <v>OK</v>
          </cell>
        </row>
        <row r="1414">
          <cell r="A1414" t="str">
            <v>SHW-44204I21</v>
          </cell>
          <cell r="B1414" t="str">
            <v>EGLV149111620103</v>
          </cell>
          <cell r="C1414" t="str">
            <v>Original</v>
          </cell>
          <cell r="D1414" t="str">
            <v>Shenker</v>
          </cell>
          <cell r="E1414" t="str">
            <v>Unitrading</v>
          </cell>
          <cell r="F1414">
            <v>44487</v>
          </cell>
          <cell r="G1414">
            <v>44495</v>
          </cell>
          <cell r="H1414">
            <v>44497</v>
          </cell>
          <cell r="I1414" t="str">
            <v>21.10.2021</v>
          </cell>
          <cell r="J1414" t="str">
            <v>19.10.2021</v>
          </cell>
          <cell r="K1414" t="str">
            <v>-</v>
          </cell>
          <cell r="L1414" t="str">
            <v>OK</v>
          </cell>
        </row>
        <row r="1415">
          <cell r="A1415" t="str">
            <v>SHW-44312I21</v>
          </cell>
          <cell r="B1415" t="str">
            <v>EGLV149111712628</v>
          </cell>
          <cell r="C1415" t="str">
            <v>Original</v>
          </cell>
          <cell r="D1415" t="str">
            <v>Shenker</v>
          </cell>
          <cell r="E1415" t="str">
            <v>Unitrading</v>
          </cell>
          <cell r="F1415">
            <v>44487</v>
          </cell>
          <cell r="G1415">
            <v>44495</v>
          </cell>
          <cell r="H1415">
            <v>44497</v>
          </cell>
          <cell r="I1415" t="str">
            <v>21.10.2021</v>
          </cell>
          <cell r="J1415" t="str">
            <v>20.10.2021</v>
          </cell>
          <cell r="K1415" t="str">
            <v>-</v>
          </cell>
          <cell r="L1415" t="str">
            <v>OK</v>
          </cell>
        </row>
        <row r="1416">
          <cell r="A1416" t="str">
            <v>SHW-44469I21</v>
          </cell>
          <cell r="B1416" t="str">
            <v>EGLV149112001890</v>
          </cell>
          <cell r="C1416" t="str">
            <v>Original</v>
          </cell>
          <cell r="D1416" t="str">
            <v>Shenker</v>
          </cell>
          <cell r="E1416" t="str">
            <v>Unitrading</v>
          </cell>
          <cell r="F1416">
            <v>44489</v>
          </cell>
          <cell r="G1416">
            <v>44497</v>
          </cell>
          <cell r="H1416">
            <v>44499</v>
          </cell>
          <cell r="I1416" t="str">
            <v>21.10.2021</v>
          </cell>
          <cell r="J1416" t="str">
            <v>21.10.2021</v>
          </cell>
          <cell r="K1416" t="str">
            <v>-</v>
          </cell>
          <cell r="L1416" t="str">
            <v>OK</v>
          </cell>
        </row>
        <row r="1417">
          <cell r="A1417" t="str">
            <v>SHW-44476I21</v>
          </cell>
          <cell r="B1417" t="str">
            <v>EGLV149112254941</v>
          </cell>
          <cell r="C1417" t="str">
            <v>Original</v>
          </cell>
          <cell r="D1417" t="str">
            <v>Shenker</v>
          </cell>
          <cell r="E1417" t="str">
            <v>Unitrading</v>
          </cell>
          <cell r="F1417">
            <v>44489</v>
          </cell>
          <cell r="G1417">
            <v>44497</v>
          </cell>
          <cell r="H1417">
            <v>44499</v>
          </cell>
          <cell r="I1417" t="str">
            <v>21.10.2021</v>
          </cell>
          <cell r="J1417" t="str">
            <v>21.10.2021</v>
          </cell>
          <cell r="K1417" t="str">
            <v>-</v>
          </cell>
          <cell r="L1417" t="str">
            <v>OK</v>
          </cell>
        </row>
        <row r="1418">
          <cell r="A1418" t="str">
            <v>SHW-44477I21</v>
          </cell>
          <cell r="B1418" t="str">
            <v>EGLV149112281981</v>
          </cell>
          <cell r="C1418" t="str">
            <v>Original</v>
          </cell>
          <cell r="D1418" t="str">
            <v>Shenker</v>
          </cell>
          <cell r="E1418" t="str">
            <v>Unitrading</v>
          </cell>
          <cell r="F1418">
            <v>44489</v>
          </cell>
          <cell r="G1418">
            <v>44497</v>
          </cell>
          <cell r="H1418">
            <v>44499</v>
          </cell>
          <cell r="I1418" t="str">
            <v>21.10.2021</v>
          </cell>
          <cell r="J1418" t="str">
            <v>21.10.2021</v>
          </cell>
          <cell r="K1418" t="str">
            <v>-</v>
          </cell>
          <cell r="L1418" t="str">
            <v>OK</v>
          </cell>
        </row>
        <row r="1419">
          <cell r="A1419" t="str">
            <v>SHW-44478I21</v>
          </cell>
          <cell r="B1419" t="str">
            <v>EGLV149109932152</v>
          </cell>
          <cell r="C1419" t="str">
            <v>Original</v>
          </cell>
          <cell r="D1419" t="str">
            <v>Shenker</v>
          </cell>
          <cell r="E1419" t="str">
            <v>Unitrading</v>
          </cell>
          <cell r="F1419">
            <v>44491</v>
          </cell>
          <cell r="G1419">
            <v>44499</v>
          </cell>
          <cell r="H1419">
            <v>44501</v>
          </cell>
          <cell r="I1419" t="str">
            <v>21.10.2021</v>
          </cell>
          <cell r="J1419" t="str">
            <v>25.10.2021</v>
          </cell>
          <cell r="K1419" t="str">
            <v>-</v>
          </cell>
          <cell r="L1419" t="str">
            <v>OK</v>
          </cell>
        </row>
        <row r="1420">
          <cell r="A1420" t="str">
            <v>AHW-44780I21</v>
          </cell>
          <cell r="B1420">
            <v>4004413</v>
          </cell>
          <cell r="C1420" t="str">
            <v>Original</v>
          </cell>
          <cell r="D1420" t="str">
            <v>CTS</v>
          </cell>
          <cell r="E1420" t="str">
            <v>JP</v>
          </cell>
          <cell r="F1420">
            <v>44483</v>
          </cell>
          <cell r="G1420">
            <v>44491</v>
          </cell>
          <cell r="H1420">
            <v>44493</v>
          </cell>
          <cell r="I1420" t="str">
            <v>21.10.2021</v>
          </cell>
          <cell r="J1420" t="str">
            <v>26.10.2021</v>
          </cell>
          <cell r="K1420" t="str">
            <v>-</v>
          </cell>
          <cell r="L1420" t="str">
            <v>OK</v>
          </cell>
        </row>
        <row r="1421">
          <cell r="A1421" t="str">
            <v>AHW-44719I21</v>
          </cell>
          <cell r="B1421">
            <v>4004217</v>
          </cell>
          <cell r="C1421" t="str">
            <v>Original</v>
          </cell>
          <cell r="D1421" t="str">
            <v>CTS</v>
          </cell>
          <cell r="E1421" t="str">
            <v>JP</v>
          </cell>
          <cell r="F1421">
            <v>44483</v>
          </cell>
          <cell r="G1421">
            <v>44491</v>
          </cell>
          <cell r="H1421">
            <v>44493</v>
          </cell>
          <cell r="I1421" t="str">
            <v>21.10.2021</v>
          </cell>
          <cell r="J1421" t="str">
            <v>26.10.2021</v>
          </cell>
          <cell r="K1421" t="str">
            <v>-</v>
          </cell>
          <cell r="L1421" t="str">
            <v>OK</v>
          </cell>
        </row>
        <row r="1422">
          <cell r="A1422" t="str">
            <v>AHW-44779I21</v>
          </cell>
          <cell r="B1422">
            <v>4004412</v>
          </cell>
          <cell r="C1422" t="str">
            <v>Original</v>
          </cell>
          <cell r="D1422" t="str">
            <v>CTS</v>
          </cell>
          <cell r="E1422" t="str">
            <v>JP</v>
          </cell>
          <cell r="F1422">
            <v>44487</v>
          </cell>
          <cell r="G1422">
            <v>44495</v>
          </cell>
          <cell r="H1422">
            <v>44497</v>
          </cell>
          <cell r="I1422" t="str">
            <v>22.10.2021</v>
          </cell>
          <cell r="J1422" t="str">
            <v>26.10.2021</v>
          </cell>
          <cell r="K1422" t="str">
            <v>-</v>
          </cell>
          <cell r="L1422" t="str">
            <v>OK</v>
          </cell>
        </row>
        <row r="1423">
          <cell r="A1423" t="str">
            <v>AHW-44173I21</v>
          </cell>
          <cell r="B1423">
            <v>78208128</v>
          </cell>
          <cell r="C1423" t="str">
            <v>Original</v>
          </cell>
          <cell r="D1423" t="str">
            <v>CEVA</v>
          </cell>
          <cell r="E1423" t="str">
            <v>Rodoimport</v>
          </cell>
          <cell r="F1423">
            <v>44488</v>
          </cell>
          <cell r="G1423">
            <v>44496</v>
          </cell>
          <cell r="H1423">
            <v>44498</v>
          </cell>
          <cell r="I1423" t="str">
            <v>22.10.2021</v>
          </cell>
          <cell r="J1423" t="str">
            <v>26.10.2021</v>
          </cell>
          <cell r="K1423" t="str">
            <v>-</v>
          </cell>
          <cell r="L1423" t="str">
            <v>OK</v>
          </cell>
        </row>
        <row r="1424">
          <cell r="A1424" t="str">
            <v>AHW-44308I21</v>
          </cell>
          <cell r="B1424">
            <v>78208182</v>
          </cell>
          <cell r="C1424" t="str">
            <v>Original</v>
          </cell>
          <cell r="D1424" t="str">
            <v>CEVA</v>
          </cell>
          <cell r="E1424" t="str">
            <v>Rodoimport</v>
          </cell>
          <cell r="F1424">
            <v>44487</v>
          </cell>
          <cell r="G1424">
            <v>44495</v>
          </cell>
          <cell r="H1424">
            <v>44497</v>
          </cell>
          <cell r="I1424" t="str">
            <v>21.10.2021</v>
          </cell>
          <cell r="J1424" t="str">
            <v>26.10.2021</v>
          </cell>
          <cell r="K1424" t="str">
            <v>-</v>
          </cell>
          <cell r="L1424" t="str">
            <v>OK</v>
          </cell>
        </row>
        <row r="1425">
          <cell r="A1425" t="str">
            <v>AHW-44309I21</v>
          </cell>
          <cell r="B1425">
            <v>78208197</v>
          </cell>
          <cell r="C1425" t="str">
            <v>Original</v>
          </cell>
          <cell r="D1425" t="str">
            <v>CEVA</v>
          </cell>
          <cell r="E1425" t="str">
            <v>Rodoimport</v>
          </cell>
          <cell r="F1425">
            <v>44487</v>
          </cell>
          <cell r="G1425">
            <v>44495</v>
          </cell>
          <cell r="H1425">
            <v>44497</v>
          </cell>
          <cell r="I1425" t="str">
            <v>22.10.2021</v>
          </cell>
          <cell r="J1425" t="str">
            <v>26.10.2021</v>
          </cell>
          <cell r="K1425" t="str">
            <v>-</v>
          </cell>
          <cell r="L1425" t="str">
            <v>OK</v>
          </cell>
        </row>
        <row r="1426">
          <cell r="A1426" t="str">
            <v>AHW-44310I21</v>
          </cell>
          <cell r="B1426">
            <v>78208199</v>
          </cell>
          <cell r="C1426" t="str">
            <v>Original</v>
          </cell>
          <cell r="D1426" t="str">
            <v>CEVA</v>
          </cell>
          <cell r="E1426" t="str">
            <v>Rodoimport</v>
          </cell>
          <cell r="F1426">
            <v>44488</v>
          </cell>
          <cell r="G1426">
            <v>44496</v>
          </cell>
          <cell r="H1426">
            <v>44498</v>
          </cell>
          <cell r="I1426" t="str">
            <v>21.10.2021</v>
          </cell>
          <cell r="J1426" t="str">
            <v>26.10.2021</v>
          </cell>
          <cell r="K1426" t="str">
            <v>-</v>
          </cell>
          <cell r="L1426" t="str">
            <v>OK</v>
          </cell>
        </row>
        <row r="1427">
          <cell r="A1427" t="str">
            <v>AHW-44370I21</v>
          </cell>
          <cell r="B1427">
            <v>78208290</v>
          </cell>
          <cell r="C1427" t="str">
            <v>Original</v>
          </cell>
          <cell r="D1427" t="str">
            <v>CEVA</v>
          </cell>
          <cell r="E1427" t="str">
            <v>Rodoimport</v>
          </cell>
          <cell r="F1427">
            <v>44487</v>
          </cell>
          <cell r="G1427">
            <v>44495</v>
          </cell>
          <cell r="H1427">
            <v>44497</v>
          </cell>
          <cell r="I1427" t="str">
            <v>22.10.2021</v>
          </cell>
          <cell r="J1427" t="str">
            <v>26.10.2021</v>
          </cell>
          <cell r="K1427" t="str">
            <v>-</v>
          </cell>
          <cell r="L1427" t="str">
            <v>OK</v>
          </cell>
        </row>
        <row r="1428">
          <cell r="A1428" t="str">
            <v>AHW-44371I21</v>
          </cell>
          <cell r="B1428">
            <v>78208281</v>
          </cell>
          <cell r="C1428" t="str">
            <v>Original</v>
          </cell>
          <cell r="D1428" t="str">
            <v>CEVA</v>
          </cell>
          <cell r="E1428" t="str">
            <v>Rodoimport</v>
          </cell>
          <cell r="F1428">
            <v>44487</v>
          </cell>
          <cell r="G1428">
            <v>44495</v>
          </cell>
          <cell r="H1428">
            <v>44497</v>
          </cell>
          <cell r="I1428" t="str">
            <v>22.10.2021</v>
          </cell>
          <cell r="J1428" t="str">
            <v>26.10.2021</v>
          </cell>
          <cell r="K1428" t="str">
            <v>-</v>
          </cell>
          <cell r="L1428" t="str">
            <v>OK</v>
          </cell>
        </row>
        <row r="1429">
          <cell r="A1429" t="str">
            <v>AHW-44471I21</v>
          </cell>
          <cell r="B1429">
            <v>78208308</v>
          </cell>
          <cell r="C1429" t="str">
            <v>Original</v>
          </cell>
          <cell r="D1429" t="str">
            <v>CEVA</v>
          </cell>
          <cell r="E1429" t="str">
            <v>Rodoimport</v>
          </cell>
          <cell r="F1429">
            <v>44488</v>
          </cell>
          <cell r="G1429">
            <v>44496</v>
          </cell>
          <cell r="H1429">
            <v>44498</v>
          </cell>
          <cell r="I1429" t="str">
            <v>10.11.2021</v>
          </cell>
          <cell r="J1429" t="str">
            <v>26.10.2021</v>
          </cell>
          <cell r="K1429" t="str">
            <v>-</v>
          </cell>
          <cell r="L1429" t="str">
            <v>OK</v>
          </cell>
        </row>
        <row r="1430">
          <cell r="A1430" t="str">
            <v>AHW-44635I21</v>
          </cell>
          <cell r="B1430">
            <v>4003887</v>
          </cell>
          <cell r="C1430" t="str">
            <v>Original</v>
          </cell>
          <cell r="D1430" t="str">
            <v>CTS</v>
          </cell>
          <cell r="E1430" t="str">
            <v>JP</v>
          </cell>
          <cell r="F1430">
            <v>44488</v>
          </cell>
          <cell r="G1430">
            <v>44496</v>
          </cell>
          <cell r="H1430">
            <v>44498</v>
          </cell>
          <cell r="I1430" t="str">
            <v>21.10.2021</v>
          </cell>
          <cell r="J1430" t="str">
            <v>26.10.2021</v>
          </cell>
          <cell r="K1430" t="str">
            <v>-</v>
          </cell>
          <cell r="L1430" t="str">
            <v>OK</v>
          </cell>
        </row>
        <row r="1431">
          <cell r="A1431" t="str">
            <v>AHW-44636I21</v>
          </cell>
          <cell r="B1431">
            <v>78208349</v>
          </cell>
          <cell r="C1431" t="str">
            <v>Original</v>
          </cell>
          <cell r="D1431" t="str">
            <v>CEVA</v>
          </cell>
          <cell r="E1431" t="str">
            <v>Rodoimport</v>
          </cell>
          <cell r="F1431">
            <v>44488</v>
          </cell>
          <cell r="G1431">
            <v>44496</v>
          </cell>
          <cell r="H1431">
            <v>44498</v>
          </cell>
          <cell r="I1431" t="str">
            <v>21.10.2021</v>
          </cell>
          <cell r="J1431" t="str">
            <v>26.10.2021</v>
          </cell>
          <cell r="K1431" t="str">
            <v>-</v>
          </cell>
          <cell r="L1431" t="str">
            <v>OK</v>
          </cell>
        </row>
        <row r="1432">
          <cell r="A1432" t="str">
            <v>AHW-44637I21</v>
          </cell>
          <cell r="B1432">
            <v>78208359</v>
          </cell>
          <cell r="C1432" t="str">
            <v>Original</v>
          </cell>
          <cell r="D1432" t="str">
            <v>CEVA</v>
          </cell>
          <cell r="E1432" t="str">
            <v>Rodoimport</v>
          </cell>
          <cell r="F1432">
            <v>44488</v>
          </cell>
          <cell r="G1432">
            <v>44496</v>
          </cell>
          <cell r="H1432">
            <v>44498</v>
          </cell>
          <cell r="I1432" t="str">
            <v>21.10.2021</v>
          </cell>
          <cell r="J1432" t="str">
            <v>26.10.2021</v>
          </cell>
          <cell r="K1432" t="str">
            <v>-</v>
          </cell>
          <cell r="L1432" t="str">
            <v>OK</v>
          </cell>
        </row>
        <row r="1433">
          <cell r="A1433" t="str">
            <v>AHW-44674I21</v>
          </cell>
          <cell r="B1433">
            <v>4003896</v>
          </cell>
          <cell r="C1433" t="str">
            <v>Original</v>
          </cell>
          <cell r="D1433" t="str">
            <v>CTS</v>
          </cell>
          <cell r="E1433" t="str">
            <v>JP</v>
          </cell>
          <cell r="F1433">
            <v>44488</v>
          </cell>
          <cell r="G1433">
            <v>44496</v>
          </cell>
          <cell r="H1433">
            <v>44498</v>
          </cell>
          <cell r="I1433" t="str">
            <v>22.10.2021</v>
          </cell>
          <cell r="J1433" t="str">
            <v>26.10.2021</v>
          </cell>
          <cell r="K1433" t="str">
            <v>-</v>
          </cell>
          <cell r="L1433" t="str">
            <v>OK</v>
          </cell>
        </row>
        <row r="1434">
          <cell r="A1434" t="str">
            <v>AHW-44675I21</v>
          </cell>
          <cell r="B1434">
            <v>78208378</v>
          </cell>
          <cell r="C1434" t="str">
            <v>Original</v>
          </cell>
          <cell r="D1434" t="str">
            <v>CEVA</v>
          </cell>
          <cell r="E1434" t="str">
            <v>Rodoimport</v>
          </cell>
          <cell r="F1434">
            <v>44488</v>
          </cell>
          <cell r="G1434">
            <v>44496</v>
          </cell>
          <cell r="H1434">
            <v>44498</v>
          </cell>
          <cell r="I1434" t="str">
            <v>22.10.2021</v>
          </cell>
          <cell r="J1434" t="str">
            <v>26.10.2021</v>
          </cell>
          <cell r="K1434" t="str">
            <v>-</v>
          </cell>
          <cell r="L1434" t="str">
            <v>OK</v>
          </cell>
        </row>
        <row r="1435">
          <cell r="A1435" t="str">
            <v>AHW-44676I21</v>
          </cell>
          <cell r="B1435">
            <v>4003591</v>
          </cell>
          <cell r="C1435" t="str">
            <v>Original</v>
          </cell>
          <cell r="D1435" t="str">
            <v>CTS</v>
          </cell>
          <cell r="E1435" t="str">
            <v>JP</v>
          </cell>
          <cell r="F1435">
            <v>44488</v>
          </cell>
          <cell r="G1435">
            <v>44496</v>
          </cell>
          <cell r="H1435">
            <v>44498</v>
          </cell>
          <cell r="I1435" t="str">
            <v>10.11.2021</v>
          </cell>
          <cell r="J1435" t="str">
            <v>26.10.2021</v>
          </cell>
          <cell r="K1435" t="str">
            <v>-</v>
          </cell>
          <cell r="L1435" t="str">
            <v>OK</v>
          </cell>
        </row>
        <row r="1436">
          <cell r="A1436" t="str">
            <v>AHW-44713I21</v>
          </cell>
          <cell r="B1436">
            <v>4004216</v>
          </cell>
          <cell r="C1436" t="str">
            <v>Original</v>
          </cell>
          <cell r="D1436" t="str">
            <v>CTS</v>
          </cell>
          <cell r="E1436" t="str">
            <v>JP</v>
          </cell>
          <cell r="F1436">
            <v>44488</v>
          </cell>
          <cell r="G1436">
            <v>44496</v>
          </cell>
          <cell r="H1436">
            <v>44498</v>
          </cell>
          <cell r="I1436" t="str">
            <v>22.10.2021</v>
          </cell>
          <cell r="J1436" t="str">
            <v>26.10.2021</v>
          </cell>
          <cell r="K1436" t="str">
            <v>-</v>
          </cell>
          <cell r="L1436" t="str">
            <v>OK</v>
          </cell>
        </row>
        <row r="1437">
          <cell r="A1437" t="str">
            <v>AHW-44725I21</v>
          </cell>
          <cell r="B1437">
            <v>4004219</v>
          </cell>
          <cell r="C1437" t="str">
            <v>Original</v>
          </cell>
          <cell r="D1437" t="str">
            <v>CTS</v>
          </cell>
          <cell r="E1437" t="str">
            <v>JP</v>
          </cell>
          <cell r="F1437">
            <v>44487</v>
          </cell>
          <cell r="G1437">
            <v>44495</v>
          </cell>
          <cell r="H1437">
            <v>44497</v>
          </cell>
          <cell r="I1437" t="str">
            <v>22.10.2021</v>
          </cell>
          <cell r="J1437" t="str">
            <v>26.10.2021</v>
          </cell>
          <cell r="K1437" t="str">
            <v>-</v>
          </cell>
          <cell r="L1437" t="str">
            <v>OK</v>
          </cell>
        </row>
        <row r="1438">
          <cell r="A1438" t="str">
            <v>AHW-44729I21</v>
          </cell>
          <cell r="B1438">
            <v>4004220</v>
          </cell>
          <cell r="C1438" t="str">
            <v>Original</v>
          </cell>
          <cell r="D1438" t="str">
            <v>CTS</v>
          </cell>
          <cell r="E1438" t="str">
            <v>JP</v>
          </cell>
          <cell r="F1438">
            <v>44487</v>
          </cell>
          <cell r="G1438">
            <v>44495</v>
          </cell>
          <cell r="H1438">
            <v>44497</v>
          </cell>
          <cell r="I1438" t="str">
            <v>22.10.2021</v>
          </cell>
          <cell r="J1438" t="str">
            <v>26.10.2021</v>
          </cell>
          <cell r="K1438" t="str">
            <v>-</v>
          </cell>
          <cell r="L1438" t="str">
            <v>OK</v>
          </cell>
        </row>
        <row r="1439">
          <cell r="A1439" t="str">
            <v>AHW-44731I21</v>
          </cell>
          <cell r="B1439">
            <v>78208379</v>
          </cell>
          <cell r="C1439" t="str">
            <v>Original</v>
          </cell>
          <cell r="D1439" t="str">
            <v>CEVA</v>
          </cell>
          <cell r="E1439" t="str">
            <v>Rodoimport</v>
          </cell>
          <cell r="F1439">
            <v>44488</v>
          </cell>
          <cell r="G1439">
            <v>44496</v>
          </cell>
          <cell r="H1439">
            <v>44498</v>
          </cell>
          <cell r="I1439" t="str">
            <v>22.10.2021</v>
          </cell>
          <cell r="J1439" t="str">
            <v>26.10.2021</v>
          </cell>
          <cell r="K1439" t="str">
            <v>-</v>
          </cell>
          <cell r="L1439" t="str">
            <v>OK</v>
          </cell>
        </row>
        <row r="1440">
          <cell r="A1440" t="str">
            <v>AHW-44781I21</v>
          </cell>
          <cell r="B1440">
            <v>4004223</v>
          </cell>
          <cell r="C1440" t="str">
            <v>Original</v>
          </cell>
          <cell r="D1440" t="str">
            <v>CTS</v>
          </cell>
          <cell r="E1440" t="str">
            <v>JP</v>
          </cell>
          <cell r="F1440">
            <v>44488</v>
          </cell>
          <cell r="G1440">
            <v>44496</v>
          </cell>
          <cell r="H1440">
            <v>44498</v>
          </cell>
          <cell r="I1440" t="str">
            <v>10.11.2021</v>
          </cell>
          <cell r="J1440" t="str">
            <v>26.10.2021</v>
          </cell>
          <cell r="K1440" t="str">
            <v>-</v>
          </cell>
          <cell r="L1440" t="str">
            <v>OK</v>
          </cell>
        </row>
        <row r="1441">
          <cell r="A1441" t="str">
            <v>AHW-44777I21</v>
          </cell>
          <cell r="B1441">
            <v>4004201</v>
          </cell>
          <cell r="C1441" t="str">
            <v>Original</v>
          </cell>
          <cell r="D1441" t="str">
            <v>CTS</v>
          </cell>
          <cell r="E1441" t="str">
            <v>JP</v>
          </cell>
          <cell r="F1441">
            <v>44488</v>
          </cell>
          <cell r="G1441">
            <v>44496</v>
          </cell>
          <cell r="H1441">
            <v>44498</v>
          </cell>
          <cell r="I1441" t="str">
            <v>22.10.2021</v>
          </cell>
          <cell r="J1441" t="str">
            <v>26.10.2021</v>
          </cell>
          <cell r="K1441" t="str">
            <v>-</v>
          </cell>
          <cell r="L1441" t="str">
            <v>OK</v>
          </cell>
        </row>
        <row r="1442">
          <cell r="A1442" t="str">
            <v>AHW-44332I21</v>
          </cell>
          <cell r="B1442">
            <v>4003835</v>
          </cell>
          <cell r="C1442" t="str">
            <v>Original</v>
          </cell>
          <cell r="D1442" t="str">
            <v>CTS</v>
          </cell>
          <cell r="E1442" t="str">
            <v>JP</v>
          </cell>
          <cell r="F1442">
            <v>44487</v>
          </cell>
          <cell r="G1442">
            <v>44495</v>
          </cell>
          <cell r="H1442">
            <v>44497</v>
          </cell>
          <cell r="I1442" t="str">
            <v>09.11.2021</v>
          </cell>
          <cell r="J1442" t="str">
            <v>26.10.2021</v>
          </cell>
          <cell r="K1442" t="str">
            <v>-</v>
          </cell>
          <cell r="L1442" t="str">
            <v>OK</v>
          </cell>
        </row>
        <row r="1443">
          <cell r="A1443" t="str">
            <v>AHW-44881I21</v>
          </cell>
          <cell r="B1443">
            <v>78209076</v>
          </cell>
          <cell r="C1443" t="str">
            <v>Original</v>
          </cell>
          <cell r="D1443" t="str">
            <v>CEVA</v>
          </cell>
          <cell r="E1443" t="str">
            <v>Rodoimport</v>
          </cell>
          <cell r="F1443">
            <v>44488</v>
          </cell>
          <cell r="G1443">
            <v>44496</v>
          </cell>
          <cell r="H1443">
            <v>44498</v>
          </cell>
          <cell r="I1443" t="str">
            <v>21.10.2021</v>
          </cell>
          <cell r="J1443" t="str">
            <v>26.10.2021</v>
          </cell>
          <cell r="K1443" t="str">
            <v>-</v>
          </cell>
          <cell r="L1443" t="str">
            <v>OK</v>
          </cell>
        </row>
        <row r="1444">
          <cell r="A1444" t="str">
            <v>AHW-44778I21</v>
          </cell>
          <cell r="B1444">
            <v>78208490</v>
          </cell>
          <cell r="C1444" t="str">
            <v>Original</v>
          </cell>
          <cell r="D1444" t="str">
            <v>CEVA</v>
          </cell>
          <cell r="E1444" t="str">
            <v>Rodoimport</v>
          </cell>
          <cell r="F1444">
            <v>44487</v>
          </cell>
          <cell r="G1444">
            <v>44495</v>
          </cell>
          <cell r="H1444">
            <v>44497</v>
          </cell>
          <cell r="I1444" t="str">
            <v>10.11.2021</v>
          </cell>
          <cell r="J1444" t="str">
            <v>26.10.2021</v>
          </cell>
          <cell r="K1444" t="str">
            <v>-</v>
          </cell>
          <cell r="L1444" t="str">
            <v>OK</v>
          </cell>
        </row>
        <row r="1445">
          <cell r="A1445" t="str">
            <v>AHW-44782I21</v>
          </cell>
          <cell r="B1445">
            <v>78209021</v>
          </cell>
          <cell r="C1445" t="str">
            <v>Original</v>
          </cell>
          <cell r="D1445" t="str">
            <v>CEVA</v>
          </cell>
          <cell r="E1445" t="str">
            <v>Rodoimport</v>
          </cell>
          <cell r="F1445">
            <v>44487</v>
          </cell>
          <cell r="G1445">
            <v>44495</v>
          </cell>
          <cell r="H1445">
            <v>44497</v>
          </cell>
          <cell r="I1445" t="str">
            <v>10.11.2021</v>
          </cell>
          <cell r="J1445" t="str">
            <v>26.10.2021</v>
          </cell>
          <cell r="K1445" t="str">
            <v>-</v>
          </cell>
          <cell r="L1445" t="str">
            <v>OK</v>
          </cell>
        </row>
        <row r="1446">
          <cell r="A1446" t="str">
            <v>AHW-44809I21</v>
          </cell>
          <cell r="B1446">
            <v>78209031</v>
          </cell>
          <cell r="C1446" t="str">
            <v>Original</v>
          </cell>
          <cell r="D1446" t="str">
            <v>CEVA</v>
          </cell>
          <cell r="E1446" t="str">
            <v>Rodoimport</v>
          </cell>
          <cell r="F1446">
            <v>44488</v>
          </cell>
          <cell r="G1446">
            <v>44496</v>
          </cell>
          <cell r="H1446">
            <v>44498</v>
          </cell>
          <cell r="I1446" t="str">
            <v>10.11.2021</v>
          </cell>
          <cell r="J1446" t="str">
            <v>26.10.2021</v>
          </cell>
          <cell r="K1446" t="str">
            <v>-</v>
          </cell>
          <cell r="L1446" t="str">
            <v>OK</v>
          </cell>
        </row>
        <row r="1447">
          <cell r="A1447" t="str">
            <v>AHW-44173I21</v>
          </cell>
          <cell r="B1447">
            <v>78208128</v>
          </cell>
          <cell r="C1447" t="str">
            <v>Original</v>
          </cell>
          <cell r="D1447" t="str">
            <v>CEVA</v>
          </cell>
          <cell r="E1447" t="str">
            <v>Rodoimport</v>
          </cell>
          <cell r="F1447">
            <v>44488</v>
          </cell>
          <cell r="G1447">
            <v>44496</v>
          </cell>
          <cell r="H1447">
            <v>44498</v>
          </cell>
          <cell r="I1447" t="str">
            <v>22.10.2021</v>
          </cell>
          <cell r="J1447" t="str">
            <v>26.10.2021</v>
          </cell>
          <cell r="K1447" t="str">
            <v>-</v>
          </cell>
          <cell r="L1447" t="str">
            <v>OK</v>
          </cell>
        </row>
        <row r="1448">
          <cell r="A1448" t="str">
            <v>AHW-44308I21</v>
          </cell>
          <cell r="B1448">
            <v>78208182</v>
          </cell>
          <cell r="C1448" t="str">
            <v>Original</v>
          </cell>
          <cell r="D1448" t="str">
            <v>CEVA</v>
          </cell>
          <cell r="E1448" t="str">
            <v>Rodoimport</v>
          </cell>
          <cell r="F1448">
            <v>44487</v>
          </cell>
          <cell r="G1448">
            <v>44495</v>
          </cell>
          <cell r="H1448">
            <v>44497</v>
          </cell>
          <cell r="I1448" t="str">
            <v>21.10.2021</v>
          </cell>
          <cell r="J1448" t="str">
            <v>26.10.2021</v>
          </cell>
          <cell r="K1448" t="str">
            <v>-</v>
          </cell>
          <cell r="L1448" t="str">
            <v>OK</v>
          </cell>
        </row>
        <row r="1449">
          <cell r="A1449" t="str">
            <v>AHW-44309I21</v>
          </cell>
          <cell r="B1449">
            <v>78208197</v>
          </cell>
          <cell r="C1449" t="str">
            <v>Original</v>
          </cell>
          <cell r="D1449" t="str">
            <v>CEVA</v>
          </cell>
          <cell r="E1449" t="str">
            <v>Rodoimport</v>
          </cell>
          <cell r="F1449">
            <v>44487</v>
          </cell>
          <cell r="G1449">
            <v>44495</v>
          </cell>
          <cell r="H1449">
            <v>44497</v>
          </cell>
          <cell r="I1449" t="str">
            <v>22.10.2021</v>
          </cell>
          <cell r="J1449" t="str">
            <v>26.10.2021</v>
          </cell>
          <cell r="K1449" t="str">
            <v>-</v>
          </cell>
          <cell r="L1449" t="str">
            <v>OK</v>
          </cell>
        </row>
        <row r="1450">
          <cell r="A1450" t="str">
            <v>AHW-44310I21</v>
          </cell>
          <cell r="B1450">
            <v>78208199</v>
          </cell>
          <cell r="C1450" t="str">
            <v>Original</v>
          </cell>
          <cell r="D1450" t="str">
            <v>CEVA</v>
          </cell>
          <cell r="E1450" t="str">
            <v>Rodoimport</v>
          </cell>
          <cell r="F1450">
            <v>44488</v>
          </cell>
          <cell r="G1450">
            <v>44496</v>
          </cell>
          <cell r="H1450">
            <v>44498</v>
          </cell>
          <cell r="I1450" t="str">
            <v>21.10.2021</v>
          </cell>
          <cell r="J1450" t="str">
            <v>26.10.2021</v>
          </cell>
          <cell r="K1450" t="str">
            <v>-</v>
          </cell>
          <cell r="L1450" t="str">
            <v>OK</v>
          </cell>
        </row>
        <row r="1451">
          <cell r="A1451" t="str">
            <v>AHW-44370I21</v>
          </cell>
          <cell r="B1451">
            <v>78208290</v>
          </cell>
          <cell r="C1451" t="str">
            <v>Original</v>
          </cell>
          <cell r="D1451" t="str">
            <v>CEVA</v>
          </cell>
          <cell r="E1451" t="str">
            <v>Rodoimport</v>
          </cell>
          <cell r="F1451">
            <v>44487</v>
          </cell>
          <cell r="G1451">
            <v>44495</v>
          </cell>
          <cell r="H1451">
            <v>44497</v>
          </cell>
          <cell r="I1451" t="str">
            <v>22.10.2021</v>
          </cell>
          <cell r="J1451" t="str">
            <v>26.10.2021</v>
          </cell>
          <cell r="K1451" t="str">
            <v>-</v>
          </cell>
          <cell r="L1451" t="str">
            <v>OK</v>
          </cell>
        </row>
        <row r="1452">
          <cell r="A1452" t="str">
            <v>AHW-44371I21</v>
          </cell>
          <cell r="B1452">
            <v>78208281</v>
          </cell>
          <cell r="C1452" t="str">
            <v>Original</v>
          </cell>
          <cell r="D1452" t="str">
            <v>CEVA</v>
          </cell>
          <cell r="E1452" t="str">
            <v>Rodoimport</v>
          </cell>
          <cell r="F1452">
            <v>44487</v>
          </cell>
          <cell r="G1452">
            <v>44495</v>
          </cell>
          <cell r="H1452">
            <v>44497</v>
          </cell>
          <cell r="I1452" t="str">
            <v>22.10.2021</v>
          </cell>
          <cell r="J1452" t="str">
            <v>26.10.2021</v>
          </cell>
          <cell r="K1452" t="str">
            <v>-</v>
          </cell>
          <cell r="L1452" t="str">
            <v>OK</v>
          </cell>
        </row>
        <row r="1453">
          <cell r="A1453" t="str">
            <v>AHW-44471I21</v>
          </cell>
          <cell r="B1453">
            <v>78208308</v>
          </cell>
          <cell r="C1453" t="str">
            <v>Original</v>
          </cell>
          <cell r="D1453" t="str">
            <v>CEVA</v>
          </cell>
          <cell r="E1453" t="str">
            <v>Rodoimport</v>
          </cell>
          <cell r="F1453">
            <v>44488</v>
          </cell>
          <cell r="G1453">
            <v>44496</v>
          </cell>
          <cell r="H1453">
            <v>44498</v>
          </cell>
          <cell r="I1453" t="str">
            <v>10.11.2021</v>
          </cell>
          <cell r="J1453" t="str">
            <v>26.10.2021</v>
          </cell>
          <cell r="K1453" t="str">
            <v>-</v>
          </cell>
          <cell r="L1453" t="str">
            <v>OK</v>
          </cell>
        </row>
        <row r="1454">
          <cell r="A1454" t="str">
            <v>AHW-44635I21</v>
          </cell>
          <cell r="B1454">
            <v>4003887</v>
          </cell>
          <cell r="C1454" t="str">
            <v>Original</v>
          </cell>
          <cell r="D1454" t="str">
            <v>CTS</v>
          </cell>
          <cell r="E1454" t="str">
            <v>JP</v>
          </cell>
          <cell r="F1454">
            <v>44488</v>
          </cell>
          <cell r="G1454">
            <v>44496</v>
          </cell>
          <cell r="H1454">
            <v>44498</v>
          </cell>
          <cell r="I1454" t="str">
            <v>21.10.2021</v>
          </cell>
          <cell r="J1454" t="str">
            <v>26.10.2021</v>
          </cell>
          <cell r="K1454" t="str">
            <v>-</v>
          </cell>
          <cell r="L1454" t="str">
            <v>OK</v>
          </cell>
        </row>
        <row r="1455">
          <cell r="A1455" t="str">
            <v>AHW-44636I21</v>
          </cell>
          <cell r="B1455">
            <v>78208349</v>
          </cell>
          <cell r="C1455" t="str">
            <v>Original</v>
          </cell>
          <cell r="D1455" t="str">
            <v>CEVA</v>
          </cell>
          <cell r="E1455" t="str">
            <v>Rodoimport</v>
          </cell>
          <cell r="F1455">
            <v>44488</v>
          </cell>
          <cell r="G1455">
            <v>44496</v>
          </cell>
          <cell r="H1455">
            <v>44498</v>
          </cell>
          <cell r="I1455" t="str">
            <v>21.10.2021</v>
          </cell>
          <cell r="J1455" t="str">
            <v>26.10.2021</v>
          </cell>
          <cell r="K1455" t="str">
            <v>-</v>
          </cell>
          <cell r="L1455" t="str">
            <v>OK</v>
          </cell>
        </row>
        <row r="1456">
          <cell r="A1456" t="str">
            <v>AHW-44637I21</v>
          </cell>
          <cell r="B1456">
            <v>78208359</v>
          </cell>
          <cell r="C1456" t="str">
            <v>Original</v>
          </cell>
          <cell r="D1456" t="str">
            <v>CEVA</v>
          </cell>
          <cell r="E1456" t="str">
            <v>Rodoimport</v>
          </cell>
          <cell r="F1456">
            <v>44488</v>
          </cell>
          <cell r="G1456">
            <v>44496</v>
          </cell>
          <cell r="H1456">
            <v>44498</v>
          </cell>
          <cell r="I1456" t="str">
            <v>21.10.2021</v>
          </cell>
          <cell r="J1456" t="str">
            <v>26.10.2021</v>
          </cell>
          <cell r="K1456" t="str">
            <v>-</v>
          </cell>
          <cell r="L1456" t="str">
            <v>OK</v>
          </cell>
        </row>
        <row r="1457">
          <cell r="A1457" t="str">
            <v>AHW-44674I21</v>
          </cell>
          <cell r="B1457">
            <v>4003896</v>
          </cell>
          <cell r="C1457" t="str">
            <v>Original</v>
          </cell>
          <cell r="D1457" t="str">
            <v>CTS</v>
          </cell>
          <cell r="E1457" t="str">
            <v>JP</v>
          </cell>
          <cell r="F1457">
            <v>44488</v>
          </cell>
          <cell r="G1457">
            <v>44496</v>
          </cell>
          <cell r="H1457">
            <v>44498</v>
          </cell>
          <cell r="I1457" t="str">
            <v>22.10.2021</v>
          </cell>
          <cell r="J1457" t="str">
            <v>26.10.2021</v>
          </cell>
          <cell r="K1457" t="str">
            <v>-</v>
          </cell>
          <cell r="L1457" t="str">
            <v>OK</v>
          </cell>
        </row>
        <row r="1458">
          <cell r="A1458" t="str">
            <v>AHW-44675I21</v>
          </cell>
          <cell r="B1458">
            <v>78208378</v>
          </cell>
          <cell r="C1458" t="str">
            <v>Original</v>
          </cell>
          <cell r="D1458" t="str">
            <v>CEVA</v>
          </cell>
          <cell r="E1458" t="str">
            <v>Rodoimport</v>
          </cell>
          <cell r="F1458">
            <v>44488</v>
          </cell>
          <cell r="G1458">
            <v>44496</v>
          </cell>
          <cell r="H1458">
            <v>44498</v>
          </cell>
          <cell r="I1458" t="str">
            <v>22.10.2021</v>
          </cell>
          <cell r="J1458" t="str">
            <v>26.10.2021</v>
          </cell>
          <cell r="K1458" t="str">
            <v>-</v>
          </cell>
          <cell r="L1458" t="str">
            <v>OK</v>
          </cell>
        </row>
        <row r="1459">
          <cell r="A1459" t="str">
            <v>AHW-44676I21</v>
          </cell>
          <cell r="B1459">
            <v>4003591</v>
          </cell>
          <cell r="C1459" t="str">
            <v>Original</v>
          </cell>
          <cell r="D1459" t="str">
            <v>CTS</v>
          </cell>
          <cell r="E1459" t="str">
            <v>JP</v>
          </cell>
          <cell r="F1459">
            <v>44488</v>
          </cell>
          <cell r="G1459">
            <v>44496</v>
          </cell>
          <cell r="H1459">
            <v>44498</v>
          </cell>
          <cell r="I1459" t="str">
            <v>10.11.2021</v>
          </cell>
          <cell r="J1459" t="str">
            <v>26.10.2021</v>
          </cell>
          <cell r="K1459" t="str">
            <v>-</v>
          </cell>
          <cell r="L1459" t="str">
            <v>OK</v>
          </cell>
        </row>
        <row r="1460">
          <cell r="A1460" t="str">
            <v>AHW-44713I21</v>
          </cell>
          <cell r="B1460">
            <v>4004216</v>
          </cell>
          <cell r="C1460" t="str">
            <v>Original</v>
          </cell>
          <cell r="D1460" t="str">
            <v>CTS</v>
          </cell>
          <cell r="E1460" t="str">
            <v>JP</v>
          </cell>
          <cell r="F1460">
            <v>44488</v>
          </cell>
          <cell r="G1460">
            <v>44496</v>
          </cell>
          <cell r="H1460">
            <v>44498</v>
          </cell>
          <cell r="I1460" t="str">
            <v>22.10.2021</v>
          </cell>
          <cell r="J1460" t="str">
            <v>26.10.2021</v>
          </cell>
          <cell r="K1460" t="str">
            <v>-</v>
          </cell>
          <cell r="L1460" t="str">
            <v>OK</v>
          </cell>
        </row>
        <row r="1461">
          <cell r="A1461" t="str">
            <v>AHW-44725I21</v>
          </cell>
          <cell r="B1461">
            <v>4004219</v>
          </cell>
          <cell r="C1461" t="str">
            <v>Original</v>
          </cell>
          <cell r="D1461" t="str">
            <v>CTS</v>
          </cell>
          <cell r="E1461" t="str">
            <v>JP</v>
          </cell>
          <cell r="F1461">
            <v>44487</v>
          </cell>
          <cell r="G1461">
            <v>44495</v>
          </cell>
          <cell r="H1461">
            <v>44497</v>
          </cell>
          <cell r="I1461" t="str">
            <v>22.10.2021</v>
          </cell>
          <cell r="J1461" t="str">
            <v>26.10.2021</v>
          </cell>
          <cell r="K1461" t="str">
            <v>-</v>
          </cell>
          <cell r="L1461" t="str">
            <v>OK</v>
          </cell>
        </row>
        <row r="1462">
          <cell r="A1462" t="str">
            <v>AHW-44729I21</v>
          </cell>
          <cell r="B1462">
            <v>4004220</v>
          </cell>
          <cell r="C1462" t="str">
            <v>Original</v>
          </cell>
          <cell r="D1462" t="str">
            <v>CTS</v>
          </cell>
          <cell r="E1462" t="str">
            <v>JP</v>
          </cell>
          <cell r="F1462">
            <v>44487</v>
          </cell>
          <cell r="G1462">
            <v>44495</v>
          </cell>
          <cell r="H1462">
            <v>44497</v>
          </cell>
          <cell r="I1462" t="str">
            <v>22.10.2021</v>
          </cell>
          <cell r="J1462" t="str">
            <v>26.10.2021</v>
          </cell>
          <cell r="K1462" t="str">
            <v>-</v>
          </cell>
          <cell r="L1462" t="str">
            <v>OK</v>
          </cell>
        </row>
        <row r="1463">
          <cell r="A1463" t="str">
            <v>AHW-44731I21</v>
          </cell>
          <cell r="B1463">
            <v>78208379</v>
          </cell>
          <cell r="C1463" t="str">
            <v>Original</v>
          </cell>
          <cell r="D1463" t="str">
            <v>CEVA</v>
          </cell>
          <cell r="E1463" t="str">
            <v>Rodoimport</v>
          </cell>
          <cell r="F1463">
            <v>44488</v>
          </cell>
          <cell r="G1463">
            <v>44496</v>
          </cell>
          <cell r="H1463">
            <v>44498</v>
          </cell>
          <cell r="I1463" t="str">
            <v>22.10.2021</v>
          </cell>
          <cell r="J1463" t="str">
            <v>26.10.2021</v>
          </cell>
          <cell r="K1463" t="str">
            <v>-</v>
          </cell>
          <cell r="L1463" t="str">
            <v>OK</v>
          </cell>
        </row>
        <row r="1464">
          <cell r="A1464" t="str">
            <v>AHW-44781I21</v>
          </cell>
          <cell r="B1464">
            <v>4004223</v>
          </cell>
          <cell r="C1464" t="str">
            <v>Original</v>
          </cell>
          <cell r="D1464" t="str">
            <v>CTS</v>
          </cell>
          <cell r="E1464" t="str">
            <v>JP</v>
          </cell>
          <cell r="F1464">
            <v>44488</v>
          </cell>
          <cell r="G1464">
            <v>44496</v>
          </cell>
          <cell r="H1464">
            <v>44498</v>
          </cell>
          <cell r="I1464" t="str">
            <v>10.11.2021</v>
          </cell>
          <cell r="J1464" t="str">
            <v>26.10.2021</v>
          </cell>
          <cell r="K1464" t="str">
            <v>-</v>
          </cell>
          <cell r="L1464" t="str">
            <v>OK</v>
          </cell>
        </row>
        <row r="1465">
          <cell r="A1465" t="str">
            <v>AHW-44777I21</v>
          </cell>
          <cell r="B1465">
            <v>4004201</v>
          </cell>
          <cell r="C1465" t="str">
            <v>Original</v>
          </cell>
          <cell r="D1465" t="str">
            <v>CTS</v>
          </cell>
          <cell r="E1465" t="str">
            <v>JP</v>
          </cell>
          <cell r="F1465">
            <v>44488</v>
          </cell>
          <cell r="G1465">
            <v>44496</v>
          </cell>
          <cell r="H1465">
            <v>44498</v>
          </cell>
          <cell r="I1465" t="str">
            <v>22.10.2021</v>
          </cell>
          <cell r="J1465" t="str">
            <v>26.10.2021</v>
          </cell>
          <cell r="K1465" t="str">
            <v>-</v>
          </cell>
          <cell r="L1465" t="str">
            <v>OK</v>
          </cell>
        </row>
        <row r="1466">
          <cell r="A1466" t="str">
            <v>AHW-44332I21</v>
          </cell>
          <cell r="B1466">
            <v>4003835</v>
          </cell>
          <cell r="C1466" t="str">
            <v>Original</v>
          </cell>
          <cell r="D1466" t="str">
            <v>CTS</v>
          </cell>
          <cell r="E1466" t="str">
            <v>JP</v>
          </cell>
          <cell r="F1466">
            <v>44487</v>
          </cell>
          <cell r="G1466">
            <v>44495</v>
          </cell>
          <cell r="H1466">
            <v>44497</v>
          </cell>
          <cell r="I1466" t="str">
            <v>09.11.2021</v>
          </cell>
          <cell r="J1466" t="str">
            <v>26.10.2021</v>
          </cell>
          <cell r="K1466" t="str">
            <v>-</v>
          </cell>
          <cell r="L1466" t="str">
            <v>OK</v>
          </cell>
        </row>
        <row r="1467">
          <cell r="A1467" t="str">
            <v>AHW-44881I21</v>
          </cell>
          <cell r="B1467">
            <v>78209076</v>
          </cell>
          <cell r="C1467" t="str">
            <v>Original</v>
          </cell>
          <cell r="D1467" t="str">
            <v>CEVA</v>
          </cell>
          <cell r="E1467" t="str">
            <v>Rodoimport</v>
          </cell>
          <cell r="F1467">
            <v>44488</v>
          </cell>
          <cell r="G1467">
            <v>44496</v>
          </cell>
          <cell r="H1467">
            <v>44498</v>
          </cell>
          <cell r="I1467" t="str">
            <v>21.10.2021</v>
          </cell>
          <cell r="J1467" t="str">
            <v>26.10.2021</v>
          </cell>
          <cell r="K1467" t="str">
            <v>-</v>
          </cell>
          <cell r="L1467" t="str">
            <v>OK</v>
          </cell>
        </row>
        <row r="1468">
          <cell r="A1468" t="str">
            <v>AHW-44778I21</v>
          </cell>
          <cell r="B1468">
            <v>78208490</v>
          </cell>
          <cell r="C1468" t="str">
            <v>Original</v>
          </cell>
          <cell r="D1468" t="str">
            <v>CEVA</v>
          </cell>
          <cell r="E1468" t="str">
            <v>Rodoimport</v>
          </cell>
          <cell r="F1468">
            <v>44487</v>
          </cell>
          <cell r="G1468">
            <v>44495</v>
          </cell>
          <cell r="H1468">
            <v>44497</v>
          </cell>
          <cell r="I1468" t="str">
            <v>10.11.2021</v>
          </cell>
          <cell r="J1468" t="str">
            <v>26.10.2021</v>
          </cell>
          <cell r="K1468" t="str">
            <v>-</v>
          </cell>
          <cell r="L1468" t="str">
            <v>OK</v>
          </cell>
        </row>
        <row r="1469">
          <cell r="A1469" t="str">
            <v>AHW-44782I21</v>
          </cell>
          <cell r="B1469">
            <v>78209021</v>
          </cell>
          <cell r="C1469" t="str">
            <v>Original</v>
          </cell>
          <cell r="D1469" t="str">
            <v>CEVA</v>
          </cell>
          <cell r="E1469" t="str">
            <v>Rodoimport</v>
          </cell>
          <cell r="F1469">
            <v>44487</v>
          </cell>
          <cell r="G1469">
            <v>44495</v>
          </cell>
          <cell r="H1469">
            <v>44497</v>
          </cell>
          <cell r="I1469" t="str">
            <v>10.11.2021</v>
          </cell>
          <cell r="J1469" t="str">
            <v>26.10.2021</v>
          </cell>
          <cell r="K1469" t="str">
            <v>-</v>
          </cell>
          <cell r="L1469" t="str">
            <v>OK</v>
          </cell>
        </row>
        <row r="1470">
          <cell r="A1470" t="str">
            <v>AHW-44809I21</v>
          </cell>
          <cell r="B1470">
            <v>78209031</v>
          </cell>
          <cell r="C1470" t="str">
            <v>Original</v>
          </cell>
          <cell r="D1470" t="str">
            <v>CEVA</v>
          </cell>
          <cell r="E1470" t="str">
            <v>Rodoimport</v>
          </cell>
          <cell r="F1470">
            <v>44488</v>
          </cell>
          <cell r="G1470">
            <v>44496</v>
          </cell>
          <cell r="H1470">
            <v>44498</v>
          </cell>
          <cell r="I1470" t="str">
            <v>10.11.2021</v>
          </cell>
          <cell r="J1470" t="str">
            <v>26.10.2021</v>
          </cell>
          <cell r="K1470" t="str">
            <v>-</v>
          </cell>
          <cell r="L1470" t="str">
            <v>OK</v>
          </cell>
        </row>
        <row r="1471">
          <cell r="A1471" t="str">
            <v>AHW-44173I21</v>
          </cell>
          <cell r="B1471">
            <v>78208128</v>
          </cell>
          <cell r="C1471" t="str">
            <v>Original</v>
          </cell>
          <cell r="D1471" t="str">
            <v>CEVA</v>
          </cell>
          <cell r="E1471" t="str">
            <v>Rodoimport</v>
          </cell>
          <cell r="F1471">
            <v>44488</v>
          </cell>
          <cell r="G1471">
            <v>44496</v>
          </cell>
          <cell r="H1471">
            <v>44498</v>
          </cell>
          <cell r="I1471" t="str">
            <v>22.10.2021</v>
          </cell>
          <cell r="J1471" t="str">
            <v>26.10.2021</v>
          </cell>
          <cell r="K1471" t="str">
            <v>-</v>
          </cell>
          <cell r="L1471" t="str">
            <v>OK</v>
          </cell>
        </row>
        <row r="1472">
          <cell r="A1472" t="str">
            <v>AHW-44308I21</v>
          </cell>
          <cell r="B1472">
            <v>78208182</v>
          </cell>
          <cell r="C1472" t="str">
            <v>Original</v>
          </cell>
          <cell r="D1472" t="str">
            <v>CEVA</v>
          </cell>
          <cell r="E1472" t="str">
            <v>Rodoimport</v>
          </cell>
          <cell r="F1472">
            <v>44487</v>
          </cell>
          <cell r="G1472">
            <v>44495</v>
          </cell>
          <cell r="H1472">
            <v>44497</v>
          </cell>
          <cell r="I1472" t="str">
            <v>21.10.2021</v>
          </cell>
          <cell r="J1472" t="str">
            <v>26.10.2021</v>
          </cell>
          <cell r="K1472" t="str">
            <v>-</v>
          </cell>
          <cell r="L1472" t="str">
            <v>OK</v>
          </cell>
        </row>
        <row r="1473">
          <cell r="A1473" t="str">
            <v>AHW-44309I21</v>
          </cell>
          <cell r="B1473">
            <v>78208197</v>
          </cell>
          <cell r="C1473" t="str">
            <v>Original</v>
          </cell>
          <cell r="D1473" t="str">
            <v>CEVA</v>
          </cell>
          <cell r="E1473" t="str">
            <v>Rodoimport</v>
          </cell>
          <cell r="F1473">
            <v>44487</v>
          </cell>
          <cell r="G1473">
            <v>44495</v>
          </cell>
          <cell r="H1473">
            <v>44497</v>
          </cell>
          <cell r="I1473" t="str">
            <v>22.10.2021</v>
          </cell>
          <cell r="J1473" t="str">
            <v>26.10.2021</v>
          </cell>
          <cell r="K1473" t="str">
            <v>-</v>
          </cell>
          <cell r="L1473" t="str">
            <v>OK</v>
          </cell>
        </row>
        <row r="1474">
          <cell r="A1474" t="str">
            <v>AHW-44310I21</v>
          </cell>
          <cell r="B1474">
            <v>78208199</v>
          </cell>
          <cell r="C1474" t="str">
            <v>Original</v>
          </cell>
          <cell r="D1474" t="str">
            <v>CEVA</v>
          </cell>
          <cell r="E1474" t="str">
            <v>Rodoimport</v>
          </cell>
          <cell r="F1474">
            <v>44488</v>
          </cell>
          <cell r="G1474">
            <v>44496</v>
          </cell>
          <cell r="H1474">
            <v>44498</v>
          </cell>
          <cell r="I1474" t="str">
            <v>21.10.2021</v>
          </cell>
          <cell r="J1474" t="str">
            <v>26.10.2021</v>
          </cell>
          <cell r="K1474" t="str">
            <v>-</v>
          </cell>
          <cell r="L1474" t="str">
            <v>OK</v>
          </cell>
        </row>
        <row r="1475">
          <cell r="A1475" t="str">
            <v>AHW-44370I21</v>
          </cell>
          <cell r="B1475">
            <v>78208290</v>
          </cell>
          <cell r="C1475" t="str">
            <v>Original</v>
          </cell>
          <cell r="D1475" t="str">
            <v>CEVA</v>
          </cell>
          <cell r="E1475" t="str">
            <v>Rodoimport</v>
          </cell>
          <cell r="F1475">
            <v>44487</v>
          </cell>
          <cell r="G1475">
            <v>44495</v>
          </cell>
          <cell r="H1475">
            <v>44497</v>
          </cell>
          <cell r="I1475" t="str">
            <v>22.10.2021</v>
          </cell>
          <cell r="J1475" t="str">
            <v>26.10.2021</v>
          </cell>
          <cell r="K1475" t="str">
            <v>-</v>
          </cell>
          <cell r="L1475" t="str">
            <v>OK</v>
          </cell>
        </row>
        <row r="1476">
          <cell r="A1476" t="str">
            <v>AHW-44371I21</v>
          </cell>
          <cell r="B1476">
            <v>78208281</v>
          </cell>
          <cell r="C1476" t="str">
            <v>Original</v>
          </cell>
          <cell r="D1476" t="str">
            <v>CEVA</v>
          </cell>
          <cell r="E1476" t="str">
            <v>Rodoimport</v>
          </cell>
          <cell r="F1476">
            <v>44487</v>
          </cell>
          <cell r="G1476">
            <v>44495</v>
          </cell>
          <cell r="H1476">
            <v>44497</v>
          </cell>
          <cell r="I1476" t="str">
            <v>22.10.2021</v>
          </cell>
          <cell r="J1476" t="str">
            <v>26.10.2021</v>
          </cell>
          <cell r="K1476" t="str">
            <v>-</v>
          </cell>
          <cell r="L1476" t="str">
            <v>OK</v>
          </cell>
        </row>
        <row r="1477">
          <cell r="A1477" t="str">
            <v>AHW-44471I21</v>
          </cell>
          <cell r="B1477">
            <v>78208308</v>
          </cell>
          <cell r="C1477" t="str">
            <v>Original</v>
          </cell>
          <cell r="D1477" t="str">
            <v>CEVA</v>
          </cell>
          <cell r="E1477" t="str">
            <v>Rodoimport</v>
          </cell>
          <cell r="F1477">
            <v>44488</v>
          </cell>
          <cell r="G1477">
            <v>44496</v>
          </cell>
          <cell r="H1477">
            <v>44498</v>
          </cell>
          <cell r="I1477" t="str">
            <v>10.11.2021</v>
          </cell>
          <cell r="J1477" t="str">
            <v>26.10.2021</v>
          </cell>
          <cell r="K1477" t="str">
            <v>-</v>
          </cell>
          <cell r="L1477" t="str">
            <v>OK</v>
          </cell>
        </row>
        <row r="1478">
          <cell r="A1478" t="str">
            <v>AHW-44635I21</v>
          </cell>
          <cell r="B1478">
            <v>4003887</v>
          </cell>
          <cell r="C1478" t="str">
            <v>Original</v>
          </cell>
          <cell r="D1478" t="str">
            <v>CTS</v>
          </cell>
          <cell r="E1478" t="str">
            <v>JP</v>
          </cell>
          <cell r="F1478">
            <v>44488</v>
          </cell>
          <cell r="G1478">
            <v>44496</v>
          </cell>
          <cell r="H1478">
            <v>44498</v>
          </cell>
          <cell r="I1478" t="str">
            <v>21.10.2021</v>
          </cell>
          <cell r="J1478" t="str">
            <v>26.10.2021</v>
          </cell>
          <cell r="K1478" t="str">
            <v>-</v>
          </cell>
          <cell r="L1478" t="str">
            <v>OK</v>
          </cell>
        </row>
        <row r="1479">
          <cell r="A1479" t="str">
            <v>AHW-44636I21</v>
          </cell>
          <cell r="B1479">
            <v>78208349</v>
          </cell>
          <cell r="C1479" t="str">
            <v>Original</v>
          </cell>
          <cell r="D1479" t="str">
            <v>CEVA</v>
          </cell>
          <cell r="E1479" t="str">
            <v>Rodoimport</v>
          </cell>
          <cell r="F1479">
            <v>44488</v>
          </cell>
          <cell r="G1479">
            <v>44496</v>
          </cell>
          <cell r="H1479">
            <v>44498</v>
          </cell>
          <cell r="I1479" t="str">
            <v>21.10.2021</v>
          </cell>
          <cell r="J1479" t="str">
            <v>26.10.2021</v>
          </cell>
          <cell r="K1479" t="str">
            <v>-</v>
          </cell>
          <cell r="L1479" t="str">
            <v>OK</v>
          </cell>
        </row>
        <row r="1480">
          <cell r="A1480" t="str">
            <v>AHW-44637I21</v>
          </cell>
          <cell r="B1480">
            <v>78208359</v>
          </cell>
          <cell r="C1480" t="str">
            <v>Original</v>
          </cell>
          <cell r="D1480" t="str">
            <v>CEVA</v>
          </cell>
          <cell r="E1480" t="str">
            <v>Rodoimport</v>
          </cell>
          <cell r="F1480">
            <v>44488</v>
          </cell>
          <cell r="G1480">
            <v>44496</v>
          </cell>
          <cell r="H1480">
            <v>44498</v>
          </cell>
          <cell r="I1480" t="str">
            <v>21.10.2021</v>
          </cell>
          <cell r="J1480" t="str">
            <v>26.10.2021</v>
          </cell>
          <cell r="K1480" t="str">
            <v>-</v>
          </cell>
          <cell r="L1480" t="str">
            <v>OK</v>
          </cell>
        </row>
        <row r="1481">
          <cell r="A1481" t="str">
            <v>AHW-44890I21</v>
          </cell>
          <cell r="B1481">
            <v>78209118</v>
          </cell>
          <cell r="C1481" t="str">
            <v>Original</v>
          </cell>
          <cell r="D1481" t="str">
            <v>CEVA</v>
          </cell>
          <cell r="E1481" t="str">
            <v>Rodoimport</v>
          </cell>
          <cell r="F1481">
            <v>44495</v>
          </cell>
          <cell r="G1481">
            <v>44503</v>
          </cell>
          <cell r="H1481">
            <v>44505</v>
          </cell>
          <cell r="I1481" t="str">
            <v>10.11.2021</v>
          </cell>
          <cell r="J1481" t="str">
            <v>10.11.2021</v>
          </cell>
          <cell r="K1481" t="str">
            <v>-</v>
          </cell>
          <cell r="L1481" t="str">
            <v>OK</v>
          </cell>
        </row>
        <row r="1482">
          <cell r="A1482" t="str">
            <v>AHW-44977I21</v>
          </cell>
          <cell r="B1482">
            <v>78209188</v>
          </cell>
          <cell r="C1482" t="str">
            <v>Original</v>
          </cell>
          <cell r="D1482" t="str">
            <v>CEVA</v>
          </cell>
          <cell r="E1482" t="str">
            <v>Rodoimport</v>
          </cell>
          <cell r="F1482">
            <v>44496</v>
          </cell>
          <cell r="G1482">
            <v>44504</v>
          </cell>
          <cell r="H1482">
            <v>44506</v>
          </cell>
          <cell r="I1482" t="str">
            <v>10.11.2021</v>
          </cell>
          <cell r="J1482" t="str">
            <v>10.11.2021</v>
          </cell>
          <cell r="K1482" t="str">
            <v>-</v>
          </cell>
          <cell r="L1482" t="str">
            <v>OK</v>
          </cell>
        </row>
        <row r="1483">
          <cell r="A1483" t="str">
            <v>AHW-44878I21</v>
          </cell>
          <cell r="B1483">
            <v>78209075</v>
          </cell>
          <cell r="C1483" t="str">
            <v>Original</v>
          </cell>
          <cell r="D1483" t="str">
            <v>CEVA</v>
          </cell>
          <cell r="E1483" t="str">
            <v>Rodoimport</v>
          </cell>
          <cell r="F1483">
            <v>44495</v>
          </cell>
          <cell r="G1483">
            <v>44503</v>
          </cell>
          <cell r="H1483">
            <v>44505</v>
          </cell>
          <cell r="I1483" t="str">
            <v>10.11.2021</v>
          </cell>
          <cell r="J1483" t="str">
            <v>10.11.2021</v>
          </cell>
          <cell r="K1483" t="str">
            <v>-</v>
          </cell>
          <cell r="L1483" t="str">
            <v>OK</v>
          </cell>
        </row>
        <row r="1484">
          <cell r="A1484" t="str">
            <v>AHW-44975I21</v>
          </cell>
          <cell r="B1484">
            <v>78209089</v>
          </cell>
          <cell r="C1484" t="str">
            <v>Original</v>
          </cell>
          <cell r="D1484" t="str">
            <v>CEVA</v>
          </cell>
          <cell r="E1484" t="str">
            <v>Rodoimport</v>
          </cell>
          <cell r="F1484">
            <v>44495</v>
          </cell>
          <cell r="G1484">
            <v>44503</v>
          </cell>
          <cell r="H1484">
            <v>44505</v>
          </cell>
          <cell r="I1484" t="str">
            <v>10.11.2021</v>
          </cell>
          <cell r="J1484" t="str">
            <v>10.11.2021</v>
          </cell>
          <cell r="K1484" t="str">
            <v>-</v>
          </cell>
          <cell r="L1484" t="str">
            <v>OK</v>
          </cell>
        </row>
        <row r="1485">
          <cell r="A1485" t="str">
            <v>AHW-44880I21</v>
          </cell>
          <cell r="B1485">
            <v>78209064</v>
          </cell>
          <cell r="C1485" t="str">
            <v>Original</v>
          </cell>
          <cell r="D1485" t="str">
            <v>CEVA</v>
          </cell>
          <cell r="E1485" t="str">
            <v>Rodoimport</v>
          </cell>
          <cell r="F1485">
            <v>44497</v>
          </cell>
          <cell r="G1485">
            <v>44505</v>
          </cell>
          <cell r="H1485">
            <v>44507</v>
          </cell>
          <cell r="I1485" t="str">
            <v>19.11.2021</v>
          </cell>
          <cell r="J1485" t="str">
            <v>10.11.2021</v>
          </cell>
          <cell r="K1485" t="str">
            <v>-</v>
          </cell>
          <cell r="L1485" t="str">
            <v>OK</v>
          </cell>
        </row>
        <row r="1486">
          <cell r="A1486" t="str">
            <v>AHW-44889I21</v>
          </cell>
          <cell r="B1486">
            <v>78209099</v>
          </cell>
          <cell r="C1486" t="str">
            <v>Original</v>
          </cell>
          <cell r="D1486" t="str">
            <v>CEVA</v>
          </cell>
          <cell r="E1486" t="str">
            <v>Rodoimport</v>
          </cell>
          <cell r="F1486">
            <v>44497</v>
          </cell>
          <cell r="G1486">
            <v>44505</v>
          </cell>
          <cell r="H1486">
            <v>44507</v>
          </cell>
          <cell r="I1486" t="str">
            <v>04.11.2021</v>
          </cell>
          <cell r="J1486" t="str">
            <v>10.11.2021</v>
          </cell>
          <cell r="K1486" t="str">
            <v>-</v>
          </cell>
          <cell r="L1486" t="str">
            <v>OK</v>
          </cell>
        </row>
        <row r="1487">
          <cell r="A1487" t="str">
            <v>AHW-44808I21</v>
          </cell>
          <cell r="B1487">
            <v>78209043</v>
          </cell>
          <cell r="C1487" t="str">
            <v>Original</v>
          </cell>
          <cell r="D1487" t="str">
            <v>CEVA</v>
          </cell>
          <cell r="E1487" t="str">
            <v>Rodoimport</v>
          </cell>
          <cell r="F1487">
            <v>44498</v>
          </cell>
          <cell r="G1487">
            <v>44506</v>
          </cell>
          <cell r="H1487">
            <v>44508</v>
          </cell>
          <cell r="I1487" t="str">
            <v>19.11.2021</v>
          </cell>
          <cell r="J1487" t="str">
            <v>10.11.2021</v>
          </cell>
          <cell r="K1487" t="str">
            <v>-</v>
          </cell>
          <cell r="L1487" t="str">
            <v>OK</v>
          </cell>
        </row>
        <row r="1488">
          <cell r="A1488" t="str">
            <v>AHW-44888I21</v>
          </cell>
          <cell r="B1488">
            <v>78209100</v>
          </cell>
          <cell r="C1488" t="str">
            <v>Original</v>
          </cell>
          <cell r="D1488" t="str">
            <v>CEVA</v>
          </cell>
          <cell r="E1488" t="str">
            <v>Rodoimport</v>
          </cell>
          <cell r="F1488">
            <v>44498</v>
          </cell>
          <cell r="G1488">
            <v>44506</v>
          </cell>
          <cell r="H1488">
            <v>44508</v>
          </cell>
          <cell r="I1488" t="str">
            <v>04.11.2021</v>
          </cell>
          <cell r="J1488" t="str">
            <v>10.11.2021</v>
          </cell>
          <cell r="K1488" t="str">
            <v>-</v>
          </cell>
          <cell r="L1488" t="str">
            <v>OK</v>
          </cell>
        </row>
        <row r="1489">
          <cell r="A1489" t="str">
            <v>AHW-44974I21</v>
          </cell>
          <cell r="B1489">
            <v>78209130</v>
          </cell>
          <cell r="C1489" t="str">
            <v>Original</v>
          </cell>
          <cell r="D1489" t="str">
            <v>CEVA</v>
          </cell>
          <cell r="E1489" t="str">
            <v>Rodoimport</v>
          </cell>
          <cell r="F1489">
            <v>44498</v>
          </cell>
          <cell r="G1489">
            <v>44506</v>
          </cell>
          <cell r="H1489">
            <v>44508</v>
          </cell>
          <cell r="I1489" t="str">
            <v>17.11.2021</v>
          </cell>
          <cell r="J1489" t="str">
            <v>11.11.2021</v>
          </cell>
          <cell r="K1489" t="str">
            <v>-</v>
          </cell>
          <cell r="L1489" t="str">
            <v>OK</v>
          </cell>
        </row>
        <row r="1490">
          <cell r="A1490" t="str">
            <v>AHW-44885I21</v>
          </cell>
          <cell r="B1490">
            <v>78209083</v>
          </cell>
          <cell r="C1490" t="str">
            <v>Original</v>
          </cell>
          <cell r="D1490" t="str">
            <v>CEVA</v>
          </cell>
          <cell r="E1490" t="str">
            <v>Rodoimport</v>
          </cell>
          <cell r="F1490">
            <v>44503</v>
          </cell>
          <cell r="G1490">
            <v>44511</v>
          </cell>
          <cell r="H1490">
            <v>44513</v>
          </cell>
          <cell r="I1490" t="str">
            <v>17.11.2021</v>
          </cell>
          <cell r="J1490" t="str">
            <v>11.11.2021</v>
          </cell>
          <cell r="K1490" t="str">
            <v>-</v>
          </cell>
          <cell r="L1490" t="str">
            <v>OK</v>
          </cell>
        </row>
        <row r="1491">
          <cell r="A1491" t="str">
            <v>AHW-45191I21</v>
          </cell>
          <cell r="B1491">
            <v>4004371</v>
          </cell>
          <cell r="C1491" t="str">
            <v>Original</v>
          </cell>
          <cell r="D1491" t="str">
            <v>CTS</v>
          </cell>
          <cell r="E1491" t="str">
            <v>JP</v>
          </cell>
          <cell r="F1491">
            <v>44504</v>
          </cell>
          <cell r="G1491">
            <v>44512</v>
          </cell>
          <cell r="H1491">
            <v>44514</v>
          </cell>
          <cell r="I1491" t="str">
            <v>19.11.2021</v>
          </cell>
          <cell r="J1491" t="str">
            <v>11.11.2021</v>
          </cell>
          <cell r="K1491" t="str">
            <v>-</v>
          </cell>
          <cell r="L1491" t="str">
            <v>OK</v>
          </cell>
        </row>
        <row r="1492">
          <cell r="A1492" t="str">
            <v>AHW-45075I21</v>
          </cell>
          <cell r="B1492">
            <v>78209239</v>
          </cell>
          <cell r="C1492" t="str">
            <v>Original</v>
          </cell>
          <cell r="D1492" t="str">
            <v>CEVA</v>
          </cell>
          <cell r="E1492" t="str">
            <v>Rodoimport</v>
          </cell>
          <cell r="F1492">
            <v>44504</v>
          </cell>
          <cell r="G1492">
            <v>44512</v>
          </cell>
          <cell r="H1492">
            <v>44514</v>
          </cell>
          <cell r="I1492" t="str">
            <v>10.11.2021</v>
          </cell>
          <cell r="J1492" t="str">
            <v>11.11.2021</v>
          </cell>
          <cell r="K1492" t="str">
            <v>-</v>
          </cell>
          <cell r="L1492" t="str">
            <v>OK</v>
          </cell>
        </row>
        <row r="1493">
          <cell r="A1493" t="str">
            <v>AHW-45198I21</v>
          </cell>
          <cell r="B1493">
            <v>4004384</v>
          </cell>
          <cell r="C1493" t="str">
            <v>Original</v>
          </cell>
          <cell r="D1493" t="str">
            <v>CTS</v>
          </cell>
          <cell r="E1493" t="str">
            <v>JP</v>
          </cell>
          <cell r="F1493">
            <v>44505</v>
          </cell>
          <cell r="G1493">
            <v>44513</v>
          </cell>
          <cell r="H1493">
            <v>44515</v>
          </cell>
          <cell r="I1493" t="str">
            <v>10.11.2021</v>
          </cell>
          <cell r="J1493" t="str">
            <v>11.11.2021</v>
          </cell>
          <cell r="K1493" t="str">
            <v>-</v>
          </cell>
          <cell r="L1493" t="str">
            <v>OK</v>
          </cell>
        </row>
        <row r="1494">
          <cell r="A1494" t="str">
            <v>AHW-44963I21</v>
          </cell>
          <cell r="B1494">
            <v>78209180</v>
          </cell>
          <cell r="C1494" t="str">
            <v>Original</v>
          </cell>
          <cell r="D1494" t="str">
            <v>CEVA</v>
          </cell>
          <cell r="E1494" t="str">
            <v>Rodoimport</v>
          </cell>
          <cell r="F1494">
            <v>44508</v>
          </cell>
          <cell r="G1494">
            <v>44516</v>
          </cell>
          <cell r="H1494">
            <v>44518</v>
          </cell>
          <cell r="I1494" t="str">
            <v>10.11.2021</v>
          </cell>
          <cell r="J1494" t="str">
            <v>19.11.2021</v>
          </cell>
          <cell r="K1494" t="str">
            <v>-</v>
          </cell>
          <cell r="L1494" t="str">
            <v>OK</v>
          </cell>
        </row>
        <row r="1495">
          <cell r="A1495" t="str">
            <v>AHW-45178I21</v>
          </cell>
          <cell r="B1495">
            <v>78209347</v>
          </cell>
          <cell r="C1495" t="str">
            <v>Original</v>
          </cell>
          <cell r="D1495" t="str">
            <v>CEVA</v>
          </cell>
          <cell r="E1495" t="str">
            <v>Rodoimport</v>
          </cell>
          <cell r="F1495">
            <v>44508</v>
          </cell>
          <cell r="G1495">
            <v>44516</v>
          </cell>
          <cell r="H1495">
            <v>44518</v>
          </cell>
          <cell r="I1495" t="str">
            <v>10.11.2021</v>
          </cell>
          <cell r="J1495" t="str">
            <v>19.11.2021</v>
          </cell>
          <cell r="K1495" t="str">
            <v>-</v>
          </cell>
          <cell r="L1495" t="str">
            <v>OK</v>
          </cell>
        </row>
        <row r="1496">
          <cell r="A1496" t="str">
            <v>AHW-44970I21</v>
          </cell>
          <cell r="B1496">
            <v>78209152</v>
          </cell>
          <cell r="C1496" t="str">
            <v>Original</v>
          </cell>
          <cell r="D1496" t="str">
            <v>CEVA</v>
          </cell>
          <cell r="E1496" t="str">
            <v>Rodoimport</v>
          </cell>
          <cell r="F1496">
            <v>44509</v>
          </cell>
          <cell r="G1496">
            <v>44517</v>
          </cell>
          <cell r="H1496">
            <v>44519</v>
          </cell>
          <cell r="I1496" t="str">
            <v>17.11.2021</v>
          </cell>
          <cell r="J1496" t="str">
            <v>19.11.2021</v>
          </cell>
          <cell r="K1496" t="str">
            <v>-</v>
          </cell>
          <cell r="L1496" t="str">
            <v>OK</v>
          </cell>
        </row>
        <row r="1497">
          <cell r="A1497" t="str">
            <v>AHW-45029I21</v>
          </cell>
          <cell r="B1497">
            <v>78209213</v>
          </cell>
          <cell r="C1497" t="str">
            <v>Original</v>
          </cell>
          <cell r="D1497" t="str">
            <v>CEVA</v>
          </cell>
          <cell r="E1497" t="str">
            <v>Rodoimport</v>
          </cell>
          <cell r="F1497">
            <v>44508</v>
          </cell>
          <cell r="G1497">
            <v>44516</v>
          </cell>
          <cell r="H1497">
            <v>44518</v>
          </cell>
          <cell r="I1497" t="str">
            <v>17.11.2021</v>
          </cell>
          <cell r="J1497" t="str">
            <v>19.11.2021</v>
          </cell>
          <cell r="K1497" t="str">
            <v>-</v>
          </cell>
          <cell r="L1497" t="str">
            <v>OK</v>
          </cell>
        </row>
        <row r="1498">
          <cell r="A1498" t="str">
            <v>AHW-44879I21</v>
          </cell>
          <cell r="B1498">
            <v>78209077</v>
          </cell>
          <cell r="C1498" t="str">
            <v>Original</v>
          </cell>
          <cell r="D1498" t="str">
            <v>CEVA</v>
          </cell>
          <cell r="E1498" t="str">
            <v>Rodoimport</v>
          </cell>
          <cell r="F1498">
            <v>44509</v>
          </cell>
          <cell r="G1498">
            <v>44517</v>
          </cell>
          <cell r="H1498">
            <v>44519</v>
          </cell>
          <cell r="I1498" t="str">
            <v>19.11.2021</v>
          </cell>
          <cell r="J1498" t="str">
            <v>19.11.2021</v>
          </cell>
          <cell r="K1498" t="str">
            <v>-</v>
          </cell>
          <cell r="L1498" t="str">
            <v>OK</v>
          </cell>
        </row>
        <row r="1499">
          <cell r="A1499" t="str">
            <v>AHW-44971I21</v>
          </cell>
          <cell r="B1499">
            <v>78209132</v>
          </cell>
          <cell r="C1499" t="str">
            <v>Original</v>
          </cell>
          <cell r="D1499" t="str">
            <v>CEVA</v>
          </cell>
          <cell r="E1499" t="str">
            <v>Rodoimport</v>
          </cell>
          <cell r="F1499">
            <v>44509</v>
          </cell>
          <cell r="G1499">
            <v>44517</v>
          </cell>
          <cell r="H1499">
            <v>44519</v>
          </cell>
          <cell r="I1499" t="str">
            <v>17.11.2021</v>
          </cell>
          <cell r="J1499" t="str">
            <v>19.11.2021</v>
          </cell>
          <cell r="K1499" t="str">
            <v>-</v>
          </cell>
          <cell r="L1499" t="str">
            <v>OK</v>
          </cell>
        </row>
        <row r="1500">
          <cell r="A1500" t="str">
            <v>AHW-44776I21</v>
          </cell>
          <cell r="B1500">
            <v>78208461</v>
          </cell>
          <cell r="C1500" t="str">
            <v>Original</v>
          </cell>
          <cell r="D1500" t="str">
            <v>CEVA</v>
          </cell>
          <cell r="E1500" t="str">
            <v>Rodoimport</v>
          </cell>
          <cell r="F1500">
            <v>44509</v>
          </cell>
          <cell r="G1500">
            <v>44517</v>
          </cell>
          <cell r="H1500">
            <v>44519</v>
          </cell>
          <cell r="I1500" t="str">
            <v>17.11.2021</v>
          </cell>
          <cell r="J1500" t="str">
            <v>19.11.2021</v>
          </cell>
          <cell r="K1500" t="str">
            <v>-</v>
          </cell>
          <cell r="L1500" t="str">
            <v>OK</v>
          </cell>
        </row>
        <row r="1501">
          <cell r="A1501" t="str">
            <v>AHW-44969I21</v>
          </cell>
          <cell r="B1501">
            <v>78209156</v>
          </cell>
          <cell r="C1501" t="str">
            <v>Original</v>
          </cell>
          <cell r="D1501" t="str">
            <v>CEVA</v>
          </cell>
          <cell r="E1501" t="str">
            <v>Rodoimport</v>
          </cell>
          <cell r="F1501">
            <v>44509</v>
          </cell>
          <cell r="G1501">
            <v>44517</v>
          </cell>
          <cell r="H1501">
            <v>44519</v>
          </cell>
          <cell r="I1501" t="str">
            <v>17.11.2021</v>
          </cell>
          <cell r="J1501" t="str">
            <v>19.11.2021</v>
          </cell>
          <cell r="K1501" t="str">
            <v>-</v>
          </cell>
          <cell r="L1501" t="str">
            <v>OK</v>
          </cell>
        </row>
        <row r="1502">
          <cell r="A1502" t="str">
            <v>AHW-44972I21</v>
          </cell>
          <cell r="B1502">
            <v>78209131</v>
          </cell>
          <cell r="C1502" t="str">
            <v>Original</v>
          </cell>
          <cell r="D1502" t="str">
            <v>CEVA</v>
          </cell>
          <cell r="E1502" t="str">
            <v>Rodoimport</v>
          </cell>
          <cell r="F1502">
            <v>44509</v>
          </cell>
          <cell r="G1502">
            <v>44517</v>
          </cell>
          <cell r="H1502">
            <v>44519</v>
          </cell>
          <cell r="I1502" t="str">
            <v>17.11.2021</v>
          </cell>
          <cell r="J1502" t="str">
            <v>19.11.2021</v>
          </cell>
          <cell r="K1502" t="str">
            <v>-</v>
          </cell>
          <cell r="L1502" t="str">
            <v>OK</v>
          </cell>
        </row>
        <row r="1503">
          <cell r="A1503" t="str">
            <v>AHW-44966I21</v>
          </cell>
          <cell r="B1503">
            <v>78209174</v>
          </cell>
          <cell r="C1503" t="str">
            <v>Original</v>
          </cell>
          <cell r="D1503" t="str">
            <v>CEVA</v>
          </cell>
          <cell r="E1503" t="str">
            <v>Rodoimport</v>
          </cell>
          <cell r="F1503">
            <v>44509</v>
          </cell>
          <cell r="G1503">
            <v>44517</v>
          </cell>
          <cell r="H1503">
            <v>44519</v>
          </cell>
          <cell r="I1503" t="str">
            <v>17.11.2021</v>
          </cell>
          <cell r="J1503" t="str">
            <v>19.11.2021</v>
          </cell>
          <cell r="K1503" t="str">
            <v>-</v>
          </cell>
          <cell r="L1503" t="str">
            <v>OK</v>
          </cell>
        </row>
        <row r="1504">
          <cell r="A1504" t="str">
            <v>AHW-44968I21</v>
          </cell>
          <cell r="B1504">
            <v>78209172</v>
          </cell>
          <cell r="C1504" t="str">
            <v>Original</v>
          </cell>
          <cell r="D1504" t="str">
            <v>CEVA</v>
          </cell>
          <cell r="E1504" t="str">
            <v>Rodoimport</v>
          </cell>
          <cell r="F1504">
            <v>44509</v>
          </cell>
          <cell r="G1504">
            <v>44517</v>
          </cell>
          <cell r="H1504">
            <v>44519</v>
          </cell>
          <cell r="I1504" t="str">
            <v>17.11.2021</v>
          </cell>
          <cell r="J1504" t="str">
            <v>19.11.2021</v>
          </cell>
          <cell r="K1504" t="str">
            <v>-</v>
          </cell>
          <cell r="L1504" t="str">
            <v>OK</v>
          </cell>
        </row>
        <row r="1505">
          <cell r="A1505" t="str">
            <v>AHW-45020I21</v>
          </cell>
          <cell r="B1505">
            <v>78209202</v>
          </cell>
          <cell r="C1505" t="str">
            <v>Original</v>
          </cell>
          <cell r="D1505" t="str">
            <v>CEVA</v>
          </cell>
          <cell r="E1505" t="str">
            <v>Rodoimport</v>
          </cell>
          <cell r="F1505">
            <v>44509</v>
          </cell>
          <cell r="G1505">
            <v>44517</v>
          </cell>
          <cell r="H1505">
            <v>44519</v>
          </cell>
          <cell r="I1505" t="str">
            <v>17.11.2021</v>
          </cell>
          <cell r="J1505" t="str">
            <v>19.11.2021</v>
          </cell>
          <cell r="K1505" t="str">
            <v>-</v>
          </cell>
          <cell r="L1505" t="str">
            <v>OK</v>
          </cell>
        </row>
        <row r="1506">
          <cell r="A1506" t="str">
            <v>AHW-45074I21</v>
          </cell>
          <cell r="B1506">
            <v>78209241</v>
          </cell>
          <cell r="C1506" t="str">
            <v>Original</v>
          </cell>
          <cell r="D1506" t="str">
            <v>CEVA</v>
          </cell>
          <cell r="E1506" t="str">
            <v>Rodoimport</v>
          </cell>
          <cell r="F1506">
            <v>44509</v>
          </cell>
          <cell r="G1506">
            <v>44517</v>
          </cell>
          <cell r="H1506">
            <v>44519</v>
          </cell>
          <cell r="I1506" t="str">
            <v>17.11.2021</v>
          </cell>
          <cell r="J1506" t="str">
            <v>19.11.2021</v>
          </cell>
          <cell r="K1506" t="str">
            <v>-</v>
          </cell>
          <cell r="L1506" t="str">
            <v>OK</v>
          </cell>
        </row>
        <row r="1507">
          <cell r="A1507" t="str">
            <v>AHW-45176I21</v>
          </cell>
          <cell r="B1507">
            <v>4004370</v>
          </cell>
          <cell r="C1507" t="str">
            <v>Original</v>
          </cell>
          <cell r="D1507" t="str">
            <v>CTS</v>
          </cell>
          <cell r="E1507" t="str">
            <v>JP</v>
          </cell>
          <cell r="F1507">
            <v>44509</v>
          </cell>
          <cell r="G1507">
            <v>44517</v>
          </cell>
          <cell r="H1507">
            <v>44519</v>
          </cell>
          <cell r="I1507" t="str">
            <v>17.11.2021</v>
          </cell>
          <cell r="J1507" t="str">
            <v>19.11.2021</v>
          </cell>
          <cell r="K1507" t="str">
            <v>-</v>
          </cell>
          <cell r="L1507" t="str">
            <v>OK</v>
          </cell>
        </row>
        <row r="1508">
          <cell r="A1508" t="str">
            <v>AHW-45192I21</v>
          </cell>
          <cell r="B1508">
            <v>4004614</v>
          </cell>
          <cell r="C1508" t="str">
            <v>Original</v>
          </cell>
          <cell r="D1508" t="str">
            <v>CTS</v>
          </cell>
          <cell r="E1508" t="str">
            <v>JP</v>
          </cell>
          <cell r="F1508">
            <v>44509</v>
          </cell>
          <cell r="G1508">
            <v>44517</v>
          </cell>
          <cell r="H1508">
            <v>44519</v>
          </cell>
          <cell r="I1508" t="str">
            <v>17.11.2021</v>
          </cell>
          <cell r="J1508" t="str">
            <v>19.11.2021</v>
          </cell>
          <cell r="K1508" t="str">
            <v>-</v>
          </cell>
          <cell r="L1508" t="str">
            <v>OK</v>
          </cell>
        </row>
        <row r="1509">
          <cell r="A1509" t="str">
            <v>AHW-45193I21</v>
          </cell>
          <cell r="B1509">
            <v>4004615</v>
          </cell>
          <cell r="C1509" t="str">
            <v>Original</v>
          </cell>
          <cell r="D1509" t="str">
            <v>CTS</v>
          </cell>
          <cell r="E1509" t="str">
            <v>JP</v>
          </cell>
          <cell r="F1509">
            <v>44509</v>
          </cell>
          <cell r="G1509">
            <v>44517</v>
          </cell>
          <cell r="H1509">
            <v>44519</v>
          </cell>
          <cell r="I1509" t="str">
            <v>17.11.2021</v>
          </cell>
          <cell r="J1509" t="str">
            <v>19.11.2021</v>
          </cell>
          <cell r="K1509" t="str">
            <v>-</v>
          </cell>
          <cell r="L1509" t="str">
            <v>OK</v>
          </cell>
        </row>
        <row r="1510">
          <cell r="A1510" t="str">
            <v>AHW-44964I21</v>
          </cell>
          <cell r="B1510">
            <v>78209187</v>
          </cell>
          <cell r="C1510" t="str">
            <v>Original</v>
          </cell>
          <cell r="D1510" t="str">
            <v>CEVA</v>
          </cell>
          <cell r="E1510" t="str">
            <v>Rodoimport</v>
          </cell>
          <cell r="F1510">
            <v>44510</v>
          </cell>
          <cell r="G1510">
            <v>44518</v>
          </cell>
          <cell r="H1510">
            <v>44520</v>
          </cell>
          <cell r="I1510" t="str">
            <v>17.11.2021</v>
          </cell>
          <cell r="J1510" t="str">
            <v>19.11.2021</v>
          </cell>
          <cell r="K1510" t="str">
            <v>-</v>
          </cell>
          <cell r="L1510" t="str">
            <v>OK</v>
          </cell>
        </row>
        <row r="1511">
          <cell r="A1511" t="str">
            <v>AHW-45030I21</v>
          </cell>
          <cell r="B1511">
            <v>78209218</v>
          </cell>
          <cell r="C1511" t="str">
            <v>Original</v>
          </cell>
          <cell r="D1511" t="str">
            <v>CEVA</v>
          </cell>
          <cell r="E1511" t="str">
            <v>Rodoimport</v>
          </cell>
          <cell r="F1511">
            <v>44510</v>
          </cell>
          <cell r="G1511">
            <v>44518</v>
          </cell>
          <cell r="H1511">
            <v>44520</v>
          </cell>
          <cell r="I1511" t="str">
            <v>17.11.2021</v>
          </cell>
          <cell r="J1511" t="str">
            <v>19.11.2021</v>
          </cell>
          <cell r="K1511" t="str">
            <v>-</v>
          </cell>
          <cell r="L1511" t="str">
            <v>OK</v>
          </cell>
        </row>
        <row r="1512">
          <cell r="A1512" t="str">
            <v>AHW-44976I21</v>
          </cell>
          <cell r="B1512">
            <v>78209206</v>
          </cell>
          <cell r="C1512" t="str">
            <v>Original</v>
          </cell>
          <cell r="D1512" t="str">
            <v>CEVA</v>
          </cell>
          <cell r="E1512" t="str">
            <v>Rodoimport</v>
          </cell>
          <cell r="F1512">
            <v>44510</v>
          </cell>
          <cell r="G1512">
            <v>44518</v>
          </cell>
          <cell r="H1512">
            <v>44520</v>
          </cell>
          <cell r="I1512" t="str">
            <v>17.11.2021</v>
          </cell>
          <cell r="J1512" t="str">
            <v>19.11.2021</v>
          </cell>
          <cell r="K1512" t="str">
            <v>-</v>
          </cell>
          <cell r="L1512" t="str">
            <v>OK</v>
          </cell>
        </row>
        <row r="1513">
          <cell r="A1513" t="str">
            <v>AHW-45169I21</v>
          </cell>
          <cell r="B1513">
            <v>78209304</v>
          </cell>
          <cell r="C1513" t="str">
            <v>Original</v>
          </cell>
          <cell r="D1513" t="str">
            <v>CEVA</v>
          </cell>
          <cell r="E1513" t="str">
            <v>Rodoimport</v>
          </cell>
          <cell r="F1513">
            <v>44510</v>
          </cell>
          <cell r="G1513">
            <v>44518</v>
          </cell>
          <cell r="H1513">
            <v>44520</v>
          </cell>
          <cell r="I1513" t="str">
            <v>17.11.2021</v>
          </cell>
          <cell r="J1513" t="str">
            <v>19.11.2021</v>
          </cell>
          <cell r="K1513" t="str">
            <v>-</v>
          </cell>
          <cell r="L1513" t="str">
            <v>OK</v>
          </cell>
        </row>
        <row r="1514">
          <cell r="A1514" t="str">
            <v>AHW-45170I21</v>
          </cell>
          <cell r="B1514">
            <v>78209323</v>
          </cell>
          <cell r="C1514" t="str">
            <v>Original</v>
          </cell>
          <cell r="D1514" t="str">
            <v>CEVA</v>
          </cell>
          <cell r="E1514" t="str">
            <v>Rodoimport</v>
          </cell>
          <cell r="F1514">
            <v>44510</v>
          </cell>
          <cell r="G1514">
            <v>44518</v>
          </cell>
          <cell r="H1514">
            <v>44520</v>
          </cell>
          <cell r="I1514" t="str">
            <v>17.11.2021</v>
          </cell>
          <cell r="J1514" t="str">
            <v>19.11.2021</v>
          </cell>
          <cell r="K1514" t="str">
            <v>-</v>
          </cell>
          <cell r="L1514" t="str">
            <v>OK</v>
          </cell>
        </row>
        <row r="1515">
          <cell r="A1515" t="str">
            <v>AHW-45179I21</v>
          </cell>
          <cell r="B1515">
            <v>78209348</v>
          </cell>
          <cell r="C1515" t="str">
            <v>Original</v>
          </cell>
          <cell r="D1515" t="str">
            <v>CEVA</v>
          </cell>
          <cell r="E1515" t="str">
            <v>Rodoimport</v>
          </cell>
          <cell r="F1515">
            <v>44510</v>
          </cell>
          <cell r="G1515">
            <v>44518</v>
          </cell>
          <cell r="H1515">
            <v>44520</v>
          </cell>
          <cell r="I1515" t="str">
            <v>17.11.2021</v>
          </cell>
          <cell r="J1515" t="str">
            <v>19.11.2021</v>
          </cell>
          <cell r="K1515" t="str">
            <v>-</v>
          </cell>
          <cell r="L1515" t="str">
            <v>OK</v>
          </cell>
        </row>
        <row r="1516">
          <cell r="A1516" t="str">
            <v>AHW-45172I21</v>
          </cell>
          <cell r="B1516">
            <v>78209306</v>
          </cell>
          <cell r="C1516" t="str">
            <v>Original</v>
          </cell>
          <cell r="D1516" t="str">
            <v>CEVA</v>
          </cell>
          <cell r="E1516" t="str">
            <v>Rodoimport</v>
          </cell>
          <cell r="F1516">
            <v>44510</v>
          </cell>
          <cell r="G1516">
            <v>44518</v>
          </cell>
          <cell r="H1516">
            <v>44520</v>
          </cell>
          <cell r="I1516" t="str">
            <v>17.11.2021</v>
          </cell>
          <cell r="J1516" t="str">
            <v>19.11.2021</v>
          </cell>
          <cell r="K1516" t="str">
            <v>-</v>
          </cell>
          <cell r="L1516" t="str">
            <v>OK</v>
          </cell>
        </row>
        <row r="1517">
          <cell r="A1517" t="str">
            <v>AHW-44810I21</v>
          </cell>
          <cell r="B1517">
            <v>78209044</v>
          </cell>
          <cell r="C1517" t="str">
            <v>Original</v>
          </cell>
          <cell r="D1517" t="str">
            <v>CEVA</v>
          </cell>
          <cell r="E1517" t="str">
            <v>Rodoimport</v>
          </cell>
          <cell r="F1517">
            <v>44510</v>
          </cell>
          <cell r="G1517">
            <v>44518</v>
          </cell>
          <cell r="H1517">
            <v>44520</v>
          </cell>
          <cell r="I1517" t="str">
            <v>19.11.2021</v>
          </cell>
          <cell r="J1517" t="str">
            <v>19.11.2021</v>
          </cell>
          <cell r="K1517" t="str">
            <v>-</v>
          </cell>
          <cell r="L1517" t="str">
            <v>OK</v>
          </cell>
        </row>
        <row r="1518">
          <cell r="A1518" t="str">
            <v>AHW-45082I21</v>
          </cell>
          <cell r="B1518">
            <v>78209240</v>
          </cell>
          <cell r="C1518" t="str">
            <v>Original</v>
          </cell>
          <cell r="D1518" t="str">
            <v>CEVA</v>
          </cell>
          <cell r="E1518" t="str">
            <v>Rodoimport</v>
          </cell>
          <cell r="F1518">
            <v>44510</v>
          </cell>
          <cell r="G1518">
            <v>44518</v>
          </cell>
          <cell r="H1518">
            <v>44520</v>
          </cell>
          <cell r="I1518" t="str">
            <v>19.11.2021</v>
          </cell>
          <cell r="J1518" t="str">
            <v>19.11.2021</v>
          </cell>
          <cell r="K1518" t="str">
            <v>-</v>
          </cell>
          <cell r="L1518" t="str">
            <v>OK</v>
          </cell>
        </row>
        <row r="1519">
          <cell r="A1519" t="str">
            <v>AHW-45136I21</v>
          </cell>
          <cell r="B1519">
            <v>78209300</v>
          </cell>
          <cell r="C1519" t="str">
            <v>Original</v>
          </cell>
          <cell r="D1519" t="str">
            <v>CEVA</v>
          </cell>
          <cell r="E1519" t="str">
            <v>Rodoimport</v>
          </cell>
          <cell r="F1519">
            <v>44510</v>
          </cell>
          <cell r="G1519">
            <v>44518</v>
          </cell>
          <cell r="H1519">
            <v>44520</v>
          </cell>
          <cell r="I1519" t="str">
            <v>17.11.2021</v>
          </cell>
          <cell r="J1519" t="str">
            <v>19.11.2021</v>
          </cell>
          <cell r="K1519" t="str">
            <v>-</v>
          </cell>
          <cell r="L1519" t="str">
            <v>OK</v>
          </cell>
        </row>
        <row r="1520">
          <cell r="A1520" t="str">
            <v>AHW-45081I21</v>
          </cell>
          <cell r="B1520">
            <v>78209255</v>
          </cell>
          <cell r="C1520" t="str">
            <v>Original</v>
          </cell>
          <cell r="D1520" t="str">
            <v>CEVA</v>
          </cell>
          <cell r="E1520" t="str">
            <v>Rodoimport</v>
          </cell>
          <cell r="F1520">
            <v>44511</v>
          </cell>
          <cell r="G1520">
            <v>44519</v>
          </cell>
          <cell r="H1520">
            <v>44521</v>
          </cell>
          <cell r="I1520" t="str">
            <v>17.11.2021</v>
          </cell>
          <cell r="J1520" t="str">
            <v>19.11.2021</v>
          </cell>
          <cell r="K1520" t="str">
            <v>-</v>
          </cell>
          <cell r="L1520" t="str">
            <v>OK</v>
          </cell>
        </row>
        <row r="1521">
          <cell r="A1521" t="str">
            <v>AHW-45447I21</v>
          </cell>
          <cell r="B1521">
            <v>4004929</v>
          </cell>
          <cell r="C1521" t="str">
            <v>Original</v>
          </cell>
          <cell r="D1521" t="str">
            <v>CTS</v>
          </cell>
          <cell r="E1521" t="str">
            <v>JP</v>
          </cell>
          <cell r="F1521">
            <v>44511</v>
          </cell>
          <cell r="G1521">
            <v>44519</v>
          </cell>
          <cell r="H1521">
            <v>44521</v>
          </cell>
          <cell r="I1521" t="str">
            <v>17.11.2021</v>
          </cell>
          <cell r="J1521" t="str">
            <v>19.11.2021</v>
          </cell>
          <cell r="K1521" t="str">
            <v>-</v>
          </cell>
          <cell r="L1521" t="str">
            <v>OK</v>
          </cell>
        </row>
        <row r="1522">
          <cell r="A1522" t="str">
            <v>AHW-45449I21</v>
          </cell>
          <cell r="B1522">
            <v>4009440</v>
          </cell>
          <cell r="C1522" t="str">
            <v>Original</v>
          </cell>
          <cell r="D1522" t="str">
            <v>CTS</v>
          </cell>
          <cell r="E1522" t="str">
            <v>JP</v>
          </cell>
          <cell r="F1522">
            <v>44511</v>
          </cell>
          <cell r="G1522">
            <v>44519</v>
          </cell>
          <cell r="H1522">
            <v>44521</v>
          </cell>
          <cell r="I1522" t="str">
            <v>17.11.2021</v>
          </cell>
          <cell r="J1522" t="str">
            <v>19.11.2021</v>
          </cell>
          <cell r="K1522" t="str">
            <v>-</v>
          </cell>
          <cell r="L1522" t="str">
            <v>OK</v>
          </cell>
        </row>
        <row r="1523">
          <cell r="A1523" t="str">
            <v>SHW-44783I21</v>
          </cell>
          <cell r="B1523" t="str">
            <v>EGLV149112796167</v>
          </cell>
          <cell r="C1523" t="str">
            <v>Original</v>
          </cell>
          <cell r="D1523" t="str">
            <v>Shenker</v>
          </cell>
          <cell r="E1523" t="str">
            <v>Unitrading</v>
          </cell>
          <cell r="F1523">
            <v>44510</v>
          </cell>
          <cell r="G1523">
            <v>44518</v>
          </cell>
          <cell r="H1523">
            <v>44520</v>
          </cell>
          <cell r="I1523" t="str">
            <v>12.11.2021</v>
          </cell>
          <cell r="J1523" t="str">
            <v>11.11.2021</v>
          </cell>
          <cell r="K1523" t="str">
            <v>-</v>
          </cell>
          <cell r="L1523" t="str">
            <v>OK</v>
          </cell>
        </row>
        <row r="1524">
          <cell r="A1524" t="str">
            <v>SHW-44785I21</v>
          </cell>
          <cell r="B1524" t="str">
            <v>EGLV149112913643</v>
          </cell>
          <cell r="C1524" t="str">
            <v>Original</v>
          </cell>
          <cell r="D1524" t="str">
            <v>Shenker</v>
          </cell>
          <cell r="E1524" t="str">
            <v>Unitrading</v>
          </cell>
          <cell r="F1524">
            <v>44510</v>
          </cell>
          <cell r="G1524">
            <v>44518</v>
          </cell>
          <cell r="H1524">
            <v>44520</v>
          </cell>
          <cell r="I1524" t="str">
            <v>12.11.2021</v>
          </cell>
          <cell r="J1524" t="str">
            <v>11.11.2021</v>
          </cell>
          <cell r="K1524" t="str">
            <v>-</v>
          </cell>
          <cell r="L1524" t="str">
            <v>OK</v>
          </cell>
        </row>
        <row r="1525">
          <cell r="A1525" t="str">
            <v>SHW-44730I21</v>
          </cell>
          <cell r="B1525" t="str">
            <v>EGLV149110342151</v>
          </cell>
          <cell r="C1525" t="str">
            <v>Original</v>
          </cell>
          <cell r="D1525" t="str">
            <v>Shenker</v>
          </cell>
          <cell r="E1525" t="str">
            <v>Unitrading</v>
          </cell>
          <cell r="F1525">
            <v>44508</v>
          </cell>
          <cell r="G1525">
            <v>44516</v>
          </cell>
          <cell r="H1525">
            <v>44518</v>
          </cell>
          <cell r="I1525" t="str">
            <v>12.11.2021</v>
          </cell>
          <cell r="J1525" t="str">
            <v>24.11.2021</v>
          </cell>
          <cell r="K1525" t="str">
            <v>-</v>
          </cell>
          <cell r="L1525" t="str">
            <v>OK</v>
          </cell>
        </row>
        <row r="1526">
          <cell r="A1526" t="str">
            <v>AMS-45362I21</v>
          </cell>
          <cell r="B1526" t="str">
            <v>1Z6469V00448214781</v>
          </cell>
          <cell r="C1526" t="str">
            <v>Brasiliense</v>
          </cell>
          <cell r="D1526" t="str">
            <v>UPS</v>
          </cell>
          <cell r="E1526" t="str">
            <v>Future</v>
          </cell>
          <cell r="F1526">
            <v>44508</v>
          </cell>
          <cell r="G1526">
            <v>44516</v>
          </cell>
          <cell r="H1526">
            <v>44518</v>
          </cell>
          <cell r="I1526" t="str">
            <v>09.11.2021</v>
          </cell>
          <cell r="J1526" t="str">
            <v>11.11.2021</v>
          </cell>
          <cell r="K1526" t="str">
            <v>08.11.2021</v>
          </cell>
          <cell r="L1526" t="str">
            <v>OK</v>
          </cell>
        </row>
        <row r="1527">
          <cell r="A1527" t="str">
            <v>AMS-45363I21</v>
          </cell>
          <cell r="B1527" t="str">
            <v>1Z6469V00446587570</v>
          </cell>
          <cell r="C1527" t="str">
            <v>Brasiliense</v>
          </cell>
          <cell r="D1527" t="str">
            <v>UPS</v>
          </cell>
          <cell r="E1527" t="str">
            <v>Future</v>
          </cell>
          <cell r="F1527">
            <v>44508</v>
          </cell>
          <cell r="G1527">
            <v>44516</v>
          </cell>
          <cell r="H1527">
            <v>44518</v>
          </cell>
          <cell r="I1527" t="str">
            <v>09.11.2021</v>
          </cell>
          <cell r="J1527" t="str">
            <v>11.11.2021</v>
          </cell>
          <cell r="K1527" t="str">
            <v>08.11.2021</v>
          </cell>
          <cell r="L1527" t="str">
            <v>OK</v>
          </cell>
        </row>
        <row r="1528">
          <cell r="A1528" t="str">
            <v>AMS-45364I21</v>
          </cell>
          <cell r="B1528" t="str">
            <v>1Z6469V00447289597</v>
          </cell>
          <cell r="C1528" t="str">
            <v>Brasiliense</v>
          </cell>
          <cell r="D1528" t="str">
            <v>UPS</v>
          </cell>
          <cell r="E1528" t="str">
            <v>Future</v>
          </cell>
          <cell r="F1528">
            <v>44508</v>
          </cell>
          <cell r="G1528">
            <v>44516</v>
          </cell>
          <cell r="H1528">
            <v>44518</v>
          </cell>
          <cell r="I1528" t="str">
            <v>09.11.2021</v>
          </cell>
          <cell r="J1528" t="str">
            <v>11.11.2021</v>
          </cell>
          <cell r="K1528" t="str">
            <v>08.11.2021</v>
          </cell>
          <cell r="L1528" t="str">
            <v>OK</v>
          </cell>
        </row>
        <row r="1529">
          <cell r="A1529" t="str">
            <v>AMS-45365I21</v>
          </cell>
          <cell r="B1529" t="str">
            <v>1Z6469V00446068005</v>
          </cell>
          <cell r="C1529" t="str">
            <v>Brasiliense</v>
          </cell>
          <cell r="D1529" t="str">
            <v>UPS</v>
          </cell>
          <cell r="E1529" t="str">
            <v>Future</v>
          </cell>
          <cell r="F1529">
            <v>44508</v>
          </cell>
          <cell r="G1529">
            <v>44516</v>
          </cell>
          <cell r="H1529">
            <v>44518</v>
          </cell>
          <cell r="I1529" t="str">
            <v>09.11.2021</v>
          </cell>
          <cell r="J1529" t="str">
            <v>11.11.2021</v>
          </cell>
          <cell r="K1529" t="str">
            <v>08.11.2021</v>
          </cell>
          <cell r="L1529" t="str">
            <v>OK</v>
          </cell>
        </row>
        <row r="1530">
          <cell r="A1530" t="str">
            <v>AMS-45366I21</v>
          </cell>
          <cell r="B1530" t="str">
            <v>1Z6469V00448911965</v>
          </cell>
          <cell r="C1530" t="str">
            <v>Brasiliense</v>
          </cell>
          <cell r="D1530" t="str">
            <v>UPS</v>
          </cell>
          <cell r="E1530" t="str">
            <v>Future</v>
          </cell>
          <cell r="F1530">
            <v>44508</v>
          </cell>
          <cell r="G1530">
            <v>44516</v>
          </cell>
          <cell r="H1530">
            <v>44518</v>
          </cell>
          <cell r="I1530" t="str">
            <v>09.11.2021</v>
          </cell>
          <cell r="J1530" t="str">
            <v>11.11.2021</v>
          </cell>
          <cell r="K1530" t="str">
            <v>08.11.2021</v>
          </cell>
          <cell r="L1530" t="str">
            <v>OK</v>
          </cell>
        </row>
        <row r="1531">
          <cell r="A1531" t="str">
            <v>AMS-45367I21</v>
          </cell>
          <cell r="B1531" t="str">
            <v>1Z6469V00448851959</v>
          </cell>
          <cell r="C1531" t="str">
            <v>Brasiliense</v>
          </cell>
          <cell r="D1531" t="str">
            <v>UPS</v>
          </cell>
          <cell r="E1531" t="str">
            <v>Future</v>
          </cell>
          <cell r="F1531">
            <v>44508</v>
          </cell>
          <cell r="G1531">
            <v>44516</v>
          </cell>
          <cell r="H1531">
            <v>44518</v>
          </cell>
          <cell r="I1531" t="str">
            <v>09.11.2021</v>
          </cell>
          <cell r="J1531" t="str">
            <v>11.11.2021</v>
          </cell>
          <cell r="K1531" t="str">
            <v>08.11.2021</v>
          </cell>
          <cell r="L1531" t="str">
            <v>OK</v>
          </cell>
        </row>
        <row r="1532">
          <cell r="A1532" t="str">
            <v>AMS-45357I21</v>
          </cell>
          <cell r="B1532" t="str">
            <v>SHA00641544</v>
          </cell>
          <cell r="C1532" t="str">
            <v>Original</v>
          </cell>
          <cell r="D1532" t="str">
            <v>PGL</v>
          </cell>
          <cell r="E1532" t="str">
            <v>Buick</v>
          </cell>
          <cell r="F1532">
            <v>44512</v>
          </cell>
          <cell r="G1532">
            <v>44520</v>
          </cell>
          <cell r="H1532">
            <v>44522</v>
          </cell>
          <cell r="I1532" t="str">
            <v>18.11.2021</v>
          </cell>
          <cell r="J1532" t="str">
            <v>17.11.2021</v>
          </cell>
          <cell r="K1532" t="str">
            <v>-</v>
          </cell>
          <cell r="L1532" t="str">
            <v>OK</v>
          </cell>
        </row>
        <row r="1533">
          <cell r="A1533" t="str">
            <v>AMS-45353I21</v>
          </cell>
          <cell r="B1533" t="str">
            <v>SHA00641542</v>
          </cell>
          <cell r="C1533" t="str">
            <v>Original</v>
          </cell>
          <cell r="D1533" t="str">
            <v>PGL</v>
          </cell>
          <cell r="E1533" t="str">
            <v>Technology</v>
          </cell>
          <cell r="F1533">
            <v>44512</v>
          </cell>
          <cell r="G1533">
            <v>44520</v>
          </cell>
          <cell r="H1533">
            <v>44522</v>
          </cell>
          <cell r="I1533" t="str">
            <v>18.11.2021</v>
          </cell>
          <cell r="J1533" t="str">
            <v>17.11.2021</v>
          </cell>
          <cell r="K1533" t="str">
            <v>-</v>
          </cell>
          <cell r="L1533" t="str">
            <v>OK</v>
          </cell>
        </row>
        <row r="1534">
          <cell r="A1534" t="str">
            <v>AMS-45360I21</v>
          </cell>
          <cell r="B1534" t="str">
            <v>SHA00641541</v>
          </cell>
          <cell r="C1534" t="str">
            <v>Original</v>
          </cell>
          <cell r="D1534" t="str">
            <v>PGL</v>
          </cell>
          <cell r="E1534" t="str">
            <v>Technology</v>
          </cell>
          <cell r="F1534">
            <v>44512</v>
          </cell>
          <cell r="G1534">
            <v>44520</v>
          </cell>
          <cell r="H1534">
            <v>44522</v>
          </cell>
          <cell r="I1534" t="str">
            <v>18.11.2021</v>
          </cell>
          <cell r="J1534" t="str">
            <v>17.11.2021</v>
          </cell>
          <cell r="K1534" t="str">
            <v>-</v>
          </cell>
          <cell r="L1534" t="str">
            <v>OK</v>
          </cell>
        </row>
        <row r="1535">
          <cell r="A1535" t="str">
            <v>AMS-45355I21</v>
          </cell>
          <cell r="B1535" t="str">
            <v>SHA00641538</v>
          </cell>
          <cell r="C1535" t="str">
            <v>Original</v>
          </cell>
          <cell r="D1535" t="str">
            <v>PGL</v>
          </cell>
          <cell r="E1535" t="str">
            <v>Technology</v>
          </cell>
          <cell r="F1535">
            <v>44512</v>
          </cell>
          <cell r="G1535">
            <v>44520</v>
          </cell>
          <cell r="H1535">
            <v>44522</v>
          </cell>
          <cell r="I1535" t="str">
            <v>18.11.2021</v>
          </cell>
          <cell r="J1535" t="str">
            <v>17.11.2021</v>
          </cell>
          <cell r="K1535" t="str">
            <v>-</v>
          </cell>
          <cell r="L1535" t="str">
            <v>OK</v>
          </cell>
        </row>
        <row r="1536">
          <cell r="A1536" t="str">
            <v>AMS-45354I21</v>
          </cell>
          <cell r="B1536" t="str">
            <v>SHA00641578</v>
          </cell>
          <cell r="C1536" t="str">
            <v>Original</v>
          </cell>
          <cell r="D1536" t="str">
            <v>PGL</v>
          </cell>
          <cell r="E1536" t="str">
            <v>Technology</v>
          </cell>
          <cell r="F1536">
            <v>44512</v>
          </cell>
          <cell r="G1536">
            <v>44520</v>
          </cell>
          <cell r="H1536">
            <v>44522</v>
          </cell>
          <cell r="I1536" t="str">
            <v>18.11.2021</v>
          </cell>
          <cell r="J1536" t="str">
            <v>17.11.2021</v>
          </cell>
          <cell r="K1536" t="str">
            <v>-</v>
          </cell>
          <cell r="L1536" t="str">
            <v>OK</v>
          </cell>
        </row>
        <row r="1537">
          <cell r="A1537" t="str">
            <v>AMS-45356I21</v>
          </cell>
          <cell r="B1537" t="str">
            <v>SHA00641575</v>
          </cell>
          <cell r="C1537" t="str">
            <v>Original</v>
          </cell>
          <cell r="D1537" t="str">
            <v>PGL</v>
          </cell>
          <cell r="E1537" t="str">
            <v>Technology</v>
          </cell>
          <cell r="F1537">
            <v>44512</v>
          </cell>
          <cell r="G1537">
            <v>44520</v>
          </cell>
          <cell r="H1537">
            <v>44522</v>
          </cell>
          <cell r="I1537" t="str">
            <v>18.11.2021</v>
          </cell>
          <cell r="J1537" t="str">
            <v>17.11.2021</v>
          </cell>
          <cell r="K1537" t="str">
            <v>-</v>
          </cell>
          <cell r="L1537" t="str">
            <v>OK</v>
          </cell>
        </row>
        <row r="1538">
          <cell r="A1538" t="str">
            <v>AMS-45358I21</v>
          </cell>
          <cell r="B1538" t="str">
            <v>SHA00641533</v>
          </cell>
          <cell r="C1538" t="str">
            <v>Original</v>
          </cell>
          <cell r="D1538" t="str">
            <v>PGL</v>
          </cell>
          <cell r="E1538" t="str">
            <v>Buick</v>
          </cell>
          <cell r="F1538">
            <v>44512</v>
          </cell>
          <cell r="G1538">
            <v>44520</v>
          </cell>
          <cell r="H1538">
            <v>44522</v>
          </cell>
          <cell r="I1538" t="str">
            <v>18.11.2021</v>
          </cell>
          <cell r="J1538" t="str">
            <v>17.11.2021</v>
          </cell>
          <cell r="K1538" t="str">
            <v>-</v>
          </cell>
          <cell r="L1538" t="str">
            <v>OK</v>
          </cell>
        </row>
        <row r="1539">
          <cell r="A1539" t="str">
            <v>AMS-45359I21</v>
          </cell>
          <cell r="B1539" t="str">
            <v>SHA00641537</v>
          </cell>
          <cell r="C1539" t="str">
            <v>Original</v>
          </cell>
          <cell r="D1539" t="str">
            <v>PGL</v>
          </cell>
          <cell r="E1539" t="str">
            <v>Technology</v>
          </cell>
          <cell r="F1539">
            <v>44512</v>
          </cell>
          <cell r="G1539">
            <v>44520</v>
          </cell>
          <cell r="H1539">
            <v>44522</v>
          </cell>
          <cell r="I1539" t="str">
            <v>18.11.2021</v>
          </cell>
          <cell r="J1539" t="str">
            <v>17.11.2021</v>
          </cell>
          <cell r="K1539" t="str">
            <v>-</v>
          </cell>
          <cell r="L1539" t="str">
            <v>OK</v>
          </cell>
        </row>
        <row r="1540">
          <cell r="A1540" t="str">
            <v>AHW-44973I21</v>
          </cell>
          <cell r="B1540">
            <v>4004282</v>
          </cell>
          <cell r="C1540" t="str">
            <v>Original</v>
          </cell>
          <cell r="D1540" t="str">
            <v>CTS</v>
          </cell>
          <cell r="E1540" t="str">
            <v>JP</v>
          </cell>
          <cell r="F1540">
            <v>44516</v>
          </cell>
          <cell r="G1540">
            <v>44524</v>
          </cell>
          <cell r="H1540">
            <v>44526</v>
          </cell>
          <cell r="I1540" t="str">
            <v>19.11.2021</v>
          </cell>
          <cell r="J1540" t="str">
            <v>24.11.2021</v>
          </cell>
          <cell r="K1540" t="str">
            <v>-</v>
          </cell>
          <cell r="L1540" t="str">
            <v>OK</v>
          </cell>
        </row>
        <row r="1541">
          <cell r="A1541" t="str">
            <v>AHW-45135I21</v>
          </cell>
          <cell r="B1541">
            <v>4004356</v>
          </cell>
          <cell r="C1541" t="str">
            <v>Original</v>
          </cell>
          <cell r="D1541" t="str">
            <v>CTS</v>
          </cell>
          <cell r="E1541" t="str">
            <v>JP</v>
          </cell>
          <cell r="F1541">
            <v>44516</v>
          </cell>
          <cell r="G1541">
            <v>44524</v>
          </cell>
          <cell r="H1541">
            <v>44526</v>
          </cell>
          <cell r="I1541" t="str">
            <v>19.11.2021</v>
          </cell>
          <cell r="J1541" t="str">
            <v>24.11.2021</v>
          </cell>
          <cell r="K1541" t="str">
            <v>-</v>
          </cell>
          <cell r="L1541" t="str">
            <v>OK</v>
          </cell>
        </row>
        <row r="1542">
          <cell r="A1542" t="str">
            <v>AHW-45076I21</v>
          </cell>
          <cell r="B1542">
            <v>78209242</v>
          </cell>
          <cell r="C1542" t="str">
            <v>Original</v>
          </cell>
          <cell r="D1542" t="str">
            <v>CEVA</v>
          </cell>
          <cell r="E1542" t="str">
            <v>Rodoimport</v>
          </cell>
          <cell r="F1542">
            <v>44517</v>
          </cell>
          <cell r="G1542">
            <v>44525</v>
          </cell>
          <cell r="H1542">
            <v>44527</v>
          </cell>
          <cell r="I1542" t="str">
            <v>22.11.2021</v>
          </cell>
          <cell r="J1542" t="str">
            <v>24.11.2021</v>
          </cell>
          <cell r="K1542" t="str">
            <v>-</v>
          </cell>
          <cell r="L1542" t="str">
            <v>OK</v>
          </cell>
        </row>
        <row r="1543">
          <cell r="A1543" t="str">
            <v>AHW-45083I21</v>
          </cell>
          <cell r="B1543">
            <v>78209275</v>
          </cell>
          <cell r="C1543" t="str">
            <v>Original</v>
          </cell>
          <cell r="D1543" t="str">
            <v>CEVA</v>
          </cell>
          <cell r="E1543" t="str">
            <v>Rodoimport</v>
          </cell>
          <cell r="F1543">
            <v>44517</v>
          </cell>
          <cell r="G1543">
            <v>44525</v>
          </cell>
          <cell r="H1543">
            <v>44527</v>
          </cell>
          <cell r="I1543" t="str">
            <v>22.11.2021</v>
          </cell>
          <cell r="J1543" t="str">
            <v>24.11.2021</v>
          </cell>
          <cell r="K1543" t="str">
            <v>-</v>
          </cell>
          <cell r="L1543" t="str">
            <v>OK</v>
          </cell>
        </row>
        <row r="1544">
          <cell r="A1544" t="str">
            <v>AHW-45137I21</v>
          </cell>
          <cell r="B1544">
            <v>78209303</v>
          </cell>
          <cell r="C1544" t="str">
            <v>Original</v>
          </cell>
          <cell r="D1544" t="str">
            <v>CEVA</v>
          </cell>
          <cell r="E1544" t="str">
            <v>Rodoimport</v>
          </cell>
          <cell r="F1544">
            <v>44516</v>
          </cell>
          <cell r="G1544">
            <v>44524</v>
          </cell>
          <cell r="H1544">
            <v>44526</v>
          </cell>
          <cell r="I1544" t="str">
            <v>25.11.2021</v>
          </cell>
          <cell r="J1544" t="str">
            <v>24.11.2021</v>
          </cell>
          <cell r="K1544" t="str">
            <v>-</v>
          </cell>
          <cell r="L1544" t="str">
            <v>OK</v>
          </cell>
        </row>
        <row r="1545">
          <cell r="A1545" t="str">
            <v>AHW-45138I21</v>
          </cell>
          <cell r="B1545">
            <v>78209305</v>
          </cell>
          <cell r="C1545" t="str">
            <v>Original</v>
          </cell>
          <cell r="D1545" t="str">
            <v>CEVA</v>
          </cell>
          <cell r="E1545" t="str">
            <v>Rodoimport</v>
          </cell>
          <cell r="F1545">
            <v>44516</v>
          </cell>
          <cell r="G1545">
            <v>44524</v>
          </cell>
          <cell r="H1545">
            <v>44526</v>
          </cell>
          <cell r="I1545" t="str">
            <v>19.11.2021</v>
          </cell>
          <cell r="J1545" t="str">
            <v>24.11.2021</v>
          </cell>
          <cell r="K1545" t="str">
            <v>-</v>
          </cell>
          <cell r="L1545" t="str">
            <v>OK</v>
          </cell>
        </row>
        <row r="1546">
          <cell r="A1546" t="str">
            <v>AHW-45171I21</v>
          </cell>
          <cell r="B1546">
            <v>78209324</v>
          </cell>
          <cell r="C1546" t="str">
            <v>Original</v>
          </cell>
          <cell r="D1546" t="str">
            <v>CEVA</v>
          </cell>
          <cell r="E1546" t="str">
            <v>Rodoimport</v>
          </cell>
          <cell r="F1546">
            <v>44516</v>
          </cell>
          <cell r="G1546">
            <v>44524</v>
          </cell>
          <cell r="H1546">
            <v>44526</v>
          </cell>
          <cell r="I1546" t="str">
            <v>19.11.2021</v>
          </cell>
          <cell r="J1546" t="str">
            <v>24.11.2021</v>
          </cell>
          <cell r="K1546" t="str">
            <v>-</v>
          </cell>
          <cell r="L1546" t="str">
            <v>OK</v>
          </cell>
        </row>
        <row r="1547">
          <cell r="A1547" t="str">
            <v>AHW-45213I21</v>
          </cell>
          <cell r="B1547">
            <v>78209414</v>
          </cell>
          <cell r="C1547" t="str">
            <v>Original</v>
          </cell>
          <cell r="D1547" t="str">
            <v>CEVA</v>
          </cell>
          <cell r="E1547" t="str">
            <v>Rodoimport</v>
          </cell>
          <cell r="F1547">
            <v>44516</v>
          </cell>
          <cell r="G1547">
            <v>44524</v>
          </cell>
          <cell r="H1547">
            <v>44526</v>
          </cell>
          <cell r="I1547" t="str">
            <v>19.11.2021</v>
          </cell>
          <cell r="J1547" t="str">
            <v>24.11.2021</v>
          </cell>
          <cell r="K1547" t="str">
            <v>-</v>
          </cell>
          <cell r="L1547" t="str">
            <v>OK</v>
          </cell>
        </row>
        <row r="1548">
          <cell r="A1548" t="str">
            <v>SHW-44336I21</v>
          </cell>
          <cell r="B1548">
            <v>912845768</v>
          </cell>
          <cell r="C1548" t="str">
            <v>Original</v>
          </cell>
          <cell r="D1548" t="str">
            <v>Shenker</v>
          </cell>
          <cell r="E1548" t="str">
            <v>Unitrading</v>
          </cell>
          <cell r="F1548">
            <v>44511</v>
          </cell>
          <cell r="G1548">
            <v>44519</v>
          </cell>
          <cell r="H1548">
            <v>44521</v>
          </cell>
          <cell r="I1548" t="str">
            <v>17.11.2021</v>
          </cell>
          <cell r="J1548" t="str">
            <v>18.11.2021</v>
          </cell>
          <cell r="K1548" t="str">
            <v>-</v>
          </cell>
          <cell r="L1548" t="str">
            <v>OK</v>
          </cell>
        </row>
        <row r="1549">
          <cell r="A1549" t="str">
            <v>SHW-44891I21</v>
          </cell>
          <cell r="B1549" t="str">
            <v>EGLV149112306984</v>
          </cell>
          <cell r="C1549" t="str">
            <v>Original</v>
          </cell>
          <cell r="D1549" t="str">
            <v>Shenker</v>
          </cell>
          <cell r="E1549" t="str">
            <v>Unitrading</v>
          </cell>
          <cell r="F1549">
            <v>44517</v>
          </cell>
          <cell r="G1549">
            <v>44525</v>
          </cell>
          <cell r="H1549">
            <v>44527</v>
          </cell>
          <cell r="I1549" t="str">
            <v>18.11.2021</v>
          </cell>
          <cell r="J1549" t="str">
            <v>18.11.2021</v>
          </cell>
          <cell r="K1549" t="str">
            <v>-</v>
          </cell>
          <cell r="L1549" t="str">
            <v>OK</v>
          </cell>
        </row>
        <row r="1550">
          <cell r="A1550" t="str">
            <v>SHW-44895I21</v>
          </cell>
          <cell r="B1550" t="str">
            <v>EGLV149113169875</v>
          </cell>
          <cell r="C1550" t="str">
            <v>Original</v>
          </cell>
          <cell r="D1550" t="str">
            <v>Shenker</v>
          </cell>
          <cell r="E1550" t="str">
            <v>Unitrading</v>
          </cell>
          <cell r="F1550">
            <v>44517</v>
          </cell>
          <cell r="G1550">
            <v>44525</v>
          </cell>
          <cell r="H1550">
            <v>44527</v>
          </cell>
          <cell r="I1550" t="str">
            <v>22.11.2021</v>
          </cell>
          <cell r="J1550" t="str">
            <v>18.11.2021</v>
          </cell>
          <cell r="K1550" t="str">
            <v>-</v>
          </cell>
          <cell r="L1550" t="str">
            <v>OK</v>
          </cell>
        </row>
        <row r="1551">
          <cell r="A1551" t="str">
            <v>SHW-44978I21</v>
          </cell>
          <cell r="B1551" t="str">
            <v>EGLV149113231201</v>
          </cell>
          <cell r="C1551" t="str">
            <v>Original</v>
          </cell>
          <cell r="D1551" t="str">
            <v>Shenker</v>
          </cell>
          <cell r="E1551" t="str">
            <v>Unitrading</v>
          </cell>
          <cell r="F1551">
            <v>44517</v>
          </cell>
          <cell r="G1551">
            <v>44525</v>
          </cell>
          <cell r="H1551">
            <v>44527</v>
          </cell>
          <cell r="I1551" t="str">
            <v>23.11.2021</v>
          </cell>
          <cell r="J1551" t="str">
            <v>18.11.2021</v>
          </cell>
          <cell r="K1551" t="str">
            <v>-</v>
          </cell>
          <cell r="L1551" t="str">
            <v>OK</v>
          </cell>
        </row>
        <row r="1552">
          <cell r="A1552" t="str">
            <v>AHW-45177I21</v>
          </cell>
          <cell r="B1552">
            <v>4004374</v>
          </cell>
          <cell r="C1552" t="str">
            <v>Original</v>
          </cell>
          <cell r="D1552" t="str">
            <v>CTS</v>
          </cell>
          <cell r="E1552" t="str">
            <v>JP</v>
          </cell>
          <cell r="F1552">
            <v>44517</v>
          </cell>
          <cell r="G1552">
            <v>44525</v>
          </cell>
          <cell r="H1552">
            <v>44527</v>
          </cell>
          <cell r="I1552" t="str">
            <v>24.11.2021</v>
          </cell>
          <cell r="J1552" t="str">
            <v>24.11.2021</v>
          </cell>
          <cell r="K1552" t="str">
            <v>-</v>
          </cell>
          <cell r="L1552" t="str">
            <v>OK</v>
          </cell>
        </row>
        <row r="1553">
          <cell r="A1553" t="str">
            <v>AHW-45479I21</v>
          </cell>
          <cell r="B1553">
            <v>4004975</v>
          </cell>
          <cell r="C1553" t="str">
            <v>Original</v>
          </cell>
          <cell r="D1553" t="str">
            <v>CTS</v>
          </cell>
          <cell r="E1553" t="str">
            <v>JP</v>
          </cell>
          <cell r="F1553">
            <v>44517</v>
          </cell>
          <cell r="G1553">
            <v>44525</v>
          </cell>
          <cell r="H1553">
            <v>44527</v>
          </cell>
          <cell r="I1553" t="str">
            <v>24.11.2021</v>
          </cell>
          <cell r="J1553" t="str">
            <v>24.11.2021</v>
          </cell>
          <cell r="K1553" t="str">
            <v>-</v>
          </cell>
          <cell r="L1553" t="str">
            <v>OK</v>
          </cell>
        </row>
        <row r="1554">
          <cell r="A1554" t="str">
            <v>AHW-45458I21</v>
          </cell>
          <cell r="B1554">
            <v>4004977</v>
          </cell>
          <cell r="C1554" t="str">
            <v>Original</v>
          </cell>
          <cell r="D1554" t="str">
            <v>CTS</v>
          </cell>
          <cell r="E1554" t="str">
            <v>JP</v>
          </cell>
          <cell r="F1554">
            <v>44517</v>
          </cell>
          <cell r="G1554">
            <v>44525</v>
          </cell>
          <cell r="H1554">
            <v>44527</v>
          </cell>
          <cell r="I1554" t="str">
            <v>24.11.2021</v>
          </cell>
          <cell r="J1554" t="str">
            <v>24.11.2021</v>
          </cell>
          <cell r="K1554" t="str">
            <v>-</v>
          </cell>
          <cell r="L1554" t="str">
            <v>OK</v>
          </cell>
        </row>
        <row r="1555">
          <cell r="A1555" t="str">
            <v>AHW-45196I21</v>
          </cell>
          <cell r="B1555">
            <v>78209350</v>
          </cell>
          <cell r="C1555" t="str">
            <v>Original</v>
          </cell>
          <cell r="D1555" t="str">
            <v>CEVA</v>
          </cell>
          <cell r="E1555" t="str">
            <v>Rodoimport</v>
          </cell>
          <cell r="F1555">
            <v>44517</v>
          </cell>
          <cell r="G1555">
            <v>44525</v>
          </cell>
          <cell r="H1555">
            <v>44527</v>
          </cell>
          <cell r="I1555" t="str">
            <v>22.11.2021</v>
          </cell>
          <cell r="J1555" t="str">
            <v>24.11.2021</v>
          </cell>
          <cell r="K1555" t="str">
            <v>-</v>
          </cell>
          <cell r="L1555" t="str">
            <v>OK</v>
          </cell>
        </row>
        <row r="1556">
          <cell r="A1556" t="str">
            <v>AHW-45210I21</v>
          </cell>
          <cell r="B1556">
            <v>78209405</v>
          </cell>
          <cell r="C1556" t="str">
            <v>Original</v>
          </cell>
          <cell r="D1556" t="str">
            <v>CEVA</v>
          </cell>
          <cell r="E1556" t="str">
            <v>Rodoimport</v>
          </cell>
          <cell r="F1556">
            <v>44517</v>
          </cell>
          <cell r="G1556">
            <v>44525</v>
          </cell>
          <cell r="H1556">
            <v>44527</v>
          </cell>
          <cell r="I1556" t="str">
            <v>22.11.2021</v>
          </cell>
          <cell r="J1556" t="str">
            <v>24.11.2021</v>
          </cell>
          <cell r="K1556" t="str">
            <v>-</v>
          </cell>
          <cell r="L1556" t="str">
            <v>OK</v>
          </cell>
        </row>
        <row r="1557">
          <cell r="A1557" t="str">
            <v>AHW-45446I21</v>
          </cell>
          <cell r="B1557">
            <v>78209466</v>
          </cell>
          <cell r="C1557" t="str">
            <v>Original</v>
          </cell>
          <cell r="D1557" t="str">
            <v>CEVA</v>
          </cell>
          <cell r="E1557" t="str">
            <v>Rodoimport</v>
          </cell>
          <cell r="F1557">
            <v>44517</v>
          </cell>
          <cell r="G1557">
            <v>44525</v>
          </cell>
          <cell r="H1557">
            <v>44527</v>
          </cell>
          <cell r="I1557" t="str">
            <v>25.11.2021</v>
          </cell>
          <cell r="J1557" t="str">
            <v>24.11.2021</v>
          </cell>
          <cell r="K1557" t="str">
            <v>-</v>
          </cell>
          <cell r="L1557" t="str">
            <v>OK</v>
          </cell>
        </row>
        <row r="1558">
          <cell r="A1558" t="str">
            <v>AHW-45459I21</v>
          </cell>
          <cell r="B1558">
            <v>78209464</v>
          </cell>
          <cell r="C1558" t="str">
            <v>Original</v>
          </cell>
          <cell r="D1558" t="str">
            <v>CEVA</v>
          </cell>
          <cell r="E1558" t="str">
            <v>Rodoimport</v>
          </cell>
          <cell r="F1558">
            <v>44517</v>
          </cell>
          <cell r="G1558">
            <v>44525</v>
          </cell>
          <cell r="H1558">
            <v>44527</v>
          </cell>
          <cell r="I1558" t="str">
            <v>22.11.2021</v>
          </cell>
          <cell r="J1558" t="str">
            <v>24.11.2021</v>
          </cell>
          <cell r="K1558" t="str">
            <v>-</v>
          </cell>
          <cell r="L1558" t="str">
            <v>OK</v>
          </cell>
        </row>
        <row r="1559">
          <cell r="A1559" t="str">
            <v>AHW-45455I21</v>
          </cell>
          <cell r="B1559">
            <v>78209463</v>
          </cell>
          <cell r="C1559" t="str">
            <v>Original</v>
          </cell>
          <cell r="D1559" t="str">
            <v>CEVA</v>
          </cell>
          <cell r="E1559" t="str">
            <v>Rodoimport</v>
          </cell>
          <cell r="F1559">
            <v>44517</v>
          </cell>
          <cell r="G1559">
            <v>44525</v>
          </cell>
          <cell r="H1559">
            <v>44527</v>
          </cell>
          <cell r="I1559" t="str">
            <v>22.11.2021</v>
          </cell>
          <cell r="J1559" t="str">
            <v>24.11.2021</v>
          </cell>
          <cell r="K1559" t="str">
            <v>-</v>
          </cell>
          <cell r="L1559" t="str">
            <v>OK</v>
          </cell>
        </row>
        <row r="1560">
          <cell r="A1560" t="str">
            <v>AHW-45200I21</v>
          </cell>
          <cell r="B1560">
            <v>78209378</v>
          </cell>
          <cell r="C1560" t="str">
            <v>Original</v>
          </cell>
          <cell r="D1560" t="str">
            <v>CEVA</v>
          </cell>
          <cell r="E1560" t="str">
            <v>Rodoimport</v>
          </cell>
          <cell r="F1560">
            <v>44517</v>
          </cell>
          <cell r="G1560">
            <v>44525</v>
          </cell>
          <cell r="H1560">
            <v>44527</v>
          </cell>
          <cell r="I1560" t="str">
            <v>25.11.2021</v>
          </cell>
          <cell r="J1560" t="str">
            <v>24.11.2021</v>
          </cell>
          <cell r="K1560" t="str">
            <v>-</v>
          </cell>
          <cell r="L1560" t="str">
            <v>OK</v>
          </cell>
        </row>
        <row r="1561">
          <cell r="A1561" t="str">
            <v>AHW-45302I21</v>
          </cell>
          <cell r="B1561">
            <v>78209377</v>
          </cell>
          <cell r="C1561" t="str">
            <v>Original</v>
          </cell>
          <cell r="D1561" t="str">
            <v>CEVA</v>
          </cell>
          <cell r="E1561" t="str">
            <v>Rodoimport</v>
          </cell>
          <cell r="F1561">
            <v>44517</v>
          </cell>
          <cell r="G1561">
            <v>44525</v>
          </cell>
          <cell r="H1561">
            <v>44527</v>
          </cell>
          <cell r="I1561" t="str">
            <v>22.11.2021</v>
          </cell>
          <cell r="J1561" t="str">
            <v>24.11.2021</v>
          </cell>
          <cell r="K1561" t="str">
            <v>-</v>
          </cell>
          <cell r="L1561" t="str">
            <v>OK</v>
          </cell>
        </row>
        <row r="1562">
          <cell r="A1562" t="str">
            <v>AHW-45451I21</v>
          </cell>
          <cell r="B1562">
            <v>78209474</v>
          </cell>
          <cell r="C1562" t="str">
            <v>Original</v>
          </cell>
          <cell r="D1562" t="str">
            <v>CEVA</v>
          </cell>
          <cell r="E1562" t="str">
            <v>Rodoimport</v>
          </cell>
          <cell r="F1562">
            <v>44517</v>
          </cell>
          <cell r="G1562">
            <v>44525</v>
          </cell>
          <cell r="H1562">
            <v>44527</v>
          </cell>
          <cell r="I1562" t="str">
            <v>22.11.2021</v>
          </cell>
          <cell r="J1562" t="str">
            <v>24.11.2021</v>
          </cell>
          <cell r="K1562" t="str">
            <v>-</v>
          </cell>
          <cell r="L1562" t="str">
            <v>OK</v>
          </cell>
        </row>
        <row r="1563">
          <cell r="A1563" t="str">
            <v>AHW-45197I21</v>
          </cell>
          <cell r="B1563">
            <v>78209349</v>
          </cell>
          <cell r="C1563" t="str">
            <v>Original</v>
          </cell>
          <cell r="D1563" t="str">
            <v>CEVA</v>
          </cell>
          <cell r="E1563" t="str">
            <v>Rodoimport</v>
          </cell>
          <cell r="F1563">
            <v>44518</v>
          </cell>
          <cell r="G1563">
            <v>44526</v>
          </cell>
          <cell r="H1563">
            <v>44528</v>
          </cell>
          <cell r="I1563" t="str">
            <v>01.12.2021</v>
          </cell>
          <cell r="J1563" t="str">
            <v>08.12.2021</v>
          </cell>
          <cell r="K1563" t="str">
            <v>-</v>
          </cell>
          <cell r="L1563" t="str">
            <v>OK</v>
          </cell>
        </row>
        <row r="1564">
          <cell r="A1564" t="str">
            <v>AHW-45073I21</v>
          </cell>
          <cell r="B1564">
            <v>78209250</v>
          </cell>
          <cell r="C1564" t="str">
            <v>Original</v>
          </cell>
          <cell r="D1564" t="str">
            <v>CEVA</v>
          </cell>
          <cell r="E1564" t="str">
            <v>Rodoimport</v>
          </cell>
          <cell r="F1564">
            <v>44518</v>
          </cell>
          <cell r="G1564">
            <v>44526</v>
          </cell>
          <cell r="H1564">
            <v>44528</v>
          </cell>
          <cell r="I1564" t="str">
            <v>25.11.2021</v>
          </cell>
          <cell r="J1564" t="str">
            <v>08.12.2021</v>
          </cell>
          <cell r="K1564" t="str">
            <v>-</v>
          </cell>
          <cell r="L1564" t="str">
            <v>OK</v>
          </cell>
        </row>
        <row r="1565">
          <cell r="A1565" t="str">
            <v>AHW-45080I21</v>
          </cell>
          <cell r="B1565">
            <v>78209238</v>
          </cell>
          <cell r="C1565" t="str">
            <v>Original</v>
          </cell>
          <cell r="D1565" t="str">
            <v>CEVA</v>
          </cell>
          <cell r="E1565" t="str">
            <v>Rodoimport</v>
          </cell>
          <cell r="F1565">
            <v>44518</v>
          </cell>
          <cell r="G1565">
            <v>44526</v>
          </cell>
          <cell r="H1565">
            <v>44528</v>
          </cell>
          <cell r="I1565" t="str">
            <v>01.12.2021</v>
          </cell>
          <cell r="J1565" t="str">
            <v>08.12.2021</v>
          </cell>
          <cell r="K1565" t="str">
            <v>-</v>
          </cell>
          <cell r="L1565" t="str">
            <v>OK</v>
          </cell>
        </row>
        <row r="1566">
          <cell r="A1566" t="str">
            <v>AHW-45212I21</v>
          </cell>
          <cell r="B1566">
            <v>78209408</v>
          </cell>
          <cell r="C1566" t="str">
            <v>Original</v>
          </cell>
          <cell r="D1566" t="str">
            <v>CEVA</v>
          </cell>
          <cell r="E1566" t="str">
            <v>Rodoimport</v>
          </cell>
          <cell r="F1566">
            <v>44519</v>
          </cell>
          <cell r="G1566">
            <v>44527</v>
          </cell>
          <cell r="H1566">
            <v>44529</v>
          </cell>
          <cell r="I1566" t="str">
            <v>25.11.2021</v>
          </cell>
          <cell r="J1566" t="str">
            <v>24.11.2021</v>
          </cell>
          <cell r="K1566" t="str">
            <v>-</v>
          </cell>
          <cell r="L1566" t="str">
            <v>OK</v>
          </cell>
        </row>
        <row r="1567">
          <cell r="A1567" t="str">
            <v>AHW-45300I21</v>
          </cell>
          <cell r="B1567">
            <v>78209416</v>
          </cell>
          <cell r="C1567" t="str">
            <v>Original</v>
          </cell>
          <cell r="D1567" t="str">
            <v>CEVA</v>
          </cell>
          <cell r="E1567" t="str">
            <v>Rodoimport</v>
          </cell>
          <cell r="F1567">
            <v>44519</v>
          </cell>
          <cell r="G1567">
            <v>44527</v>
          </cell>
          <cell r="H1567">
            <v>44529</v>
          </cell>
          <cell r="I1567" t="str">
            <v>24.11.2021</v>
          </cell>
          <cell r="J1567" t="str">
            <v>24.11.2021</v>
          </cell>
          <cell r="K1567" t="str">
            <v>-</v>
          </cell>
          <cell r="L1567" t="str">
            <v>OK</v>
          </cell>
        </row>
        <row r="1568">
          <cell r="A1568" t="str">
            <v>AHW-45457I21</v>
          </cell>
          <cell r="B1568">
            <v>78209465</v>
          </cell>
          <cell r="C1568" t="str">
            <v>Original</v>
          </cell>
          <cell r="D1568" t="str">
            <v>CEVA</v>
          </cell>
          <cell r="E1568" t="str">
            <v>Rodoimport</v>
          </cell>
          <cell r="F1568">
            <v>44517</v>
          </cell>
          <cell r="G1568">
            <v>44525</v>
          </cell>
          <cell r="H1568">
            <v>44527</v>
          </cell>
          <cell r="I1568" t="str">
            <v>25.11.2021</v>
          </cell>
          <cell r="J1568" t="str">
            <v>24.11.2021</v>
          </cell>
          <cell r="K1568" t="str">
            <v>-</v>
          </cell>
          <cell r="L1568" t="str">
            <v>OK</v>
          </cell>
        </row>
        <row r="1569">
          <cell r="A1569" t="str">
            <v>AHW-45199I21</v>
          </cell>
          <cell r="B1569">
            <v>78209380</v>
          </cell>
          <cell r="C1569" t="str">
            <v>Original</v>
          </cell>
          <cell r="D1569" t="str">
            <v>CEVA</v>
          </cell>
          <cell r="E1569" t="str">
            <v>Rodoimport</v>
          </cell>
          <cell r="F1569">
            <v>44519</v>
          </cell>
          <cell r="G1569">
            <v>44527</v>
          </cell>
          <cell r="H1569">
            <v>44529</v>
          </cell>
          <cell r="I1569" t="str">
            <v>01.12.2021</v>
          </cell>
          <cell r="J1569" t="str">
            <v>08.12.2021</v>
          </cell>
          <cell r="K1569" t="str">
            <v>-</v>
          </cell>
          <cell r="L1569" t="str">
            <v>OK</v>
          </cell>
        </row>
        <row r="1570">
          <cell r="A1570" t="str">
            <v>AHW-45195I21</v>
          </cell>
          <cell r="B1570">
            <v>78209254</v>
          </cell>
          <cell r="C1570" t="str">
            <v>Original</v>
          </cell>
          <cell r="D1570" t="str">
            <v>CEVA</v>
          </cell>
          <cell r="E1570" t="str">
            <v>Rodoimport</v>
          </cell>
          <cell r="F1570">
            <v>44519</v>
          </cell>
          <cell r="G1570">
            <v>44527</v>
          </cell>
          <cell r="H1570">
            <v>44529</v>
          </cell>
          <cell r="I1570" t="str">
            <v>01.12.2021</v>
          </cell>
          <cell r="J1570" t="str">
            <v>08.12.2021</v>
          </cell>
          <cell r="K1570" t="str">
            <v>-</v>
          </cell>
          <cell r="L1570" t="str">
            <v>OK</v>
          </cell>
        </row>
        <row r="1571">
          <cell r="A1571" t="str">
            <v>AHW-45201I21</v>
          </cell>
          <cell r="B1571">
            <v>78209379</v>
          </cell>
          <cell r="C1571" t="str">
            <v>Original</v>
          </cell>
          <cell r="D1571" t="str">
            <v>CEVA</v>
          </cell>
          <cell r="E1571" t="str">
            <v>Rodoimport</v>
          </cell>
          <cell r="F1571">
            <v>44519</v>
          </cell>
          <cell r="G1571">
            <v>44527</v>
          </cell>
          <cell r="H1571">
            <v>44529</v>
          </cell>
          <cell r="I1571" t="str">
            <v>25.11.2021</v>
          </cell>
          <cell r="J1571" t="str">
            <v>24.11.2021</v>
          </cell>
          <cell r="K1571" t="str">
            <v>-</v>
          </cell>
          <cell r="L1571" t="str">
            <v>OK</v>
          </cell>
        </row>
        <row r="1572">
          <cell r="A1572" t="str">
            <v>AHW-45301I21</v>
          </cell>
          <cell r="B1572">
            <v>78209417</v>
          </cell>
          <cell r="C1572" t="str">
            <v>Original</v>
          </cell>
          <cell r="D1572" t="str">
            <v>CEVA</v>
          </cell>
          <cell r="E1572" t="str">
            <v>Rodoimport</v>
          </cell>
          <cell r="F1572">
            <v>44519</v>
          </cell>
          <cell r="G1572">
            <v>44527</v>
          </cell>
          <cell r="H1572">
            <v>44529</v>
          </cell>
          <cell r="I1572" t="str">
            <v>25.11.2021</v>
          </cell>
          <cell r="J1572" t="str">
            <v>24.11.2021</v>
          </cell>
          <cell r="K1572" t="str">
            <v>-</v>
          </cell>
          <cell r="L1572" t="str">
            <v>OK</v>
          </cell>
        </row>
        <row r="1573">
          <cell r="A1573" t="str">
            <v>AHW-45387I21</v>
          </cell>
          <cell r="B1573">
            <v>78209407</v>
          </cell>
          <cell r="C1573" t="str">
            <v>Original</v>
          </cell>
          <cell r="D1573" t="str">
            <v>CEVA</v>
          </cell>
          <cell r="E1573" t="str">
            <v>Rodoimport</v>
          </cell>
          <cell r="F1573">
            <v>44519</v>
          </cell>
          <cell r="G1573">
            <v>44527</v>
          </cell>
          <cell r="H1573">
            <v>44529</v>
          </cell>
          <cell r="I1573" t="str">
            <v>25.11.2021</v>
          </cell>
          <cell r="J1573" t="str">
            <v>24.11.2021</v>
          </cell>
          <cell r="K1573" t="str">
            <v>-</v>
          </cell>
          <cell r="L1573" t="str">
            <v>OK</v>
          </cell>
        </row>
        <row r="1574">
          <cell r="A1574" t="str">
            <v>AHW-45453I21</v>
          </cell>
          <cell r="B1574">
            <v>78209473</v>
          </cell>
          <cell r="C1574" t="str">
            <v>Original</v>
          </cell>
          <cell r="D1574" t="str">
            <v>CEVA</v>
          </cell>
          <cell r="E1574" t="str">
            <v>Rodoimport</v>
          </cell>
          <cell r="F1574">
            <v>44519</v>
          </cell>
          <cell r="G1574">
            <v>44527</v>
          </cell>
          <cell r="H1574">
            <v>44529</v>
          </cell>
          <cell r="I1574" t="str">
            <v>24.11.2021</v>
          </cell>
          <cell r="J1574" t="str">
            <v>24.11.2021</v>
          </cell>
          <cell r="K1574" t="str">
            <v>-</v>
          </cell>
          <cell r="L1574" t="str">
            <v>OK</v>
          </cell>
        </row>
        <row r="1575">
          <cell r="A1575" t="str">
            <v>AHW-45448I21</v>
          </cell>
          <cell r="B1575">
            <v>78209467</v>
          </cell>
          <cell r="C1575" t="str">
            <v>Original</v>
          </cell>
          <cell r="D1575" t="str">
            <v>CEVA</v>
          </cell>
          <cell r="E1575" t="str">
            <v>Rodoimport</v>
          </cell>
          <cell r="F1575">
            <v>44517</v>
          </cell>
          <cell r="G1575">
            <v>44525</v>
          </cell>
          <cell r="H1575">
            <v>44527</v>
          </cell>
          <cell r="I1575" t="str">
            <v>25.11.2021</v>
          </cell>
          <cell r="J1575" t="str">
            <v>24.11.2021</v>
          </cell>
          <cell r="K1575" t="str">
            <v>-</v>
          </cell>
          <cell r="L1575" t="str">
            <v>OK</v>
          </cell>
        </row>
        <row r="1576">
          <cell r="A1576" t="str">
            <v>AHW-45546I21</v>
          </cell>
          <cell r="B1576">
            <v>4005021</v>
          </cell>
          <cell r="C1576" t="str">
            <v>Original</v>
          </cell>
          <cell r="D1576" t="str">
            <v>CTS</v>
          </cell>
          <cell r="E1576" t="str">
            <v>JP</v>
          </cell>
          <cell r="F1576">
            <v>44523</v>
          </cell>
          <cell r="G1576">
            <v>44531</v>
          </cell>
          <cell r="H1576">
            <v>44533</v>
          </cell>
          <cell r="I1576" t="str">
            <v>07.12.2021</v>
          </cell>
          <cell r="J1576" t="str">
            <v>02.12.2021</v>
          </cell>
          <cell r="K1576" t="str">
            <v>-</v>
          </cell>
          <cell r="L1576" t="str">
            <v>OK</v>
          </cell>
        </row>
        <row r="1577">
          <cell r="A1577" t="str">
            <v>AHW-45545I21</v>
          </cell>
          <cell r="B1577">
            <v>4005022</v>
          </cell>
          <cell r="C1577" t="str">
            <v>Original</v>
          </cell>
          <cell r="D1577" t="str">
            <v>CTS</v>
          </cell>
          <cell r="E1577" t="str">
            <v>JP</v>
          </cell>
          <cell r="F1577">
            <v>44523</v>
          </cell>
          <cell r="G1577">
            <v>44531</v>
          </cell>
          <cell r="H1577">
            <v>44533</v>
          </cell>
          <cell r="I1577" t="str">
            <v>07.12.2021</v>
          </cell>
          <cell r="J1577" t="str">
            <v>02.12.2021</v>
          </cell>
          <cell r="K1577" t="str">
            <v>-</v>
          </cell>
          <cell r="L1577" t="str">
            <v>OK</v>
          </cell>
        </row>
        <row r="1578">
          <cell r="A1578" t="str">
            <v>AHW-45548I21</v>
          </cell>
          <cell r="B1578">
            <v>4005003</v>
          </cell>
          <cell r="C1578" t="str">
            <v>Original</v>
          </cell>
          <cell r="D1578" t="str">
            <v>CTS</v>
          </cell>
          <cell r="E1578" t="str">
            <v>JP</v>
          </cell>
          <cell r="F1578">
            <v>44523</v>
          </cell>
          <cell r="G1578">
            <v>44531</v>
          </cell>
          <cell r="H1578">
            <v>44533</v>
          </cell>
          <cell r="I1578" t="str">
            <v>07.12.2021</v>
          </cell>
          <cell r="J1578" t="str">
            <v>02.12.2021</v>
          </cell>
          <cell r="K1578" t="str">
            <v>-</v>
          </cell>
          <cell r="L1578" t="str">
            <v>OK</v>
          </cell>
        </row>
        <row r="1579">
          <cell r="A1579" t="str">
            <v>AHW-45549I21</v>
          </cell>
          <cell r="B1579">
            <v>4004990</v>
          </cell>
          <cell r="C1579" t="str">
            <v>Original</v>
          </cell>
          <cell r="D1579" t="str">
            <v>CTS</v>
          </cell>
          <cell r="E1579" t="str">
            <v>JP</v>
          </cell>
          <cell r="F1579">
            <v>44523</v>
          </cell>
          <cell r="G1579">
            <v>44531</v>
          </cell>
          <cell r="H1579">
            <v>44533</v>
          </cell>
          <cell r="I1579" t="str">
            <v>07.12.2021</v>
          </cell>
          <cell r="J1579" t="str">
            <v>02.12.2021</v>
          </cell>
          <cell r="K1579" t="str">
            <v>-</v>
          </cell>
          <cell r="L1579" t="str">
            <v>OK</v>
          </cell>
        </row>
        <row r="1580">
          <cell r="A1580" t="str">
            <v>AHW-45550I21</v>
          </cell>
          <cell r="B1580">
            <v>4005023</v>
          </cell>
          <cell r="C1580" t="str">
            <v>Original</v>
          </cell>
          <cell r="D1580" t="str">
            <v>CTS</v>
          </cell>
          <cell r="E1580" t="str">
            <v>JP</v>
          </cell>
          <cell r="F1580">
            <v>44523</v>
          </cell>
          <cell r="G1580">
            <v>44531</v>
          </cell>
          <cell r="H1580">
            <v>44533</v>
          </cell>
          <cell r="I1580" t="str">
            <v>07.12.2021</v>
          </cell>
          <cell r="J1580" t="str">
            <v>02.12.2021</v>
          </cell>
          <cell r="K1580" t="str">
            <v>-</v>
          </cell>
          <cell r="L1580" t="str">
            <v>OK</v>
          </cell>
        </row>
        <row r="1581">
          <cell r="A1581" t="str">
            <v>AHW-45551I21</v>
          </cell>
          <cell r="B1581">
            <v>4005005</v>
          </cell>
          <cell r="C1581" t="str">
            <v>Original</v>
          </cell>
          <cell r="D1581" t="str">
            <v>CTS</v>
          </cell>
          <cell r="E1581" t="str">
            <v>JP</v>
          </cell>
          <cell r="F1581">
            <v>44523</v>
          </cell>
          <cell r="G1581">
            <v>44531</v>
          </cell>
          <cell r="H1581">
            <v>44533</v>
          </cell>
          <cell r="I1581" t="str">
            <v>03.12.2021</v>
          </cell>
          <cell r="J1581" t="str">
            <v>02.12.2021</v>
          </cell>
          <cell r="K1581" t="str">
            <v>-</v>
          </cell>
          <cell r="L1581" t="str">
            <v>OK</v>
          </cell>
        </row>
        <row r="1582">
          <cell r="A1582" t="str">
            <v>AHW-45552I21</v>
          </cell>
          <cell r="B1582">
            <v>4005010</v>
          </cell>
          <cell r="C1582" t="str">
            <v>Original</v>
          </cell>
          <cell r="D1582" t="str">
            <v>CTS</v>
          </cell>
          <cell r="E1582" t="str">
            <v>JP</v>
          </cell>
          <cell r="F1582">
            <v>44523</v>
          </cell>
          <cell r="G1582">
            <v>44531</v>
          </cell>
          <cell r="H1582">
            <v>44533</v>
          </cell>
          <cell r="I1582" t="str">
            <v>03.12.2021</v>
          </cell>
          <cell r="J1582" t="str">
            <v>02.12.2021</v>
          </cell>
          <cell r="K1582" t="str">
            <v>-</v>
          </cell>
          <cell r="L1582" t="str">
            <v>OK</v>
          </cell>
        </row>
        <row r="1583">
          <cell r="A1583" t="str">
            <v>AHW-45602I21</v>
          </cell>
          <cell r="B1583">
            <v>4005000</v>
          </cell>
          <cell r="C1583" t="str">
            <v>Original</v>
          </cell>
          <cell r="D1583" t="str">
            <v>CTS</v>
          </cell>
          <cell r="E1583" t="str">
            <v>JP</v>
          </cell>
          <cell r="F1583">
            <v>44523</v>
          </cell>
          <cell r="G1583">
            <v>44531</v>
          </cell>
          <cell r="H1583">
            <v>44533</v>
          </cell>
          <cell r="I1583" t="str">
            <v>07.12.2021</v>
          </cell>
          <cell r="J1583" t="str">
            <v>02.12.2021</v>
          </cell>
          <cell r="K1583" t="str">
            <v>-</v>
          </cell>
          <cell r="L1583" t="str">
            <v>OK</v>
          </cell>
        </row>
        <row r="1584">
          <cell r="A1584" t="str">
            <v>AHW-45215I21</v>
          </cell>
          <cell r="B1584">
            <v>78209404</v>
          </cell>
          <cell r="C1584" t="str">
            <v>Original</v>
          </cell>
          <cell r="D1584" t="str">
            <v>CEVA</v>
          </cell>
          <cell r="E1584" t="str">
            <v>Rodoimport</v>
          </cell>
          <cell r="F1584">
            <v>44523</v>
          </cell>
          <cell r="G1584">
            <v>44531</v>
          </cell>
          <cell r="H1584">
            <v>44533</v>
          </cell>
          <cell r="I1584" t="str">
            <v>07.12.2021</v>
          </cell>
          <cell r="J1584" t="str">
            <v>02.12.2021</v>
          </cell>
          <cell r="K1584" t="str">
            <v>-</v>
          </cell>
          <cell r="L1584" t="str">
            <v>OK</v>
          </cell>
        </row>
        <row r="1585">
          <cell r="A1585" t="str">
            <v>AHW-45450I21</v>
          </cell>
          <cell r="B1585">
            <v>78209480</v>
          </cell>
          <cell r="C1585" t="str">
            <v>Original</v>
          </cell>
          <cell r="D1585" t="str">
            <v>CEVA</v>
          </cell>
          <cell r="E1585" t="str">
            <v>Rodoimport</v>
          </cell>
          <cell r="F1585">
            <v>44523</v>
          </cell>
          <cell r="G1585">
            <v>44531</v>
          </cell>
          <cell r="H1585">
            <v>44533</v>
          </cell>
          <cell r="I1585" t="str">
            <v>07.12.2021</v>
          </cell>
          <cell r="J1585" t="str">
            <v>02.12.2021</v>
          </cell>
          <cell r="K1585" t="str">
            <v>-</v>
          </cell>
          <cell r="L1585" t="str">
            <v>OK</v>
          </cell>
        </row>
        <row r="1586">
          <cell r="A1586" t="str">
            <v>AHW-45454I21</v>
          </cell>
          <cell r="B1586">
            <v>78209477</v>
          </cell>
          <cell r="C1586" t="str">
            <v>Original</v>
          </cell>
          <cell r="D1586" t="str">
            <v>CEVA</v>
          </cell>
          <cell r="E1586" t="str">
            <v>Rodoimport</v>
          </cell>
          <cell r="F1586">
            <v>44523</v>
          </cell>
          <cell r="G1586">
            <v>44531</v>
          </cell>
          <cell r="H1586">
            <v>44533</v>
          </cell>
          <cell r="I1586" t="str">
            <v>07.12.2021</v>
          </cell>
          <cell r="J1586" t="str">
            <v>02.12.2021</v>
          </cell>
          <cell r="K1586" t="str">
            <v>-</v>
          </cell>
          <cell r="L1586" t="str">
            <v>OK</v>
          </cell>
        </row>
        <row r="1587">
          <cell r="A1587" t="str">
            <v>SHW-44862I21</v>
          </cell>
          <cell r="B1587" t="str">
            <v>EGLV149112984931</v>
          </cell>
          <cell r="C1587" t="str">
            <v>Original</v>
          </cell>
          <cell r="D1587" t="str">
            <v>Shenker</v>
          </cell>
          <cell r="E1587" t="str">
            <v>Unitrading</v>
          </cell>
          <cell r="F1587">
            <v>44524</v>
          </cell>
          <cell r="G1587">
            <v>44532</v>
          </cell>
          <cell r="H1587">
            <v>44534</v>
          </cell>
          <cell r="I1587" t="str">
            <v>03.12.2021</v>
          </cell>
          <cell r="J1587" t="str">
            <v>01.12.2021</v>
          </cell>
          <cell r="K1587" t="str">
            <v>-</v>
          </cell>
          <cell r="L1587" t="str">
            <v>OK</v>
          </cell>
        </row>
        <row r="1588">
          <cell r="A1588" t="str">
            <v>SHW-45072I21</v>
          </cell>
          <cell r="B1588" t="str">
            <v>EGLV149111512122</v>
          </cell>
          <cell r="C1588" t="str">
            <v>Original</v>
          </cell>
          <cell r="D1588" t="str">
            <v>Shenker</v>
          </cell>
          <cell r="E1588" t="str">
            <v>Unitrading</v>
          </cell>
          <cell r="F1588">
            <v>44524</v>
          </cell>
          <cell r="G1588">
            <v>44532</v>
          </cell>
          <cell r="H1588">
            <v>44534</v>
          </cell>
          <cell r="I1588" t="str">
            <v>03.12.2021</v>
          </cell>
          <cell r="J1588" t="str">
            <v>01.12.2021</v>
          </cell>
          <cell r="K1588" t="str">
            <v>-</v>
          </cell>
          <cell r="L1588" t="str">
            <v>OK</v>
          </cell>
        </row>
        <row r="1589">
          <cell r="A1589" t="str">
            <v>SHW-44892I21</v>
          </cell>
          <cell r="B1589" t="str">
            <v>EGLV149113064071</v>
          </cell>
          <cell r="C1589" t="str">
            <v>Original</v>
          </cell>
          <cell r="D1589" t="str">
            <v>Shenker</v>
          </cell>
          <cell r="E1589" t="str">
            <v>Unitrading</v>
          </cell>
          <cell r="F1589">
            <v>44524</v>
          </cell>
          <cell r="G1589">
            <v>44532</v>
          </cell>
          <cell r="H1589">
            <v>44534</v>
          </cell>
          <cell r="I1589" t="str">
            <v>03.12.2021</v>
          </cell>
          <cell r="J1589" t="str">
            <v>01.12.2021</v>
          </cell>
          <cell r="K1589" t="str">
            <v>-</v>
          </cell>
          <cell r="L1589" t="str">
            <v>OK</v>
          </cell>
        </row>
        <row r="1590">
          <cell r="A1590" t="str">
            <v>SHW-44894I21</v>
          </cell>
          <cell r="B1590" t="str">
            <v>EGLV149113063759</v>
          </cell>
          <cell r="C1590" t="str">
            <v>Original</v>
          </cell>
          <cell r="D1590" t="str">
            <v>Shenker</v>
          </cell>
          <cell r="E1590" t="str">
            <v>Unitrading</v>
          </cell>
          <cell r="F1590">
            <v>44524</v>
          </cell>
          <cell r="G1590">
            <v>44532</v>
          </cell>
          <cell r="H1590">
            <v>44534</v>
          </cell>
          <cell r="I1590" t="str">
            <v>03.12.2021</v>
          </cell>
          <cell r="J1590" t="str">
            <v>01.12.2021</v>
          </cell>
          <cell r="K1590" t="str">
            <v>-</v>
          </cell>
          <cell r="L1590" t="str">
            <v>OK</v>
          </cell>
        </row>
        <row r="1591">
          <cell r="A1591" t="str">
            <v>SHW-44863I21</v>
          </cell>
          <cell r="B1591" t="str">
            <v>EGLV149112985008</v>
          </cell>
          <cell r="C1591" t="str">
            <v>Original</v>
          </cell>
          <cell r="D1591" t="str">
            <v>Shenker</v>
          </cell>
          <cell r="E1591" t="str">
            <v>Unitrading</v>
          </cell>
          <cell r="F1591">
            <v>44523</v>
          </cell>
          <cell r="G1591">
            <v>44531</v>
          </cell>
          <cell r="H1591">
            <v>44533</v>
          </cell>
          <cell r="I1591" t="str">
            <v>03.12.2021</v>
          </cell>
          <cell r="J1591" t="str">
            <v>25.11.2021</v>
          </cell>
          <cell r="K1591" t="str">
            <v>-</v>
          </cell>
          <cell r="L1591" t="str">
            <v>OK</v>
          </cell>
        </row>
        <row r="1592">
          <cell r="A1592" t="str">
            <v>SHW-44893I21</v>
          </cell>
          <cell r="B1592" t="str">
            <v>EGLV149112999335</v>
          </cell>
          <cell r="C1592" t="str">
            <v>Original</v>
          </cell>
          <cell r="D1592" t="str">
            <v>Shenker</v>
          </cell>
          <cell r="E1592" t="str">
            <v>Unitrading</v>
          </cell>
          <cell r="F1592">
            <v>44523</v>
          </cell>
          <cell r="G1592">
            <v>44531</v>
          </cell>
          <cell r="H1592">
            <v>44533</v>
          </cell>
          <cell r="I1592" t="str">
            <v>03.12.2021</v>
          </cell>
          <cell r="J1592" t="str">
            <v>01.12.2021</v>
          </cell>
          <cell r="K1592" t="str">
            <v>-</v>
          </cell>
          <cell r="L1592" t="str">
            <v>OK</v>
          </cell>
        </row>
        <row r="1593">
          <cell r="A1593" t="str">
            <v>SHW-44784I21</v>
          </cell>
          <cell r="B1593" t="str">
            <v>EGLV149110827502</v>
          </cell>
          <cell r="C1593" t="str">
            <v>Original</v>
          </cell>
          <cell r="D1593" t="str">
            <v>Shenker</v>
          </cell>
          <cell r="E1593" t="str">
            <v>Unitrading</v>
          </cell>
          <cell r="F1593">
            <v>44523</v>
          </cell>
          <cell r="G1593">
            <v>44531</v>
          </cell>
          <cell r="H1593">
            <v>44533</v>
          </cell>
          <cell r="I1593" t="str">
            <v>03.12.2021</v>
          </cell>
          <cell r="J1593" t="str">
            <v>01.12.2021</v>
          </cell>
          <cell r="K1593" t="str">
            <v>-</v>
          </cell>
          <cell r="L1593" t="str">
            <v>OK</v>
          </cell>
        </row>
        <row r="1594">
          <cell r="A1594" t="str">
            <v>AMS-45834I21</v>
          </cell>
          <cell r="B1594" t="str">
            <v>1Z6469V00447575849</v>
          </cell>
          <cell r="C1594" t="str">
            <v>Brasiliense</v>
          </cell>
          <cell r="D1594" t="str">
            <v>UPS</v>
          </cell>
          <cell r="E1594" t="str">
            <v>Future</v>
          </cell>
          <cell r="F1594">
            <v>44530</v>
          </cell>
          <cell r="G1594">
            <v>44538</v>
          </cell>
          <cell r="H1594">
            <v>44540</v>
          </cell>
          <cell r="I1594" t="str">
            <v>07.12.2021</v>
          </cell>
          <cell r="J1594" t="str">
            <v>09.12.2021</v>
          </cell>
          <cell r="K1594" t="str">
            <v>06.12.2021</v>
          </cell>
          <cell r="L1594" t="str">
            <v>OK</v>
          </cell>
        </row>
        <row r="1595">
          <cell r="A1595" t="str">
            <v>AMS-45835I21</v>
          </cell>
          <cell r="B1595" t="str">
            <v>1Z6469V00446549334</v>
          </cell>
          <cell r="C1595" t="str">
            <v>Brasiliense</v>
          </cell>
          <cell r="D1595" t="str">
            <v>UPS</v>
          </cell>
          <cell r="E1595" t="str">
            <v>Future</v>
          </cell>
          <cell r="F1595">
            <v>44530</v>
          </cell>
          <cell r="G1595">
            <v>44538</v>
          </cell>
          <cell r="H1595">
            <v>44540</v>
          </cell>
          <cell r="I1595" t="str">
            <v>07.12.2021</v>
          </cell>
          <cell r="J1595" t="str">
            <v>09.12.2021</v>
          </cell>
          <cell r="K1595" t="str">
            <v>06.12.2021</v>
          </cell>
          <cell r="L1595" t="str">
            <v>OK</v>
          </cell>
        </row>
        <row r="1596">
          <cell r="A1596" t="str">
            <v>AMS-45483I21</v>
          </cell>
          <cell r="B1596" t="str">
            <v>41L0073911</v>
          </cell>
          <cell r="C1596" t="str">
            <v>Original</v>
          </cell>
          <cell r="D1596" t="str">
            <v>Expeditors</v>
          </cell>
          <cell r="E1596" t="str">
            <v>Expeditors</v>
          </cell>
          <cell r="F1596">
            <v>44522</v>
          </cell>
          <cell r="G1596">
            <v>44530</v>
          </cell>
          <cell r="H1596">
            <v>44532</v>
          </cell>
          <cell r="I1596" t="str">
            <v>24.11.2021</v>
          </cell>
          <cell r="J1596" t="str">
            <v>23.11.2021</v>
          </cell>
          <cell r="K1596" t="str">
            <v>-</v>
          </cell>
          <cell r="L1596" t="str">
            <v>OK</v>
          </cell>
        </row>
        <row r="1597">
          <cell r="A1597" t="str">
            <v>AMS-45484I21</v>
          </cell>
          <cell r="B1597" t="str">
            <v>41L0073909</v>
          </cell>
          <cell r="C1597" t="str">
            <v>Original</v>
          </cell>
          <cell r="D1597" t="str">
            <v>Expeditors</v>
          </cell>
          <cell r="E1597" t="str">
            <v>Expeditors</v>
          </cell>
          <cell r="F1597">
            <v>44522</v>
          </cell>
          <cell r="G1597">
            <v>44530</v>
          </cell>
          <cell r="H1597">
            <v>44532</v>
          </cell>
          <cell r="I1597" t="str">
            <v>24.11.2021</v>
          </cell>
          <cell r="J1597" t="str">
            <v>23.11.2021</v>
          </cell>
          <cell r="K1597" t="str">
            <v>-</v>
          </cell>
          <cell r="L1597" t="str">
            <v>OK</v>
          </cell>
        </row>
        <row r="1598">
          <cell r="A1598" t="str">
            <v>AMS-45485I21</v>
          </cell>
          <cell r="B1598" t="str">
            <v>41L0073912</v>
          </cell>
          <cell r="C1598" t="str">
            <v>Original</v>
          </cell>
          <cell r="D1598" t="str">
            <v>Expeditors</v>
          </cell>
          <cell r="E1598" t="str">
            <v>Expeditors</v>
          </cell>
          <cell r="F1598">
            <v>44531</v>
          </cell>
          <cell r="G1598">
            <v>44539</v>
          </cell>
          <cell r="H1598">
            <v>44541</v>
          </cell>
          <cell r="I1598" t="str">
            <v>24.11.2021</v>
          </cell>
          <cell r="J1598" t="str">
            <v>09.12.2021</v>
          </cell>
          <cell r="K1598" t="str">
            <v>-</v>
          </cell>
          <cell r="L1598" t="str">
            <v>OK</v>
          </cell>
        </row>
        <row r="1599">
          <cell r="A1599" t="str">
            <v>AMS-45486I21</v>
          </cell>
          <cell r="B1599" t="str">
            <v>41L0073910</v>
          </cell>
          <cell r="C1599" t="str">
            <v>Original</v>
          </cell>
          <cell r="D1599" t="str">
            <v>Expeditors</v>
          </cell>
          <cell r="E1599" t="str">
            <v>Expeditors</v>
          </cell>
          <cell r="F1599">
            <v>44531</v>
          </cell>
          <cell r="G1599">
            <v>44539</v>
          </cell>
          <cell r="H1599">
            <v>44541</v>
          </cell>
          <cell r="I1599" t="str">
            <v>24.11.2021</v>
          </cell>
          <cell r="J1599" t="str">
            <v>09.12.2021</v>
          </cell>
          <cell r="K1599" t="str">
            <v>-</v>
          </cell>
          <cell r="L1599" t="str">
            <v>OK</v>
          </cell>
        </row>
        <row r="1600">
          <cell r="A1600" t="str">
            <v>AHW-45452I21</v>
          </cell>
          <cell r="B1600">
            <v>78209497</v>
          </cell>
          <cell r="C1600" t="str">
            <v>Original</v>
          </cell>
          <cell r="D1600" t="str">
            <v>CEVA</v>
          </cell>
          <cell r="E1600" t="str">
            <v>Rodoimport</v>
          </cell>
          <cell r="F1600">
            <v>44529</v>
          </cell>
          <cell r="G1600">
            <v>44537</v>
          </cell>
          <cell r="H1600">
            <v>44539</v>
          </cell>
          <cell r="I1600" t="str">
            <v>07.12.2021</v>
          </cell>
          <cell r="J1600" t="str">
            <v>08.12.2021</v>
          </cell>
          <cell r="K1600" t="str">
            <v>-</v>
          </cell>
          <cell r="L1600" t="str">
            <v>OK</v>
          </cell>
        </row>
        <row r="1601">
          <cell r="A1601" t="str">
            <v>AHW-45478I21</v>
          </cell>
          <cell r="B1601">
            <v>78209470</v>
          </cell>
          <cell r="C1601" t="str">
            <v>Original</v>
          </cell>
          <cell r="D1601" t="str">
            <v>CEVA</v>
          </cell>
          <cell r="E1601" t="str">
            <v>Rodoimport</v>
          </cell>
          <cell r="F1601">
            <v>44529</v>
          </cell>
          <cell r="G1601">
            <v>44537</v>
          </cell>
          <cell r="H1601">
            <v>44539</v>
          </cell>
          <cell r="I1601" t="str">
            <v>07.12.2021</v>
          </cell>
          <cell r="J1601" t="str">
            <v>08.12.2021</v>
          </cell>
          <cell r="K1601" t="str">
            <v>-</v>
          </cell>
          <cell r="L1601" t="str">
            <v>OK</v>
          </cell>
        </row>
        <row r="1602">
          <cell r="A1602" t="str">
            <v>AHW-45605I21</v>
          </cell>
          <cell r="B1602">
            <v>4005077</v>
          </cell>
          <cell r="C1602" t="str">
            <v>Original</v>
          </cell>
          <cell r="D1602" t="str">
            <v>CTS</v>
          </cell>
          <cell r="E1602" t="str">
            <v>JP</v>
          </cell>
          <cell r="F1602">
            <v>44529</v>
          </cell>
          <cell r="G1602">
            <v>44537</v>
          </cell>
          <cell r="H1602">
            <v>44539</v>
          </cell>
          <cell r="I1602" t="str">
            <v>03.12.2021</v>
          </cell>
          <cell r="J1602" t="str">
            <v>09.12.2021</v>
          </cell>
          <cell r="K1602" t="str">
            <v>-</v>
          </cell>
          <cell r="L1602" t="str">
            <v>OK</v>
          </cell>
        </row>
        <row r="1603">
          <cell r="A1603" t="str">
            <v>AHW-45668I21</v>
          </cell>
          <cell r="B1603">
            <v>4005075</v>
          </cell>
          <cell r="C1603" t="str">
            <v>Original</v>
          </cell>
          <cell r="D1603" t="str">
            <v>CTS</v>
          </cell>
          <cell r="E1603" t="str">
            <v>JP</v>
          </cell>
          <cell r="F1603">
            <v>44529</v>
          </cell>
          <cell r="G1603">
            <v>44537</v>
          </cell>
          <cell r="H1603">
            <v>44539</v>
          </cell>
          <cell r="I1603" t="str">
            <v>03.12.2021</v>
          </cell>
          <cell r="J1603" t="str">
            <v>09.12.2021</v>
          </cell>
          <cell r="K1603" t="str">
            <v>-</v>
          </cell>
          <cell r="L1603" t="str">
            <v>OK</v>
          </cell>
        </row>
        <row r="1604">
          <cell r="A1604" t="str">
            <v>AHW-45553I21</v>
          </cell>
          <cell r="B1604">
            <v>78209652</v>
          </cell>
          <cell r="C1604" t="str">
            <v>Original</v>
          </cell>
          <cell r="D1604" t="str">
            <v>CEVA</v>
          </cell>
          <cell r="E1604" t="str">
            <v>Rodoimport</v>
          </cell>
          <cell r="F1604">
            <v>44530</v>
          </cell>
          <cell r="G1604">
            <v>44538</v>
          </cell>
          <cell r="H1604">
            <v>44540</v>
          </cell>
          <cell r="I1604" t="str">
            <v>07.12.2021</v>
          </cell>
          <cell r="J1604" t="str">
            <v>09.12.2021</v>
          </cell>
          <cell r="K1604" t="str">
            <v>-</v>
          </cell>
          <cell r="L1604" t="str">
            <v>OK</v>
          </cell>
        </row>
        <row r="1605">
          <cell r="A1605" t="str">
            <v>AHW-45456I21</v>
          </cell>
          <cell r="B1605">
            <v>78209472</v>
          </cell>
          <cell r="C1605" t="str">
            <v>Original</v>
          </cell>
          <cell r="D1605" t="str">
            <v>CEVA</v>
          </cell>
          <cell r="E1605" t="str">
            <v>Rodoimport</v>
          </cell>
          <cell r="F1605">
            <v>44530</v>
          </cell>
          <cell r="G1605">
            <v>44538</v>
          </cell>
          <cell r="H1605">
            <v>44540</v>
          </cell>
          <cell r="I1605" t="str">
            <v>09.12.2021</v>
          </cell>
          <cell r="J1605" t="str">
            <v>08.12.2021</v>
          </cell>
          <cell r="K1605" t="str">
            <v>-</v>
          </cell>
          <cell r="L1605" t="str">
            <v>OK</v>
          </cell>
        </row>
        <row r="1606">
          <cell r="A1606" t="str">
            <v>AHW-45547I21</v>
          </cell>
          <cell r="B1606">
            <v>78209650</v>
          </cell>
          <cell r="C1606" t="str">
            <v>Original</v>
          </cell>
          <cell r="D1606" t="str">
            <v>CEVA</v>
          </cell>
          <cell r="E1606" t="str">
            <v>Rodoimport</v>
          </cell>
          <cell r="F1606">
            <v>44530</v>
          </cell>
          <cell r="G1606">
            <v>44538</v>
          </cell>
          <cell r="H1606">
            <v>44540</v>
          </cell>
          <cell r="I1606" t="str">
            <v>09.12.2021</v>
          </cell>
          <cell r="J1606" t="str">
            <v>08.12.2021</v>
          </cell>
          <cell r="K1606" t="str">
            <v>-</v>
          </cell>
          <cell r="L1606" t="str">
            <v>OK</v>
          </cell>
        </row>
        <row r="1607">
          <cell r="A1607" t="str">
            <v>AHW-45597I21</v>
          </cell>
          <cell r="B1607">
            <v>78209651</v>
          </cell>
          <cell r="C1607" t="str">
            <v>Original</v>
          </cell>
          <cell r="D1607" t="str">
            <v>CEVA</v>
          </cell>
          <cell r="E1607" t="str">
            <v>Rodoimport</v>
          </cell>
          <cell r="F1607">
            <v>44530</v>
          </cell>
          <cell r="G1607">
            <v>44538</v>
          </cell>
          <cell r="H1607">
            <v>44540</v>
          </cell>
          <cell r="I1607" t="str">
            <v>09.12.2021</v>
          </cell>
          <cell r="J1607" t="str">
            <v>08.12.2021</v>
          </cell>
          <cell r="K1607" t="str">
            <v>-</v>
          </cell>
          <cell r="L1607" t="str">
            <v>OK</v>
          </cell>
        </row>
        <row r="1608">
          <cell r="A1608" t="str">
            <v>AHW-45595I21</v>
          </cell>
          <cell r="B1608">
            <v>4005041</v>
          </cell>
          <cell r="C1608" t="str">
            <v>Original</v>
          </cell>
          <cell r="D1608" t="str">
            <v>CTS</v>
          </cell>
          <cell r="E1608" t="str">
            <v>JP</v>
          </cell>
          <cell r="F1608">
            <v>44530</v>
          </cell>
          <cell r="G1608">
            <v>44538</v>
          </cell>
          <cell r="H1608">
            <v>44540</v>
          </cell>
          <cell r="I1608" t="str">
            <v>07.12.2021</v>
          </cell>
          <cell r="J1608" t="str">
            <v>09.12.2021</v>
          </cell>
          <cell r="K1608" t="str">
            <v>-</v>
          </cell>
          <cell r="L1608" t="str">
            <v>OK</v>
          </cell>
        </row>
        <row r="1609">
          <cell r="A1609" t="str">
            <v>AHW-45596I21</v>
          </cell>
          <cell r="B1609">
            <v>4005034</v>
          </cell>
          <cell r="C1609" t="str">
            <v>Original</v>
          </cell>
          <cell r="D1609" t="str">
            <v>CTS</v>
          </cell>
          <cell r="E1609" t="str">
            <v>JP</v>
          </cell>
          <cell r="F1609">
            <v>44530</v>
          </cell>
          <cell r="G1609">
            <v>44538</v>
          </cell>
          <cell r="H1609">
            <v>44540</v>
          </cell>
          <cell r="I1609" t="str">
            <v>03.12.2021</v>
          </cell>
          <cell r="J1609" t="str">
            <v>09.12.2021</v>
          </cell>
          <cell r="K1609" t="str">
            <v>-</v>
          </cell>
          <cell r="L1609" t="str">
            <v>OK</v>
          </cell>
        </row>
        <row r="1610">
          <cell r="A1610" t="str">
            <v>AHW-45598I21</v>
          </cell>
          <cell r="B1610">
            <v>4005044</v>
          </cell>
          <cell r="C1610" t="str">
            <v>Original</v>
          </cell>
          <cell r="D1610" t="str">
            <v>CTS</v>
          </cell>
          <cell r="E1610" t="str">
            <v>JP</v>
          </cell>
          <cell r="F1610">
            <v>44530</v>
          </cell>
          <cell r="G1610">
            <v>44538</v>
          </cell>
          <cell r="H1610">
            <v>44540</v>
          </cell>
          <cell r="I1610" t="str">
            <v>03.12.2021</v>
          </cell>
          <cell r="J1610" t="str">
            <v>09.12.2021</v>
          </cell>
          <cell r="K1610" t="str">
            <v>-</v>
          </cell>
          <cell r="L1610" t="str">
            <v>OK</v>
          </cell>
        </row>
        <row r="1611">
          <cell r="A1611" t="str">
            <v>AHW-45599I21</v>
          </cell>
          <cell r="B1611">
            <v>4005045</v>
          </cell>
          <cell r="C1611" t="str">
            <v>Original</v>
          </cell>
          <cell r="D1611" t="str">
            <v>CTS</v>
          </cell>
          <cell r="E1611" t="str">
            <v>JP</v>
          </cell>
          <cell r="F1611">
            <v>44530</v>
          </cell>
          <cell r="G1611">
            <v>44538</v>
          </cell>
          <cell r="H1611">
            <v>44540</v>
          </cell>
          <cell r="I1611" t="str">
            <v>03.12.2021</v>
          </cell>
          <cell r="J1611" t="str">
            <v>09.12.2021</v>
          </cell>
          <cell r="K1611" t="str">
            <v>-</v>
          </cell>
          <cell r="L1611" t="str">
            <v>OK</v>
          </cell>
        </row>
        <row r="1612">
          <cell r="A1612" t="str">
            <v>AHW-45600I21</v>
          </cell>
          <cell r="B1612">
            <v>4005042</v>
          </cell>
          <cell r="C1612" t="str">
            <v>Original</v>
          </cell>
          <cell r="D1612" t="str">
            <v>CTS</v>
          </cell>
          <cell r="E1612" t="str">
            <v>JP</v>
          </cell>
          <cell r="F1612">
            <v>44530</v>
          </cell>
          <cell r="G1612">
            <v>44538</v>
          </cell>
          <cell r="H1612">
            <v>44540</v>
          </cell>
          <cell r="I1612" t="str">
            <v>03.12.2021</v>
          </cell>
          <cell r="J1612" t="str">
            <v>09.12.2021</v>
          </cell>
          <cell r="K1612" t="str">
            <v>-</v>
          </cell>
          <cell r="L1612" t="str">
            <v>OK</v>
          </cell>
        </row>
        <row r="1613">
          <cell r="A1613" t="str">
            <v>AHW-45601I21</v>
          </cell>
          <cell r="B1613">
            <v>4005058</v>
          </cell>
          <cell r="C1613" t="str">
            <v>Original</v>
          </cell>
          <cell r="D1613" t="str">
            <v>CTS</v>
          </cell>
          <cell r="E1613" t="str">
            <v>JP</v>
          </cell>
          <cell r="F1613">
            <v>44530</v>
          </cell>
          <cell r="G1613">
            <v>44538</v>
          </cell>
          <cell r="H1613">
            <v>44540</v>
          </cell>
          <cell r="I1613" t="str">
            <v>03.12.2021</v>
          </cell>
          <cell r="J1613" t="str">
            <v>09.12.2021</v>
          </cell>
          <cell r="K1613" t="str">
            <v>-</v>
          </cell>
          <cell r="L1613" t="str">
            <v>OK</v>
          </cell>
        </row>
        <row r="1614">
          <cell r="A1614" t="str">
            <v>AHW-45603I21</v>
          </cell>
          <cell r="B1614">
            <v>4005048</v>
          </cell>
          <cell r="C1614" t="str">
            <v>Original</v>
          </cell>
          <cell r="D1614" t="str">
            <v>CTS</v>
          </cell>
          <cell r="E1614" t="str">
            <v>JP</v>
          </cell>
          <cell r="F1614">
            <v>44530</v>
          </cell>
          <cell r="G1614">
            <v>44538</v>
          </cell>
          <cell r="H1614">
            <v>44540</v>
          </cell>
          <cell r="I1614" t="str">
            <v>03.12.2021</v>
          </cell>
          <cell r="J1614" t="str">
            <v>09.12.2021</v>
          </cell>
          <cell r="K1614" t="str">
            <v>-</v>
          </cell>
          <cell r="L1614" t="str">
            <v>OK</v>
          </cell>
        </row>
        <row r="1615">
          <cell r="A1615" t="str">
            <v>AHW-45604I21</v>
          </cell>
          <cell r="B1615">
            <v>4005059</v>
          </cell>
          <cell r="C1615" t="str">
            <v>Original</v>
          </cell>
          <cell r="D1615" t="str">
            <v>CTS</v>
          </cell>
          <cell r="E1615" t="str">
            <v>JP</v>
          </cell>
          <cell r="F1615">
            <v>44530</v>
          </cell>
          <cell r="G1615">
            <v>44538</v>
          </cell>
          <cell r="H1615">
            <v>44540</v>
          </cell>
          <cell r="I1615" t="str">
            <v>07.12.2021</v>
          </cell>
          <cell r="J1615" t="str">
            <v>09.12.2021</v>
          </cell>
          <cell r="K1615" t="str">
            <v>-</v>
          </cell>
          <cell r="L1615" t="str">
            <v>OK</v>
          </cell>
        </row>
        <row r="1616">
          <cell r="A1616" t="str">
            <v>AHW-45747I21</v>
          </cell>
          <cell r="B1616">
            <v>4005076</v>
          </cell>
          <cell r="C1616" t="str">
            <v>Original</v>
          </cell>
          <cell r="D1616" t="str">
            <v>CTS</v>
          </cell>
          <cell r="E1616" t="str">
            <v>JP</v>
          </cell>
          <cell r="F1616">
            <v>44530</v>
          </cell>
          <cell r="G1616">
            <v>44538</v>
          </cell>
          <cell r="H1616">
            <v>44540</v>
          </cell>
          <cell r="I1616" t="str">
            <v>03.12.2021</v>
          </cell>
          <cell r="J1616" t="str">
            <v>09.12.2021</v>
          </cell>
          <cell r="K1616" t="str">
            <v>-</v>
          </cell>
          <cell r="L1616" t="str">
            <v>OK</v>
          </cell>
        </row>
        <row r="1617">
          <cell r="A1617" t="str">
            <v>AHW-45749I21</v>
          </cell>
          <cell r="B1617">
            <v>4005085</v>
          </cell>
          <cell r="C1617" t="str">
            <v>Original</v>
          </cell>
          <cell r="D1617" t="str">
            <v>CTS</v>
          </cell>
          <cell r="E1617" t="str">
            <v>JP</v>
          </cell>
          <cell r="F1617">
            <v>44537</v>
          </cell>
          <cell r="G1617">
            <v>44545</v>
          </cell>
          <cell r="H1617">
            <v>44547</v>
          </cell>
          <cell r="I1617" t="str">
            <v>15.12.2021</v>
          </cell>
          <cell r="J1617" t="str">
            <v>20.12.2021</v>
          </cell>
          <cell r="K1617" t="str">
            <v>-</v>
          </cell>
          <cell r="L1617" t="str">
            <v>OK</v>
          </cell>
        </row>
        <row r="1618">
          <cell r="A1618" t="str">
            <v>AHW-45751I21</v>
          </cell>
          <cell r="B1618">
            <v>4005081</v>
          </cell>
          <cell r="C1618" t="str">
            <v>Original</v>
          </cell>
          <cell r="D1618" t="str">
            <v>CTS</v>
          </cell>
          <cell r="E1618" t="str">
            <v>JP</v>
          </cell>
          <cell r="F1618">
            <v>44537</v>
          </cell>
          <cell r="G1618">
            <v>44545</v>
          </cell>
          <cell r="H1618">
            <v>44547</v>
          </cell>
          <cell r="I1618" t="str">
            <v>15.12.2021</v>
          </cell>
          <cell r="J1618" t="str">
            <v>20.12.2021</v>
          </cell>
          <cell r="K1618" t="str">
            <v>-</v>
          </cell>
          <cell r="L1618" t="str">
            <v>OK</v>
          </cell>
        </row>
        <row r="1619">
          <cell r="A1619" t="str">
            <v>SHW-45173I21</v>
          </cell>
          <cell r="B1619" t="str">
            <v>EGLV149112948099</v>
          </cell>
          <cell r="C1619" t="str">
            <v>Original</v>
          </cell>
          <cell r="D1619" t="str">
            <v>Shenker</v>
          </cell>
          <cell r="E1619" t="str">
            <v>Unitrading</v>
          </cell>
          <cell r="F1619">
            <v>44536</v>
          </cell>
          <cell r="G1619">
            <v>44544</v>
          </cell>
          <cell r="H1619">
            <v>44546</v>
          </cell>
          <cell r="I1619" t="str">
            <v>08.12.2021</v>
          </cell>
          <cell r="J1619" t="str">
            <v>07.12.2021</v>
          </cell>
          <cell r="K1619" t="str">
            <v>-</v>
          </cell>
          <cell r="L1619" t="str">
            <v>OK</v>
          </cell>
        </row>
        <row r="1620">
          <cell r="A1620" t="str">
            <v>SHW-45183I21</v>
          </cell>
          <cell r="B1620" t="str">
            <v>EGLV149113800681</v>
          </cell>
          <cell r="C1620" t="str">
            <v>Original</v>
          </cell>
          <cell r="D1620" t="str">
            <v>Shenker</v>
          </cell>
          <cell r="E1620" t="str">
            <v>Unitrading</v>
          </cell>
          <cell r="F1620">
            <v>44536</v>
          </cell>
          <cell r="G1620">
            <v>44544</v>
          </cell>
          <cell r="H1620">
            <v>44546</v>
          </cell>
          <cell r="I1620" t="str">
            <v>10.12.2021</v>
          </cell>
          <cell r="J1620" t="str">
            <v>07.12.2021</v>
          </cell>
          <cell r="K1620" t="str">
            <v>-</v>
          </cell>
          <cell r="L1620" t="str">
            <v>OK</v>
          </cell>
        </row>
        <row r="1621">
          <cell r="A1621" t="str">
            <v>SHW-45386I21</v>
          </cell>
          <cell r="B1621" t="str">
            <v>EGLV149114039380</v>
          </cell>
          <cell r="C1621" t="str">
            <v>Original</v>
          </cell>
          <cell r="D1621" t="str">
            <v>Shenker</v>
          </cell>
          <cell r="E1621" t="str">
            <v>Unitrading</v>
          </cell>
          <cell r="F1621">
            <v>44533</v>
          </cell>
          <cell r="G1621">
            <v>44541</v>
          </cell>
          <cell r="H1621">
            <v>44543</v>
          </cell>
          <cell r="I1621" t="str">
            <v>08.12.2021</v>
          </cell>
          <cell r="J1621" t="str">
            <v>07.12.2021</v>
          </cell>
          <cell r="K1621" t="str">
            <v>-</v>
          </cell>
          <cell r="L1621" t="str">
            <v>OK</v>
          </cell>
        </row>
        <row r="1622">
          <cell r="A1622" t="str">
            <v>SHW-45467I21</v>
          </cell>
          <cell r="B1622" t="str">
            <v>EGLV149113929586</v>
          </cell>
          <cell r="C1622" t="str">
            <v>Original</v>
          </cell>
          <cell r="D1622" t="str">
            <v>Shenker</v>
          </cell>
          <cell r="E1622" t="str">
            <v>Unitrading</v>
          </cell>
          <cell r="F1622">
            <v>44533</v>
          </cell>
          <cell r="G1622">
            <v>44541</v>
          </cell>
          <cell r="H1622">
            <v>44543</v>
          </cell>
          <cell r="I1622" t="str">
            <v>08.12.2021</v>
          </cell>
          <cell r="J1622" t="str">
            <v>07.12.2021</v>
          </cell>
          <cell r="K1622" t="str">
            <v>-</v>
          </cell>
          <cell r="L1622" t="str">
            <v>OK</v>
          </cell>
        </row>
        <row r="1623">
          <cell r="A1623" t="str">
            <v>AMS-45645I21</v>
          </cell>
          <cell r="B1623" t="str">
            <v>SHA00650506</v>
          </cell>
          <cell r="C1623" t="str">
            <v>Original</v>
          </cell>
          <cell r="D1623" t="str">
            <v>PGL</v>
          </cell>
          <cell r="E1623" t="str">
            <v>Technology</v>
          </cell>
          <cell r="F1623">
            <v>44536</v>
          </cell>
          <cell r="G1623">
            <v>44544</v>
          </cell>
          <cell r="H1623">
            <v>44546</v>
          </cell>
          <cell r="I1623" t="str">
            <v>16.12.2021</v>
          </cell>
          <cell r="J1623" t="str">
            <v>09.12.2021</v>
          </cell>
          <cell r="K1623" t="str">
            <v>-</v>
          </cell>
          <cell r="L1623" t="str">
            <v>OK</v>
          </cell>
        </row>
        <row r="1624">
          <cell r="A1624" t="str">
            <v>AMS-45647I21</v>
          </cell>
          <cell r="B1624" t="str">
            <v>SHA00651408</v>
          </cell>
          <cell r="C1624" t="str">
            <v>Original</v>
          </cell>
          <cell r="D1624" t="str">
            <v>PGL</v>
          </cell>
          <cell r="E1624" t="str">
            <v>Technology</v>
          </cell>
          <cell r="F1624">
            <v>44536</v>
          </cell>
          <cell r="G1624">
            <v>44544</v>
          </cell>
          <cell r="H1624">
            <v>44546</v>
          </cell>
          <cell r="I1624" t="str">
            <v>16.12.2021</v>
          </cell>
          <cell r="J1624" t="str">
            <v>09.12.2021</v>
          </cell>
          <cell r="K1624" t="str">
            <v>-</v>
          </cell>
          <cell r="L1624" t="str">
            <v>OK</v>
          </cell>
        </row>
        <row r="1625">
          <cell r="A1625" t="str">
            <v>AMS-45649I21</v>
          </cell>
          <cell r="B1625" t="str">
            <v>SHA00651400</v>
          </cell>
          <cell r="C1625" t="str">
            <v>Original</v>
          </cell>
          <cell r="D1625" t="str">
            <v>PGL</v>
          </cell>
          <cell r="E1625" t="str">
            <v>Technology</v>
          </cell>
          <cell r="F1625">
            <v>44536</v>
          </cell>
          <cell r="G1625">
            <v>44544</v>
          </cell>
          <cell r="H1625">
            <v>44546</v>
          </cell>
          <cell r="I1625" t="str">
            <v>16.12.2021</v>
          </cell>
          <cell r="J1625" t="str">
            <v>09.12.2021</v>
          </cell>
          <cell r="K1625" t="str">
            <v>-</v>
          </cell>
          <cell r="L1625" t="str">
            <v>OK</v>
          </cell>
        </row>
        <row r="1626">
          <cell r="A1626" t="str">
            <v>AMS-45651I21</v>
          </cell>
          <cell r="B1626" t="str">
            <v>SHA00651390</v>
          </cell>
          <cell r="C1626" t="str">
            <v>Original</v>
          </cell>
          <cell r="D1626" t="str">
            <v>PGL</v>
          </cell>
          <cell r="E1626" t="str">
            <v>Technology</v>
          </cell>
          <cell r="F1626">
            <v>44536</v>
          </cell>
          <cell r="G1626">
            <v>44544</v>
          </cell>
          <cell r="H1626">
            <v>44546</v>
          </cell>
          <cell r="I1626" t="str">
            <v>16.12.2021</v>
          </cell>
          <cell r="J1626" t="str">
            <v>09.12.2021</v>
          </cell>
          <cell r="K1626" t="str">
            <v>-</v>
          </cell>
          <cell r="L1626" t="str">
            <v>OK</v>
          </cell>
        </row>
        <row r="1627">
          <cell r="A1627" t="str">
            <v>AMS-45653I21</v>
          </cell>
          <cell r="B1627" t="str">
            <v>SHA00651401</v>
          </cell>
          <cell r="C1627" t="str">
            <v>Original</v>
          </cell>
          <cell r="D1627" t="str">
            <v>PGL</v>
          </cell>
          <cell r="E1627" t="str">
            <v>Technology</v>
          </cell>
          <cell r="F1627">
            <v>44536</v>
          </cell>
          <cell r="G1627">
            <v>44544</v>
          </cell>
          <cell r="H1627">
            <v>44546</v>
          </cell>
          <cell r="I1627" t="str">
            <v>16.12.2021</v>
          </cell>
          <cell r="J1627" t="str">
            <v>09.12.2021</v>
          </cell>
          <cell r="K1627" t="str">
            <v>-</v>
          </cell>
          <cell r="L1627" t="str">
            <v>OK</v>
          </cell>
        </row>
        <row r="1628">
          <cell r="A1628" t="str">
            <v>AMS-45761I21</v>
          </cell>
          <cell r="B1628" t="str">
            <v>41L0074709</v>
          </cell>
          <cell r="C1628" t="str">
            <v>Original</v>
          </cell>
          <cell r="D1628" t="str">
            <v>Expeditors</v>
          </cell>
          <cell r="E1628" t="str">
            <v>Expeditors</v>
          </cell>
          <cell r="F1628">
            <v>44536</v>
          </cell>
          <cell r="G1628">
            <v>44544</v>
          </cell>
          <cell r="H1628">
            <v>44546</v>
          </cell>
          <cell r="I1628" t="str">
            <v>15.12.2021</v>
          </cell>
          <cell r="J1628" t="str">
            <v>09.12.2021</v>
          </cell>
          <cell r="K1628" t="str">
            <v>-</v>
          </cell>
          <cell r="L1628" t="str">
            <v>OK</v>
          </cell>
        </row>
        <row r="1629">
          <cell r="A1629" t="str">
            <v>AMS-45655I21</v>
          </cell>
          <cell r="B1629" t="str">
            <v>SHA00651382</v>
          </cell>
          <cell r="C1629" t="str">
            <v>Original</v>
          </cell>
          <cell r="D1629" t="str">
            <v>PGL</v>
          </cell>
          <cell r="E1629" t="str">
            <v>Buick</v>
          </cell>
          <cell r="F1629">
            <v>44538</v>
          </cell>
          <cell r="G1629">
            <v>44546</v>
          </cell>
          <cell r="H1629">
            <v>44548</v>
          </cell>
          <cell r="I1629" t="str">
            <v>16.12.2021</v>
          </cell>
          <cell r="J1629" t="str">
            <v>09.12.2021</v>
          </cell>
          <cell r="K1629" t="str">
            <v>-</v>
          </cell>
          <cell r="L1629" t="str">
            <v>OK</v>
          </cell>
        </row>
        <row r="1630">
          <cell r="A1630" t="str">
            <v>AMS-45657I21</v>
          </cell>
          <cell r="B1630" t="str">
            <v>SHA00651384</v>
          </cell>
          <cell r="C1630" t="str">
            <v>Original</v>
          </cell>
          <cell r="D1630" t="str">
            <v>PGL</v>
          </cell>
          <cell r="E1630" t="str">
            <v>Buick</v>
          </cell>
          <cell r="F1630">
            <v>44538</v>
          </cell>
          <cell r="G1630">
            <v>44546</v>
          </cell>
          <cell r="H1630">
            <v>44548</v>
          </cell>
          <cell r="I1630" t="str">
            <v>16.12.2021</v>
          </cell>
          <cell r="J1630" t="str">
            <v>09.12.2021</v>
          </cell>
          <cell r="K1630" t="str">
            <v>-</v>
          </cell>
          <cell r="L1630" t="str">
            <v>OK</v>
          </cell>
        </row>
        <row r="1631">
          <cell r="A1631" t="str">
            <v>AMS-45659I21</v>
          </cell>
          <cell r="B1631" t="str">
            <v>SHA00651383</v>
          </cell>
          <cell r="C1631" t="str">
            <v>Original</v>
          </cell>
          <cell r="D1631" t="str">
            <v>PGL</v>
          </cell>
          <cell r="E1631" t="str">
            <v>Buick</v>
          </cell>
          <cell r="F1631">
            <v>44538</v>
          </cell>
          <cell r="G1631">
            <v>44546</v>
          </cell>
          <cell r="H1631">
            <v>44548</v>
          </cell>
          <cell r="I1631" t="str">
            <v>16.12.2021</v>
          </cell>
          <cell r="J1631" t="str">
            <v>09.12.2021</v>
          </cell>
          <cell r="K1631" t="str">
            <v>-</v>
          </cell>
          <cell r="L1631" t="str">
            <v>OK</v>
          </cell>
        </row>
        <row r="1632">
          <cell r="A1632" t="str">
            <v>AHW-45885I21</v>
          </cell>
          <cell r="B1632">
            <v>4005265</v>
          </cell>
          <cell r="C1632" t="str">
            <v>Original</v>
          </cell>
          <cell r="D1632" t="str">
            <v>CTS</v>
          </cell>
          <cell r="E1632" t="str">
            <v>JP</v>
          </cell>
          <cell r="F1632">
            <v>44539</v>
          </cell>
          <cell r="G1632">
            <v>44547</v>
          </cell>
          <cell r="H1632">
            <v>44549</v>
          </cell>
          <cell r="I1632" t="str">
            <v>17.12.2021</v>
          </cell>
          <cell r="J1632" t="str">
            <v>20.12.2021</v>
          </cell>
          <cell r="K1632" t="str">
            <v>-</v>
          </cell>
          <cell r="L1632" t="str">
            <v>OK</v>
          </cell>
        </row>
        <row r="1633">
          <cell r="A1633" t="str">
            <v>AHW-45748I21</v>
          </cell>
          <cell r="B1633">
            <v>78209654</v>
          </cell>
          <cell r="C1633" t="str">
            <v>Original</v>
          </cell>
          <cell r="D1633" t="str">
            <v>CEVA</v>
          </cell>
          <cell r="E1633" t="str">
            <v>Rodoimport</v>
          </cell>
          <cell r="F1633">
            <v>44539</v>
          </cell>
          <cell r="G1633">
            <v>44547</v>
          </cell>
          <cell r="H1633">
            <v>44549</v>
          </cell>
          <cell r="I1633" t="str">
            <v>15.12.2021</v>
          </cell>
          <cell r="J1633" t="str">
            <v>20.12.2021</v>
          </cell>
          <cell r="K1633" t="str">
            <v>-</v>
          </cell>
          <cell r="L1633" t="str">
            <v>OK</v>
          </cell>
        </row>
        <row r="1634">
          <cell r="A1634" t="str">
            <v>AHW-45752I21</v>
          </cell>
          <cell r="B1634">
            <v>4005082</v>
          </cell>
          <cell r="C1634" t="str">
            <v>Original</v>
          </cell>
          <cell r="D1634" t="str">
            <v>CTS</v>
          </cell>
          <cell r="E1634" t="str">
            <v>JP</v>
          </cell>
          <cell r="F1634">
            <v>44543</v>
          </cell>
          <cell r="G1634">
            <v>44551</v>
          </cell>
          <cell r="H1634">
            <v>44553</v>
          </cell>
          <cell r="I1634" t="str">
            <v>16.12.2021</v>
          </cell>
          <cell r="J1634" t="str">
            <v>20.12.2021</v>
          </cell>
          <cell r="K1634" t="str">
            <v>-</v>
          </cell>
          <cell r="L1634" t="str">
            <v>OK</v>
          </cell>
        </row>
        <row r="1635">
          <cell r="A1635" t="str">
            <v>AHW-45754I21</v>
          </cell>
          <cell r="B1635">
            <v>4005102</v>
          </cell>
          <cell r="C1635" t="str">
            <v>Original</v>
          </cell>
          <cell r="D1635" t="str">
            <v>CTS</v>
          </cell>
          <cell r="E1635" t="str">
            <v>JP</v>
          </cell>
          <cell r="F1635">
            <v>44543</v>
          </cell>
          <cell r="G1635">
            <v>44551</v>
          </cell>
          <cell r="H1635">
            <v>44553</v>
          </cell>
          <cell r="I1635" t="str">
            <v>16.12.2021</v>
          </cell>
          <cell r="J1635" t="str">
            <v>20.12.2021</v>
          </cell>
          <cell r="K1635" t="str">
            <v>-</v>
          </cell>
          <cell r="L1635" t="str">
            <v>OK</v>
          </cell>
        </row>
        <row r="1636">
          <cell r="A1636" t="str">
            <v>AHW-45756I21</v>
          </cell>
          <cell r="B1636">
            <v>4004869</v>
          </cell>
          <cell r="C1636" t="str">
            <v>Original</v>
          </cell>
          <cell r="D1636" t="str">
            <v>CTS</v>
          </cell>
          <cell r="E1636" t="str">
            <v>JP</v>
          </cell>
          <cell r="F1636">
            <v>44543</v>
          </cell>
          <cell r="G1636">
            <v>44551</v>
          </cell>
          <cell r="H1636">
            <v>44553</v>
          </cell>
          <cell r="I1636" t="str">
            <v>16.12.2021</v>
          </cell>
          <cell r="J1636" t="str">
            <v>20.12.2021</v>
          </cell>
          <cell r="K1636" t="str">
            <v>-</v>
          </cell>
          <cell r="L1636" t="str">
            <v>OK</v>
          </cell>
        </row>
        <row r="1637">
          <cell r="A1637" t="str">
            <v>AHW-45757I21</v>
          </cell>
          <cell r="B1637">
            <v>4005113</v>
          </cell>
          <cell r="C1637" t="str">
            <v>Original</v>
          </cell>
          <cell r="D1637" t="str">
            <v>CTS</v>
          </cell>
          <cell r="E1637" t="str">
            <v>JP</v>
          </cell>
          <cell r="F1637">
            <v>44543</v>
          </cell>
          <cell r="G1637">
            <v>44551</v>
          </cell>
          <cell r="H1637">
            <v>44553</v>
          </cell>
          <cell r="I1637" t="str">
            <v>16.12.2021</v>
          </cell>
          <cell r="J1637" t="str">
            <v>20.12.2021</v>
          </cell>
          <cell r="K1637" t="str">
            <v>-</v>
          </cell>
          <cell r="L1637" t="str">
            <v>OK</v>
          </cell>
        </row>
        <row r="1638">
          <cell r="A1638" t="str">
            <v>AHW-45758I21</v>
          </cell>
          <cell r="B1638">
            <v>4005106</v>
          </cell>
          <cell r="C1638" t="str">
            <v>Original</v>
          </cell>
          <cell r="D1638" t="str">
            <v>CTS</v>
          </cell>
          <cell r="E1638" t="str">
            <v>JP</v>
          </cell>
          <cell r="F1638">
            <v>44543</v>
          </cell>
          <cell r="G1638">
            <v>44551</v>
          </cell>
          <cell r="H1638">
            <v>44553</v>
          </cell>
          <cell r="I1638" t="str">
            <v>16.12.2021</v>
          </cell>
          <cell r="J1638" t="str">
            <v>20.12.2021</v>
          </cell>
          <cell r="K1638" t="str">
            <v>-</v>
          </cell>
          <cell r="L1638" t="str">
            <v>OK</v>
          </cell>
        </row>
        <row r="1639">
          <cell r="A1639" t="str">
            <v>AHW-45883I21</v>
          </cell>
          <cell r="B1639">
            <v>4005244</v>
          </cell>
          <cell r="C1639" t="str">
            <v>Original</v>
          </cell>
          <cell r="D1639" t="str">
            <v>CTS</v>
          </cell>
          <cell r="E1639" t="str">
            <v>JP</v>
          </cell>
          <cell r="F1639">
            <v>44543</v>
          </cell>
          <cell r="G1639">
            <v>44551</v>
          </cell>
          <cell r="H1639">
            <v>44553</v>
          </cell>
          <cell r="I1639" t="str">
            <v>16.12.2021</v>
          </cell>
          <cell r="J1639" t="str">
            <v>20.12.2021</v>
          </cell>
          <cell r="K1639" t="str">
            <v>-</v>
          </cell>
          <cell r="L1639" t="str">
            <v>OK</v>
          </cell>
        </row>
        <row r="1640">
          <cell r="A1640" t="str">
            <v>AHW-45884I21</v>
          </cell>
          <cell r="B1640">
            <v>4005260</v>
          </cell>
          <cell r="C1640" t="str">
            <v>Original</v>
          </cell>
          <cell r="D1640" t="str">
            <v>CTS</v>
          </cell>
          <cell r="E1640" t="str">
            <v>JP</v>
          </cell>
          <cell r="F1640">
            <v>44543</v>
          </cell>
          <cell r="G1640">
            <v>44551</v>
          </cell>
          <cell r="H1640">
            <v>44553</v>
          </cell>
          <cell r="I1640" t="str">
            <v>16.12.2021</v>
          </cell>
          <cell r="J1640" t="str">
            <v>20.12.2021</v>
          </cell>
          <cell r="K1640" t="str">
            <v>-</v>
          </cell>
          <cell r="L1640" t="str">
            <v>OK</v>
          </cell>
        </row>
        <row r="1641">
          <cell r="A1641" t="str">
            <v>AHW-45886I21</v>
          </cell>
          <cell r="B1641">
            <v>4005280</v>
          </cell>
          <cell r="C1641" t="str">
            <v>Original</v>
          </cell>
          <cell r="D1641" t="str">
            <v>CTS</v>
          </cell>
          <cell r="E1641" t="str">
            <v>JP</v>
          </cell>
          <cell r="F1641">
            <v>44543</v>
          </cell>
          <cell r="G1641">
            <v>44551</v>
          </cell>
          <cell r="H1641">
            <v>44553</v>
          </cell>
          <cell r="I1641" t="str">
            <v>17.12.2021</v>
          </cell>
          <cell r="J1641" t="str">
            <v>20.12.2021</v>
          </cell>
          <cell r="K1641" t="str">
            <v>-</v>
          </cell>
          <cell r="L1641" t="str">
            <v>OK</v>
          </cell>
        </row>
        <row r="1642">
          <cell r="A1642" t="str">
            <v>AHW-45887I21</v>
          </cell>
          <cell r="B1642">
            <v>4005233</v>
          </cell>
          <cell r="C1642" t="str">
            <v>Original</v>
          </cell>
          <cell r="D1642" t="str">
            <v>CTS</v>
          </cell>
          <cell r="E1642" t="str">
            <v>JP</v>
          </cell>
          <cell r="F1642">
            <v>44543</v>
          </cell>
          <cell r="G1642">
            <v>44551</v>
          </cell>
          <cell r="H1642">
            <v>44553</v>
          </cell>
          <cell r="I1642" t="str">
            <v>16.12.2021</v>
          </cell>
          <cell r="J1642" t="str">
            <v>20.12.2021</v>
          </cell>
          <cell r="K1642" t="str">
            <v>-</v>
          </cell>
          <cell r="L1642" t="str">
            <v>OK</v>
          </cell>
        </row>
        <row r="1643">
          <cell r="A1643" t="str">
            <v>AHW-45889I21</v>
          </cell>
          <cell r="B1643">
            <v>4005266</v>
          </cell>
          <cell r="C1643" t="str">
            <v>Original</v>
          </cell>
          <cell r="D1643" t="str">
            <v>CTS</v>
          </cell>
          <cell r="E1643" t="str">
            <v>JP</v>
          </cell>
          <cell r="F1643">
            <v>44543</v>
          </cell>
          <cell r="G1643">
            <v>44551</v>
          </cell>
          <cell r="H1643">
            <v>44553</v>
          </cell>
          <cell r="I1643" t="str">
            <v>16.12.2021</v>
          </cell>
          <cell r="J1643" t="str">
            <v>20.12.2021</v>
          </cell>
          <cell r="K1643" t="str">
            <v>-</v>
          </cell>
          <cell r="L1643" t="str">
            <v>OK</v>
          </cell>
        </row>
        <row r="1644">
          <cell r="A1644" t="str">
            <v>AHW-45760I21</v>
          </cell>
          <cell r="B1644">
            <v>4005105</v>
          </cell>
          <cell r="C1644" t="str">
            <v>Original</v>
          </cell>
          <cell r="D1644" t="str">
            <v>CTS</v>
          </cell>
          <cell r="E1644" t="str">
            <v>JP</v>
          </cell>
          <cell r="F1644">
            <v>44540</v>
          </cell>
          <cell r="G1644">
            <v>44548</v>
          </cell>
          <cell r="H1644">
            <v>44550</v>
          </cell>
          <cell r="I1644" t="str">
            <v>16.12.2021</v>
          </cell>
          <cell r="J1644" t="str">
            <v>20.12.2021</v>
          </cell>
          <cell r="K1644" t="str">
            <v>-</v>
          </cell>
          <cell r="L1644" t="str">
            <v>OK</v>
          </cell>
        </row>
        <row r="1645">
          <cell r="A1645" t="str">
            <v>AHW-45755I21</v>
          </cell>
          <cell r="B1645">
            <v>78209845</v>
          </cell>
          <cell r="C1645" t="str">
            <v>Original</v>
          </cell>
          <cell r="D1645" t="str">
            <v>CEVA</v>
          </cell>
          <cell r="E1645" t="str">
            <v>Rodoimport</v>
          </cell>
          <cell r="F1645">
            <v>44543</v>
          </cell>
          <cell r="G1645">
            <v>44551</v>
          </cell>
          <cell r="H1645">
            <v>44553</v>
          </cell>
          <cell r="I1645" t="str">
            <v>16.12.2021</v>
          </cell>
          <cell r="J1645" t="str">
            <v>20.12.2021</v>
          </cell>
          <cell r="K1645" t="str">
            <v>-</v>
          </cell>
          <cell r="L1645" t="str">
            <v>OK</v>
          </cell>
        </row>
        <row r="1646">
          <cell r="A1646" t="str">
            <v>AHW-45888I21</v>
          </cell>
          <cell r="B1646">
            <v>78209655</v>
          </cell>
          <cell r="C1646" t="str">
            <v>Original</v>
          </cell>
          <cell r="D1646" t="str">
            <v>CEVA</v>
          </cell>
          <cell r="E1646" t="str">
            <v>Rodoimport</v>
          </cell>
          <cell r="F1646">
            <v>44543</v>
          </cell>
          <cell r="G1646">
            <v>44551</v>
          </cell>
          <cell r="H1646">
            <v>44553</v>
          </cell>
          <cell r="I1646" t="str">
            <v>16.12.2021</v>
          </cell>
          <cell r="J1646" t="str">
            <v>20.12.2021</v>
          </cell>
          <cell r="K1646" t="str">
            <v>-</v>
          </cell>
          <cell r="L1646" t="str">
            <v>OK</v>
          </cell>
        </row>
        <row r="1647">
          <cell r="A1647" t="str">
            <v>AHW-45669I21</v>
          </cell>
          <cell r="B1647">
            <v>4005079</v>
          </cell>
          <cell r="C1647" t="str">
            <v>Original</v>
          </cell>
          <cell r="D1647" t="str">
            <v>CTS</v>
          </cell>
          <cell r="E1647" t="str">
            <v>JP</v>
          </cell>
          <cell r="F1647">
            <v>44540</v>
          </cell>
          <cell r="G1647">
            <v>44548</v>
          </cell>
          <cell r="H1647">
            <v>44550</v>
          </cell>
          <cell r="I1647" t="str">
            <v>14.12.2021</v>
          </cell>
          <cell r="J1647" t="str">
            <v>20.12.2021</v>
          </cell>
          <cell r="K1647" t="str">
            <v>-</v>
          </cell>
          <cell r="L1647" t="str">
            <v>OK</v>
          </cell>
        </row>
        <row r="1648">
          <cell r="A1648" t="str">
            <v>AHW-45750I21</v>
          </cell>
          <cell r="B1648">
            <v>4005084</v>
          </cell>
          <cell r="C1648" t="str">
            <v>Original</v>
          </cell>
          <cell r="D1648" t="str">
            <v>CTS</v>
          </cell>
          <cell r="E1648" t="str">
            <v>JP</v>
          </cell>
          <cell r="F1648">
            <v>44540</v>
          </cell>
          <cell r="G1648">
            <v>44548</v>
          </cell>
          <cell r="H1648">
            <v>44550</v>
          </cell>
          <cell r="I1648" t="str">
            <v>15.12.2021</v>
          </cell>
          <cell r="J1648" t="str">
            <v>20.12.2021</v>
          </cell>
          <cell r="K1648" t="str">
            <v>-</v>
          </cell>
          <cell r="L1648" t="str">
            <v>OK</v>
          </cell>
        </row>
        <row r="1649">
          <cell r="A1649" t="str">
            <v>AHW-45753I21</v>
          </cell>
          <cell r="B1649">
            <v>4005101</v>
          </cell>
          <cell r="C1649" t="str">
            <v>Original</v>
          </cell>
          <cell r="D1649" t="str">
            <v>CTS</v>
          </cell>
          <cell r="E1649" t="str">
            <v>JP</v>
          </cell>
          <cell r="F1649">
            <v>44543</v>
          </cell>
          <cell r="G1649">
            <v>44551</v>
          </cell>
          <cell r="H1649">
            <v>44553</v>
          </cell>
          <cell r="I1649" t="str">
            <v>16.12.2021</v>
          </cell>
          <cell r="J1649" t="str">
            <v>20.12.2021</v>
          </cell>
          <cell r="K1649" t="str">
            <v>-</v>
          </cell>
          <cell r="L1649" t="str">
            <v>OK</v>
          </cell>
        </row>
        <row r="1650">
          <cell r="A1650" t="str">
            <v>AHW-45759I21</v>
          </cell>
          <cell r="B1650">
            <v>4005116</v>
          </cell>
          <cell r="C1650" t="str">
            <v>Original</v>
          </cell>
          <cell r="D1650" t="str">
            <v>CTS</v>
          </cell>
          <cell r="E1650" t="str">
            <v>JP</v>
          </cell>
          <cell r="F1650">
            <v>44540</v>
          </cell>
          <cell r="G1650">
            <v>44548</v>
          </cell>
          <cell r="H1650">
            <v>44550</v>
          </cell>
          <cell r="I1650" t="str">
            <v>16.12.2021</v>
          </cell>
          <cell r="J1650" t="str">
            <v>20.12.2021</v>
          </cell>
          <cell r="K1650" t="str">
            <v>-</v>
          </cell>
          <cell r="L1650" t="str">
            <v>OK</v>
          </cell>
        </row>
        <row r="1651">
          <cell r="A1651" t="str">
            <v>AHW-45823I21</v>
          </cell>
          <cell r="B1651">
            <v>4005104</v>
          </cell>
          <cell r="C1651" t="str">
            <v>Original</v>
          </cell>
          <cell r="D1651" t="str">
            <v>CTS</v>
          </cell>
          <cell r="E1651" t="str">
            <v>JP</v>
          </cell>
          <cell r="F1651">
            <v>44540</v>
          </cell>
          <cell r="G1651">
            <v>44548</v>
          </cell>
          <cell r="H1651">
            <v>44550</v>
          </cell>
          <cell r="I1651" t="str">
            <v>16.12.2021</v>
          </cell>
          <cell r="J1651" t="str">
            <v>20.12.2021</v>
          </cell>
          <cell r="K1651" t="str">
            <v>-</v>
          </cell>
          <cell r="L1651" t="str">
            <v>OK</v>
          </cell>
        </row>
        <row r="1652">
          <cell r="A1652" t="str">
            <v>AHW-45824I21</v>
          </cell>
          <cell r="B1652">
            <v>4005225</v>
          </cell>
          <cell r="C1652" t="str">
            <v>Original</v>
          </cell>
          <cell r="D1652" t="str">
            <v>CTS</v>
          </cell>
          <cell r="E1652" t="str">
            <v>JP</v>
          </cell>
          <cell r="F1652">
            <v>44543</v>
          </cell>
          <cell r="G1652">
            <v>44551</v>
          </cell>
          <cell r="H1652">
            <v>44553</v>
          </cell>
          <cell r="I1652" t="str">
            <v>16.12.2021</v>
          </cell>
          <cell r="J1652" t="str">
            <v>20.12.2021</v>
          </cell>
          <cell r="K1652" t="str">
            <v>-</v>
          </cell>
          <cell r="L1652" t="str">
            <v>OK</v>
          </cell>
        </row>
        <row r="1653">
          <cell r="A1653" t="str">
            <v>AHW-45825I21</v>
          </cell>
          <cell r="B1653">
            <v>4005215</v>
          </cell>
          <cell r="C1653" t="str">
            <v>Original</v>
          </cell>
          <cell r="D1653" t="str">
            <v>CTS</v>
          </cell>
          <cell r="E1653" t="str">
            <v>JP</v>
          </cell>
          <cell r="F1653">
            <v>44540</v>
          </cell>
          <cell r="G1653">
            <v>44548</v>
          </cell>
          <cell r="H1653">
            <v>44550</v>
          </cell>
          <cell r="I1653" t="str">
            <v>15.12.2021</v>
          </cell>
          <cell r="J1653" t="str">
            <v>20.12.2021</v>
          </cell>
          <cell r="K1653" t="str">
            <v>-</v>
          </cell>
          <cell r="L1653" t="str">
            <v>OK</v>
          </cell>
        </row>
        <row r="1654">
          <cell r="A1654" t="str">
            <v>AMS-45828I21</v>
          </cell>
          <cell r="B1654" t="str">
            <v>41L0075135</v>
          </cell>
          <cell r="C1654" t="str">
            <v>Original</v>
          </cell>
          <cell r="D1654" t="str">
            <v>Expeditors</v>
          </cell>
          <cell r="E1654" t="str">
            <v>Expeditors</v>
          </cell>
          <cell r="F1654">
            <v>44539</v>
          </cell>
          <cell r="G1654">
            <v>44547</v>
          </cell>
          <cell r="H1654">
            <v>44549</v>
          </cell>
          <cell r="I1654" t="str">
            <v>15.12.2021</v>
          </cell>
          <cell r="J1654" t="str">
            <v>10.12.2021</v>
          </cell>
          <cell r="K1654" t="str">
            <v>-</v>
          </cell>
          <cell r="L1654" t="str">
            <v>OK</v>
          </cell>
        </row>
        <row r="1655">
          <cell r="A1655" t="str">
            <v>AMS-45829I21</v>
          </cell>
          <cell r="B1655" t="str">
            <v>41L0075137</v>
          </cell>
          <cell r="C1655" t="str">
            <v>Original</v>
          </cell>
          <cell r="D1655" t="str">
            <v>Expeditors</v>
          </cell>
          <cell r="E1655" t="str">
            <v>Expeditors</v>
          </cell>
          <cell r="F1655">
            <v>44539</v>
          </cell>
          <cell r="G1655">
            <v>44547</v>
          </cell>
          <cell r="H1655">
            <v>44549</v>
          </cell>
          <cell r="I1655" t="str">
            <v>15.12.2021</v>
          </cell>
          <cell r="J1655" t="str">
            <v>10.12.2021</v>
          </cell>
          <cell r="K1655" t="str">
            <v>-</v>
          </cell>
          <cell r="L1655" t="str">
            <v>OK</v>
          </cell>
        </row>
        <row r="1656">
          <cell r="A1656" t="str">
            <v>AMS-45830I21</v>
          </cell>
          <cell r="B1656" t="str">
            <v>41L0075138</v>
          </cell>
          <cell r="C1656" t="str">
            <v>Original</v>
          </cell>
          <cell r="D1656" t="str">
            <v>Expeditors</v>
          </cell>
          <cell r="E1656" t="str">
            <v>Expeditors</v>
          </cell>
          <cell r="F1656">
            <v>44539</v>
          </cell>
          <cell r="G1656">
            <v>44547</v>
          </cell>
          <cell r="H1656">
            <v>44549</v>
          </cell>
          <cell r="I1656" t="str">
            <v>15.12.2021</v>
          </cell>
          <cell r="J1656" t="str">
            <v>10.12.2021</v>
          </cell>
          <cell r="K1656" t="str">
            <v>-</v>
          </cell>
          <cell r="L1656" t="str">
            <v>OK</v>
          </cell>
        </row>
        <row r="1657">
          <cell r="A1657" t="str">
            <v>AMS-45831I21</v>
          </cell>
          <cell r="B1657" t="str">
            <v>41L0075139</v>
          </cell>
          <cell r="C1657" t="str">
            <v>Original</v>
          </cell>
          <cell r="D1657" t="str">
            <v>Expeditors</v>
          </cell>
          <cell r="E1657" t="str">
            <v>Expeditors</v>
          </cell>
          <cell r="F1657">
            <v>44539</v>
          </cell>
          <cell r="G1657">
            <v>44547</v>
          </cell>
          <cell r="H1657">
            <v>44549</v>
          </cell>
          <cell r="I1657" t="str">
            <v>15.12.2021</v>
          </cell>
          <cell r="J1657" t="str">
            <v>10.12.2021</v>
          </cell>
          <cell r="K1657" t="str">
            <v>-</v>
          </cell>
          <cell r="L1657" t="str">
            <v>OK</v>
          </cell>
        </row>
        <row r="1658">
          <cell r="A1658" t="str">
            <v>AMS-45893I21</v>
          </cell>
          <cell r="B1658" t="str">
            <v>41L0075140</v>
          </cell>
          <cell r="C1658" t="str">
            <v>Original</v>
          </cell>
          <cell r="D1658" t="str">
            <v>Expeditors</v>
          </cell>
          <cell r="E1658" t="str">
            <v>Expeditors</v>
          </cell>
          <cell r="F1658">
            <v>44543</v>
          </cell>
          <cell r="G1658">
            <v>44551</v>
          </cell>
          <cell r="H1658">
            <v>44553</v>
          </cell>
          <cell r="I1658" t="str">
            <v>15.12.2021</v>
          </cell>
          <cell r="J1658" t="str">
            <v>14.12.2021</v>
          </cell>
          <cell r="K1658" t="str">
            <v>-</v>
          </cell>
          <cell r="L1658" t="str">
            <v>OK</v>
          </cell>
        </row>
        <row r="1659">
          <cell r="A1659" t="str">
            <v>SHW-45468I21</v>
          </cell>
          <cell r="B1659" t="str">
            <v>EGLV149114220041</v>
          </cell>
          <cell r="C1659" t="str">
            <v>Original</v>
          </cell>
          <cell r="D1659" t="str">
            <v>Shenker</v>
          </cell>
          <cell r="E1659" t="str">
            <v>Unitrading</v>
          </cell>
          <cell r="F1659">
            <v>44544</v>
          </cell>
          <cell r="G1659">
            <v>44552</v>
          </cell>
          <cell r="H1659">
            <v>44554</v>
          </cell>
          <cell r="I1659" t="str">
            <v>17.12.2021</v>
          </cell>
          <cell r="J1659" t="str">
            <v>17.12.2021</v>
          </cell>
          <cell r="K1659" t="str">
            <v>-</v>
          </cell>
          <cell r="L1659" t="str">
            <v>OK</v>
          </cell>
        </row>
        <row r="1660">
          <cell r="A1660" t="str">
            <v>SHW-45469I21</v>
          </cell>
          <cell r="B1660" t="str">
            <v>EGLV149113439392</v>
          </cell>
          <cell r="C1660" t="str">
            <v>Original</v>
          </cell>
          <cell r="D1660" t="str">
            <v>Shenker</v>
          </cell>
          <cell r="E1660" t="str">
            <v>Unitrading</v>
          </cell>
          <cell r="F1660">
            <v>44544</v>
          </cell>
          <cell r="G1660">
            <v>44552</v>
          </cell>
          <cell r="H1660">
            <v>44554</v>
          </cell>
          <cell r="I1660" t="str">
            <v>17.12.2021</v>
          </cell>
          <cell r="J1660" t="str">
            <v>15.12.2021</v>
          </cell>
          <cell r="K1660" t="str">
            <v>-</v>
          </cell>
          <cell r="L1660" t="str">
            <v>OK</v>
          </cell>
        </row>
        <row r="1661">
          <cell r="A1661" t="str">
            <v>SHW-45569I21</v>
          </cell>
          <cell r="B1661" t="str">
            <v>EGLV149113240979</v>
          </cell>
          <cell r="C1661" t="str">
            <v>Original</v>
          </cell>
          <cell r="D1661" t="str">
            <v>Shenker</v>
          </cell>
          <cell r="E1661" t="str">
            <v>Unitrading</v>
          </cell>
          <cell r="F1661">
            <v>44544</v>
          </cell>
          <cell r="G1661">
            <v>44552</v>
          </cell>
          <cell r="H1661">
            <v>44554</v>
          </cell>
          <cell r="I1661" t="str">
            <v>17.12.2021</v>
          </cell>
          <cell r="J1661" t="str">
            <v>17.12.2021</v>
          </cell>
          <cell r="K1661" t="str">
            <v>-</v>
          </cell>
          <cell r="L1661" t="str">
            <v>OK</v>
          </cell>
        </row>
        <row r="1662">
          <cell r="A1662" t="str">
            <v>SHW-45572I21</v>
          </cell>
          <cell r="B1662" t="str">
            <v>EGLV149114149126</v>
          </cell>
          <cell r="C1662" t="str">
            <v>Original</v>
          </cell>
          <cell r="D1662" t="str">
            <v>Shenker</v>
          </cell>
          <cell r="E1662" t="str">
            <v>Unitrading</v>
          </cell>
          <cell r="F1662">
            <v>44545</v>
          </cell>
          <cell r="G1662">
            <v>44553</v>
          </cell>
          <cell r="H1662">
            <v>44555</v>
          </cell>
          <cell r="I1662" t="str">
            <v>17.12.2021</v>
          </cell>
          <cell r="J1662" t="str">
            <v>17.12.2021</v>
          </cell>
          <cell r="K1662" t="str">
            <v>-</v>
          </cell>
          <cell r="L1662" t="str">
            <v>OK</v>
          </cell>
        </row>
        <row r="1663">
          <cell r="A1663" t="str">
            <v>SHW-45575I21</v>
          </cell>
          <cell r="B1663" t="str">
            <v>EGLV149114600171</v>
          </cell>
          <cell r="C1663" t="str">
            <v>Original</v>
          </cell>
          <cell r="D1663" t="str">
            <v>Shenker</v>
          </cell>
          <cell r="E1663" t="str">
            <v>Unitrading</v>
          </cell>
          <cell r="F1663">
            <v>44545</v>
          </cell>
          <cell r="G1663">
            <v>44553</v>
          </cell>
          <cell r="H1663">
            <v>44555</v>
          </cell>
          <cell r="I1663" t="str">
            <v>17.12.2021</v>
          </cell>
          <cell r="J1663" t="str">
            <v>03.01.2022</v>
          </cell>
          <cell r="K1663" t="str">
            <v>-</v>
          </cell>
          <cell r="L1663" t="str">
            <v>OK</v>
          </cell>
        </row>
        <row r="1664">
          <cell r="A1664" t="str">
            <v>AHW-46019I21</v>
          </cell>
          <cell r="B1664">
            <v>4005200</v>
          </cell>
          <cell r="C1664" t="str">
            <v>Original</v>
          </cell>
          <cell r="D1664" t="str">
            <v>CTS</v>
          </cell>
          <cell r="E1664" t="str">
            <v>JP</v>
          </cell>
          <cell r="F1664">
            <v>44551</v>
          </cell>
          <cell r="G1664">
            <v>44559</v>
          </cell>
          <cell r="H1664">
            <v>44561</v>
          </cell>
          <cell r="I1664" t="str">
            <v>05.01.2022</v>
          </cell>
          <cell r="J1664" t="str">
            <v>05.01.2022</v>
          </cell>
          <cell r="K1664" t="str">
            <v>-</v>
          </cell>
          <cell r="L1664" t="str">
            <v>OK</v>
          </cell>
        </row>
        <row r="1665">
          <cell r="A1665" t="str">
            <v>AHW-46143I21</v>
          </cell>
          <cell r="B1665">
            <v>4005439</v>
          </cell>
          <cell r="C1665" t="str">
            <v>Original</v>
          </cell>
          <cell r="D1665" t="str">
            <v>CTS</v>
          </cell>
          <cell r="E1665" t="str">
            <v>JP</v>
          </cell>
          <cell r="F1665">
            <v>44551</v>
          </cell>
          <cell r="G1665">
            <v>44559</v>
          </cell>
          <cell r="H1665">
            <v>44561</v>
          </cell>
          <cell r="I1665" t="str">
            <v>05.01.2022</v>
          </cell>
          <cell r="J1665" t="str">
            <v>05.01.2022</v>
          </cell>
          <cell r="K1665" t="str">
            <v>-</v>
          </cell>
          <cell r="L1665" t="str">
            <v>OK</v>
          </cell>
        </row>
        <row r="1666">
          <cell r="A1666" t="str">
            <v>AHW-46144I21</v>
          </cell>
          <cell r="B1666">
            <v>4005430</v>
          </cell>
          <cell r="C1666" t="str">
            <v>Original</v>
          </cell>
          <cell r="D1666" t="str">
            <v>CTS</v>
          </cell>
          <cell r="E1666" t="str">
            <v>JP</v>
          </cell>
          <cell r="F1666">
            <v>44551</v>
          </cell>
          <cell r="G1666">
            <v>44559</v>
          </cell>
          <cell r="H1666">
            <v>44561</v>
          </cell>
          <cell r="I1666" t="str">
            <v>05.01.2022</v>
          </cell>
          <cell r="J1666" t="str">
            <v>05.01.2022</v>
          </cell>
          <cell r="K1666" t="str">
            <v>-</v>
          </cell>
          <cell r="L1666" t="str">
            <v>OK</v>
          </cell>
        </row>
        <row r="1667">
          <cell r="A1667" t="str">
            <v>AHW-45917I21</v>
          </cell>
          <cell r="B1667">
            <v>4005168</v>
          </cell>
          <cell r="C1667" t="str">
            <v>Original</v>
          </cell>
          <cell r="D1667" t="str">
            <v>CTS</v>
          </cell>
          <cell r="E1667" t="str">
            <v>JP</v>
          </cell>
          <cell r="F1667">
            <v>44552</v>
          </cell>
          <cell r="G1667">
            <v>44560</v>
          </cell>
          <cell r="H1667">
            <v>44562</v>
          </cell>
          <cell r="I1667" t="str">
            <v>06.01.2022</v>
          </cell>
          <cell r="J1667" t="str">
            <v>05.01.2022</v>
          </cell>
          <cell r="K1667" t="str">
            <v>-</v>
          </cell>
          <cell r="L1667" t="str">
            <v>OK</v>
          </cell>
        </row>
        <row r="1668">
          <cell r="A1668" t="str">
            <v>AHW-45921I21</v>
          </cell>
          <cell r="B1668">
            <v>4005161</v>
          </cell>
          <cell r="C1668" t="str">
            <v>Original</v>
          </cell>
          <cell r="D1668" t="str">
            <v>CTS</v>
          </cell>
          <cell r="E1668" t="str">
            <v>JP</v>
          </cell>
          <cell r="F1668">
            <v>44552</v>
          </cell>
          <cell r="G1668">
            <v>44560</v>
          </cell>
          <cell r="H1668">
            <v>44562</v>
          </cell>
          <cell r="I1668" t="str">
            <v>06.01.2022</v>
          </cell>
          <cell r="J1668" t="str">
            <v>05.01.2022</v>
          </cell>
          <cell r="K1668" t="str">
            <v>-</v>
          </cell>
          <cell r="L1668" t="str">
            <v>OK</v>
          </cell>
        </row>
        <row r="1669">
          <cell r="A1669" t="str">
            <v>AHW-45919I21</v>
          </cell>
          <cell r="B1669">
            <v>78209979</v>
          </cell>
          <cell r="C1669" t="str">
            <v>Original</v>
          </cell>
          <cell r="D1669" t="str">
            <v>CEVA</v>
          </cell>
          <cell r="E1669" t="str">
            <v>Rodoimport</v>
          </cell>
          <cell r="F1669">
            <v>44553</v>
          </cell>
          <cell r="G1669">
            <v>44561</v>
          </cell>
          <cell r="H1669">
            <v>44563</v>
          </cell>
          <cell r="I1669" t="str">
            <v>06.01.2022</v>
          </cell>
          <cell r="J1669" t="str">
            <v>05.01.2022</v>
          </cell>
          <cell r="K1669" t="str">
            <v>-</v>
          </cell>
          <cell r="L1669" t="str">
            <v>OK</v>
          </cell>
        </row>
        <row r="1670">
          <cell r="A1670" t="str">
            <v>AHW-45920I21</v>
          </cell>
          <cell r="B1670">
            <v>78209980</v>
          </cell>
          <cell r="C1670" t="str">
            <v>Original</v>
          </cell>
          <cell r="D1670" t="str">
            <v>CEVA</v>
          </cell>
          <cell r="E1670" t="str">
            <v>Rodoimport</v>
          </cell>
          <cell r="F1670">
            <v>44553</v>
          </cell>
          <cell r="G1670">
            <v>44561</v>
          </cell>
          <cell r="H1670">
            <v>44563</v>
          </cell>
          <cell r="I1670" t="str">
            <v>06.01.2022</v>
          </cell>
          <cell r="J1670" t="str">
            <v>05.01.2022</v>
          </cell>
          <cell r="K1670" t="str">
            <v>-</v>
          </cell>
          <cell r="L1670" t="str">
            <v>OK</v>
          </cell>
        </row>
        <row r="1671">
          <cell r="A1671" t="str">
            <v>AMS-46399I21</v>
          </cell>
          <cell r="B1671" t="str">
            <v>1Z6469V00446399176</v>
          </cell>
          <cell r="C1671" t="str">
            <v>Brasiliense</v>
          </cell>
          <cell r="D1671" t="str">
            <v>UPS</v>
          </cell>
          <cell r="E1671" t="str">
            <v>Future</v>
          </cell>
          <cell r="F1671">
            <v>44553</v>
          </cell>
          <cell r="G1671">
            <v>44561</v>
          </cell>
          <cell r="H1671">
            <v>44563</v>
          </cell>
          <cell r="I1671" t="str">
            <v>06.01.2022</v>
          </cell>
          <cell r="J1671" t="str">
            <v>05.01.2022</v>
          </cell>
          <cell r="K1671" t="str">
            <v>10.01.2022</v>
          </cell>
          <cell r="L1671" t="str">
            <v>OK</v>
          </cell>
        </row>
        <row r="1672">
          <cell r="A1672" t="str">
            <v>AMS-46401I21</v>
          </cell>
          <cell r="B1672" t="str">
            <v>1Z6469V00446537123</v>
          </cell>
          <cell r="C1672" t="str">
            <v>Brasiliense</v>
          </cell>
          <cell r="D1672" t="str">
            <v>UPS</v>
          </cell>
          <cell r="E1672" t="str">
            <v>Future</v>
          </cell>
          <cell r="F1672">
            <v>44553</v>
          </cell>
          <cell r="G1672">
            <v>44561</v>
          </cell>
          <cell r="H1672">
            <v>44563</v>
          </cell>
          <cell r="I1672" t="str">
            <v>06.01.2022</v>
          </cell>
          <cell r="J1672" t="str">
            <v>05.01.2022</v>
          </cell>
          <cell r="K1672" t="str">
            <v>10.01.2022</v>
          </cell>
          <cell r="L1672" t="str">
            <v>OK</v>
          </cell>
        </row>
        <row r="1673">
          <cell r="A1673" t="str">
            <v>AMS-46402I21</v>
          </cell>
          <cell r="B1673" t="str">
            <v>1Z6469V00447053199</v>
          </cell>
          <cell r="C1673" t="str">
            <v>Brasiliense</v>
          </cell>
          <cell r="D1673" t="str">
            <v>UPS</v>
          </cell>
          <cell r="E1673" t="str">
            <v>Future</v>
          </cell>
          <cell r="F1673">
            <v>44553</v>
          </cell>
          <cell r="G1673">
            <v>44561</v>
          </cell>
          <cell r="H1673">
            <v>44563</v>
          </cell>
          <cell r="I1673" t="str">
            <v>06.01.2022</v>
          </cell>
          <cell r="J1673" t="str">
            <v>05.01.2022</v>
          </cell>
          <cell r="K1673" t="str">
            <v>10.01.2022</v>
          </cell>
          <cell r="L1673" t="str">
            <v>OK</v>
          </cell>
        </row>
        <row r="1674">
          <cell r="A1674" t="str">
            <v>AMS-46403I21</v>
          </cell>
          <cell r="B1674" t="str">
            <v>1Z6469V00448568560</v>
          </cell>
          <cell r="C1674" t="str">
            <v>Brasiliense</v>
          </cell>
          <cell r="D1674" t="str">
            <v>UPS</v>
          </cell>
          <cell r="E1674" t="str">
            <v>Future</v>
          </cell>
          <cell r="F1674">
            <v>44553</v>
          </cell>
          <cell r="G1674">
            <v>44561</v>
          </cell>
          <cell r="H1674">
            <v>44563</v>
          </cell>
          <cell r="I1674" t="str">
            <v>06.01.2022</v>
          </cell>
          <cell r="J1674" t="str">
            <v>05.01.2022</v>
          </cell>
          <cell r="K1674" t="str">
            <v>10.01.2022</v>
          </cell>
          <cell r="L1674" t="str">
            <v>OK</v>
          </cell>
        </row>
        <row r="1675">
          <cell r="A1675" t="str">
            <v>AHW-46430I21</v>
          </cell>
          <cell r="B1675">
            <v>4005461</v>
          </cell>
          <cell r="C1675" t="str">
            <v>Original</v>
          </cell>
          <cell r="D1675" t="str">
            <v>CTS</v>
          </cell>
          <cell r="E1675" t="str">
            <v>JP</v>
          </cell>
          <cell r="F1675">
            <v>44564</v>
          </cell>
          <cell r="G1675">
            <v>44572</v>
          </cell>
          <cell r="H1675">
            <v>44574</v>
          </cell>
          <cell r="I1675" t="str">
            <v>07.01.2022</v>
          </cell>
          <cell r="J1675" t="str">
            <v>12.01.2022</v>
          </cell>
          <cell r="K1675" t="str">
            <v>-</v>
          </cell>
          <cell r="L1675" t="str">
            <v>OK</v>
          </cell>
        </row>
        <row r="1676">
          <cell r="A1676" t="str">
            <v>AHW-46364I21</v>
          </cell>
          <cell r="B1676">
            <v>4005451</v>
          </cell>
          <cell r="C1676" t="str">
            <v>Original</v>
          </cell>
          <cell r="D1676" t="str">
            <v>CTS</v>
          </cell>
          <cell r="E1676" t="str">
            <v>JP</v>
          </cell>
          <cell r="F1676">
            <v>44565</v>
          </cell>
          <cell r="G1676">
            <v>44573</v>
          </cell>
          <cell r="H1676">
            <v>44575</v>
          </cell>
          <cell r="I1676" t="str">
            <v>07.01.2022</v>
          </cell>
          <cell r="J1676" t="str">
            <v>05.01.2022</v>
          </cell>
          <cell r="K1676" t="str">
            <v>-</v>
          </cell>
          <cell r="L1676" t="str">
            <v>OK</v>
          </cell>
        </row>
        <row r="1677">
          <cell r="A1677" t="str">
            <v>AHW-46429I21</v>
          </cell>
          <cell r="B1677">
            <v>4005462</v>
          </cell>
          <cell r="C1677" t="str">
            <v>Original</v>
          </cell>
          <cell r="D1677" t="str">
            <v>CTS</v>
          </cell>
          <cell r="E1677" t="str">
            <v>JP</v>
          </cell>
          <cell r="F1677">
            <v>44565</v>
          </cell>
          <cell r="G1677">
            <v>44573</v>
          </cell>
          <cell r="H1677">
            <v>44575</v>
          </cell>
          <cell r="I1677" t="str">
            <v>07.01.2022</v>
          </cell>
          <cell r="J1677" t="str">
            <v>12.01.2022</v>
          </cell>
          <cell r="K1677" t="str">
            <v>-</v>
          </cell>
          <cell r="L1677" t="str">
            <v>OK</v>
          </cell>
        </row>
        <row r="1678">
          <cell r="A1678" t="str">
            <v>AHW-46431I21</v>
          </cell>
          <cell r="B1678">
            <v>4005475</v>
          </cell>
          <cell r="C1678" t="str">
            <v>Original</v>
          </cell>
          <cell r="D1678" t="str">
            <v>CTS</v>
          </cell>
          <cell r="E1678" t="str">
            <v>JP</v>
          </cell>
          <cell r="F1678">
            <v>44565</v>
          </cell>
          <cell r="G1678">
            <v>44573</v>
          </cell>
          <cell r="H1678">
            <v>44575</v>
          </cell>
          <cell r="I1678" t="str">
            <v>07.01.2022</v>
          </cell>
          <cell r="J1678" t="str">
            <v>05.01.2022</v>
          </cell>
          <cell r="K1678" t="str">
            <v>-</v>
          </cell>
          <cell r="L1678" t="str">
            <v>OK</v>
          </cell>
        </row>
        <row r="1679">
          <cell r="A1679" t="str">
            <v>AHW-46432I21</v>
          </cell>
          <cell r="B1679">
            <v>4005463</v>
          </cell>
          <cell r="C1679" t="str">
            <v>Original</v>
          </cell>
          <cell r="D1679" t="str">
            <v>CTS</v>
          </cell>
          <cell r="E1679" t="str">
            <v>JP</v>
          </cell>
          <cell r="F1679">
            <v>44565</v>
          </cell>
          <cell r="G1679">
            <v>44573</v>
          </cell>
          <cell r="H1679">
            <v>44575</v>
          </cell>
          <cell r="I1679" t="str">
            <v>07.01.2022</v>
          </cell>
          <cell r="J1679" t="str">
            <v>12.01.2022</v>
          </cell>
          <cell r="K1679" t="str">
            <v>-</v>
          </cell>
          <cell r="L1679" t="str">
            <v>OK</v>
          </cell>
        </row>
        <row r="1680">
          <cell r="A1680" t="str">
            <v>AHW-46443I21</v>
          </cell>
          <cell r="B1680">
            <v>4005477</v>
          </cell>
          <cell r="C1680" t="str">
            <v>Original</v>
          </cell>
          <cell r="D1680" t="str">
            <v>CTS</v>
          </cell>
          <cell r="E1680" t="str">
            <v>JP</v>
          </cell>
          <cell r="F1680">
            <v>44565</v>
          </cell>
          <cell r="G1680">
            <v>44573</v>
          </cell>
          <cell r="H1680">
            <v>44575</v>
          </cell>
          <cell r="I1680" t="str">
            <v>07.01.2022</v>
          </cell>
          <cell r="J1680" t="str">
            <v>05.01.2022</v>
          </cell>
          <cell r="K1680" t="str">
            <v>-</v>
          </cell>
          <cell r="L1680" t="str">
            <v>OK</v>
          </cell>
        </row>
        <row r="1681">
          <cell r="A1681" t="str">
            <v>AHW-46444I21</v>
          </cell>
          <cell r="B1681">
            <v>4005478</v>
          </cell>
          <cell r="C1681" t="str">
            <v>Original</v>
          </cell>
          <cell r="D1681" t="str">
            <v>CTS</v>
          </cell>
          <cell r="E1681" t="str">
            <v>JP</v>
          </cell>
          <cell r="F1681">
            <v>44565</v>
          </cell>
          <cell r="G1681">
            <v>44573</v>
          </cell>
          <cell r="H1681">
            <v>44575</v>
          </cell>
          <cell r="I1681" t="str">
            <v>07.01.2022</v>
          </cell>
          <cell r="J1681" t="str">
            <v>05.01.2022</v>
          </cell>
          <cell r="K1681" t="str">
            <v>-</v>
          </cell>
          <cell r="L1681" t="str">
            <v>OK</v>
          </cell>
        </row>
        <row r="1682">
          <cell r="A1682" t="str">
            <v>AHW-46445I21</v>
          </cell>
          <cell r="B1682">
            <v>4005488</v>
          </cell>
          <cell r="C1682" t="str">
            <v>Original</v>
          </cell>
          <cell r="D1682" t="str">
            <v>CTS</v>
          </cell>
          <cell r="E1682" t="str">
            <v>JP</v>
          </cell>
          <cell r="F1682">
            <v>44565</v>
          </cell>
          <cell r="G1682">
            <v>44573</v>
          </cell>
          <cell r="H1682">
            <v>44575</v>
          </cell>
          <cell r="I1682" t="str">
            <v>07.01.2022</v>
          </cell>
          <cell r="J1682" t="str">
            <v>12.01.2022</v>
          </cell>
          <cell r="K1682" t="str">
            <v>-</v>
          </cell>
          <cell r="L1682" t="str">
            <v>OK</v>
          </cell>
        </row>
        <row r="1683">
          <cell r="A1683" t="str">
            <v>AHW-46446I21</v>
          </cell>
          <cell r="B1683">
            <v>4005493</v>
          </cell>
          <cell r="C1683" t="str">
            <v>Original</v>
          </cell>
          <cell r="D1683" t="str">
            <v>CTS</v>
          </cell>
          <cell r="E1683" t="str">
            <v>JP</v>
          </cell>
          <cell r="F1683">
            <v>44565</v>
          </cell>
          <cell r="G1683">
            <v>44573</v>
          </cell>
          <cell r="H1683">
            <v>44575</v>
          </cell>
          <cell r="I1683" t="str">
            <v>07.01.2022</v>
          </cell>
          <cell r="J1683" t="str">
            <v>12.01.2022</v>
          </cell>
          <cell r="K1683" t="str">
            <v>-</v>
          </cell>
          <cell r="L1683" t="str">
            <v>OK</v>
          </cell>
        </row>
        <row r="1684">
          <cell r="A1684" t="str">
            <v>AHW-46447I21</v>
          </cell>
          <cell r="B1684">
            <v>4005489</v>
          </cell>
          <cell r="C1684" t="str">
            <v>Original</v>
          </cell>
          <cell r="D1684" t="str">
            <v>CTS</v>
          </cell>
          <cell r="E1684" t="str">
            <v>JP</v>
          </cell>
          <cell r="F1684">
            <v>44565</v>
          </cell>
          <cell r="G1684">
            <v>44573</v>
          </cell>
          <cell r="H1684">
            <v>44575</v>
          </cell>
          <cell r="I1684" t="str">
            <v>07.01.2022</v>
          </cell>
          <cell r="J1684" t="str">
            <v>12.01.2022</v>
          </cell>
          <cell r="K1684" t="str">
            <v>-</v>
          </cell>
          <cell r="L1684" t="str">
            <v>OK</v>
          </cell>
        </row>
        <row r="1685">
          <cell r="A1685" t="str">
            <v>AHW-46448I21</v>
          </cell>
          <cell r="B1685">
            <v>4005490</v>
          </cell>
          <cell r="C1685" t="str">
            <v>Original</v>
          </cell>
          <cell r="D1685" t="str">
            <v>CTS</v>
          </cell>
          <cell r="E1685" t="str">
            <v>JP</v>
          </cell>
          <cell r="F1685">
            <v>44565</v>
          </cell>
          <cell r="G1685">
            <v>44573</v>
          </cell>
          <cell r="H1685">
            <v>44575</v>
          </cell>
          <cell r="I1685" t="str">
            <v>07.01.2022</v>
          </cell>
          <cell r="J1685" t="str">
            <v>12.01.2022</v>
          </cell>
          <cell r="K1685" t="str">
            <v>-</v>
          </cell>
          <cell r="L1685" t="str">
            <v>OK</v>
          </cell>
        </row>
        <row r="1686">
          <cell r="A1686" t="str">
            <v>AHW-46449I21</v>
          </cell>
          <cell r="B1686">
            <v>4005498</v>
          </cell>
          <cell r="C1686" t="str">
            <v>Original</v>
          </cell>
          <cell r="D1686" t="str">
            <v>CTS</v>
          </cell>
          <cell r="E1686" t="str">
            <v>JP</v>
          </cell>
          <cell r="F1686">
            <v>44565</v>
          </cell>
          <cell r="G1686">
            <v>44573</v>
          </cell>
          <cell r="H1686">
            <v>44575</v>
          </cell>
          <cell r="I1686" t="str">
            <v>07.01.2022</v>
          </cell>
          <cell r="J1686" t="str">
            <v>12.01.2022</v>
          </cell>
          <cell r="K1686" t="str">
            <v>-</v>
          </cell>
          <cell r="L1686" t="str">
            <v>OK</v>
          </cell>
        </row>
        <row r="1687">
          <cell r="A1687" t="str">
            <v>AHW-46450I21</v>
          </cell>
          <cell r="B1687">
            <v>4005491</v>
          </cell>
          <cell r="C1687" t="str">
            <v>Original</v>
          </cell>
          <cell r="D1687" t="str">
            <v>CTS</v>
          </cell>
          <cell r="E1687" t="str">
            <v>JP</v>
          </cell>
          <cell r="F1687">
            <v>44565</v>
          </cell>
          <cell r="G1687">
            <v>44573</v>
          </cell>
          <cell r="H1687">
            <v>44575</v>
          </cell>
          <cell r="I1687" t="str">
            <v>07.01.2022</v>
          </cell>
          <cell r="J1687" t="str">
            <v>12.01.2022</v>
          </cell>
          <cell r="K1687" t="str">
            <v>-</v>
          </cell>
          <cell r="L1687" t="str">
            <v>OK</v>
          </cell>
        </row>
        <row r="1688">
          <cell r="A1688" t="str">
            <v>AHW-46475I21</v>
          </cell>
          <cell r="B1688">
            <v>4005502</v>
          </cell>
          <cell r="C1688" t="str">
            <v>Original</v>
          </cell>
          <cell r="D1688" t="str">
            <v>CTS</v>
          </cell>
          <cell r="E1688" t="str">
            <v>JP</v>
          </cell>
          <cell r="F1688">
            <v>44565</v>
          </cell>
          <cell r="G1688">
            <v>44573</v>
          </cell>
          <cell r="H1688">
            <v>44575</v>
          </cell>
          <cell r="I1688" t="str">
            <v>07.01.2022</v>
          </cell>
          <cell r="J1688" t="str">
            <v>12.01.2022</v>
          </cell>
          <cell r="K1688" t="str">
            <v>-</v>
          </cell>
          <cell r="L1688" t="str">
            <v>OK</v>
          </cell>
        </row>
        <row r="1689">
          <cell r="A1689" t="str">
            <v>AHW-46478I21</v>
          </cell>
          <cell r="B1689">
            <v>4005506</v>
          </cell>
          <cell r="C1689" t="str">
            <v>Original</v>
          </cell>
          <cell r="D1689" t="str">
            <v>CTS</v>
          </cell>
          <cell r="E1689" t="str">
            <v>JP</v>
          </cell>
          <cell r="F1689">
            <v>44565</v>
          </cell>
          <cell r="G1689">
            <v>44573</v>
          </cell>
          <cell r="H1689">
            <v>44575</v>
          </cell>
          <cell r="I1689" t="str">
            <v>07.01.2022</v>
          </cell>
          <cell r="J1689" t="str">
            <v>12.01.2022</v>
          </cell>
          <cell r="K1689" t="str">
            <v>-</v>
          </cell>
          <cell r="L1689" t="str">
            <v>OK</v>
          </cell>
        </row>
        <row r="1690">
          <cell r="A1690" t="str">
            <v>AHW-46480I21</v>
          </cell>
          <cell r="B1690">
            <v>4005509</v>
          </cell>
          <cell r="C1690" t="str">
            <v>Original</v>
          </cell>
          <cell r="D1690" t="str">
            <v>CTS</v>
          </cell>
          <cell r="E1690" t="str">
            <v>JP</v>
          </cell>
          <cell r="F1690">
            <v>44565</v>
          </cell>
          <cell r="G1690">
            <v>44573</v>
          </cell>
          <cell r="H1690">
            <v>44575</v>
          </cell>
          <cell r="I1690" t="str">
            <v>07.01.2022</v>
          </cell>
          <cell r="J1690" t="str">
            <v>12.01.2022</v>
          </cell>
          <cell r="K1690" t="str">
            <v>-</v>
          </cell>
          <cell r="L1690" t="str">
            <v>OK</v>
          </cell>
        </row>
        <row r="1691">
          <cell r="A1691" t="str">
            <v>AMS-46453I21</v>
          </cell>
          <cell r="B1691" t="str">
            <v>41L0075876</v>
          </cell>
          <cell r="C1691" t="str">
            <v>Original</v>
          </cell>
          <cell r="D1691" t="str">
            <v>Expeditors</v>
          </cell>
          <cell r="E1691" t="str">
            <v>Expeditors</v>
          </cell>
          <cell r="F1691">
            <v>44564</v>
          </cell>
          <cell r="G1691">
            <v>44572</v>
          </cell>
          <cell r="H1691">
            <v>44574</v>
          </cell>
          <cell r="I1691" t="str">
            <v>10.01.2022</v>
          </cell>
          <cell r="J1691" t="str">
            <v>05.01.2022</v>
          </cell>
          <cell r="K1691" t="str">
            <v>-</v>
          </cell>
          <cell r="L1691" t="str">
            <v>OK</v>
          </cell>
        </row>
        <row r="1692">
          <cell r="A1692" t="str">
            <v>AMS-46454I21</v>
          </cell>
          <cell r="B1692" t="str">
            <v>41L0075877</v>
          </cell>
          <cell r="C1692" t="str">
            <v>Original</v>
          </cell>
          <cell r="D1692" t="str">
            <v>Expeditors</v>
          </cell>
          <cell r="E1692" t="str">
            <v>Expeditors</v>
          </cell>
          <cell r="F1692">
            <v>44564</v>
          </cell>
          <cell r="G1692">
            <v>44572</v>
          </cell>
          <cell r="H1692">
            <v>44574</v>
          </cell>
          <cell r="I1692" t="str">
            <v>07.01.2022</v>
          </cell>
          <cell r="J1692" t="str">
            <v>05.01.2022</v>
          </cell>
          <cell r="K1692" t="str">
            <v>-</v>
          </cell>
          <cell r="L1692" t="str">
            <v>OK</v>
          </cell>
        </row>
        <row r="1693">
          <cell r="A1693" t="str">
            <v>SHW-45826I21</v>
          </cell>
          <cell r="B1693" t="str">
            <v>EGLV149114949262</v>
          </cell>
          <cell r="C1693" t="str">
            <v>Original</v>
          </cell>
          <cell r="D1693" t="str">
            <v>Shenker</v>
          </cell>
          <cell r="E1693" t="str">
            <v>Unitrading</v>
          </cell>
          <cell r="F1693">
            <v>44565</v>
          </cell>
          <cell r="G1693">
            <v>44573</v>
          </cell>
          <cell r="H1693">
            <v>44575</v>
          </cell>
          <cell r="I1693" t="str">
            <v>06.01.2022</v>
          </cell>
          <cell r="J1693" t="str">
            <v>05.01.2022</v>
          </cell>
          <cell r="K1693" t="str">
            <v>-</v>
          </cell>
          <cell r="L1693" t="str">
            <v>OK</v>
          </cell>
        </row>
        <row r="1694">
          <cell r="A1694" t="str">
            <v>SHW-45827I21</v>
          </cell>
          <cell r="B1694" t="str">
            <v>EGLV149113693477</v>
          </cell>
          <cell r="C1694" t="str">
            <v>Original</v>
          </cell>
          <cell r="D1694" t="str">
            <v>Shenker</v>
          </cell>
          <cell r="E1694" t="str">
            <v>Unitrading</v>
          </cell>
          <cell r="F1694">
            <v>44565</v>
          </cell>
          <cell r="G1694">
            <v>44573</v>
          </cell>
          <cell r="H1694">
            <v>44575</v>
          </cell>
          <cell r="I1694" t="str">
            <v>06.01.2022</v>
          </cell>
          <cell r="J1694" t="str">
            <v>05.01.2022</v>
          </cell>
          <cell r="K1694" t="str">
            <v>-</v>
          </cell>
          <cell r="L1694" t="str">
            <v>OK</v>
          </cell>
        </row>
        <row r="1695">
          <cell r="A1695" t="str">
            <v>SHW-45922I21</v>
          </cell>
          <cell r="B1695" t="str">
            <v>EGLV149113241029</v>
          </cell>
          <cell r="C1695" t="str">
            <v>Original</v>
          </cell>
          <cell r="D1695" t="str">
            <v>Shenker</v>
          </cell>
          <cell r="E1695" t="str">
            <v>Unitrading</v>
          </cell>
          <cell r="F1695">
            <v>44566</v>
          </cell>
          <cell r="G1695">
            <v>44574</v>
          </cell>
          <cell r="H1695">
            <v>44576</v>
          </cell>
          <cell r="I1695" t="str">
            <v>12.01.2022</v>
          </cell>
          <cell r="J1695" t="str">
            <v>07.01.2022</v>
          </cell>
          <cell r="K1695" t="str">
            <v>-</v>
          </cell>
          <cell r="L1695" t="str">
            <v>OK</v>
          </cell>
        </row>
        <row r="1696">
          <cell r="A1696" t="str">
            <v>SHW-45924I21</v>
          </cell>
          <cell r="B1696" t="str">
            <v>EGLV149115358501</v>
          </cell>
          <cell r="C1696" t="str">
            <v>Original</v>
          </cell>
          <cell r="D1696" t="str">
            <v>Shenker</v>
          </cell>
          <cell r="E1696" t="str">
            <v>Unitrading</v>
          </cell>
          <cell r="F1696">
            <v>44566</v>
          </cell>
          <cell r="G1696">
            <v>44574</v>
          </cell>
          <cell r="H1696">
            <v>44576</v>
          </cell>
          <cell r="I1696" t="str">
            <v>12.01.2022</v>
          </cell>
          <cell r="J1696" t="str">
            <v>06.01.2022</v>
          </cell>
          <cell r="K1696" t="str">
            <v>-</v>
          </cell>
          <cell r="L1696" t="str">
            <v>OK</v>
          </cell>
        </row>
        <row r="1697">
          <cell r="A1697" t="str">
            <v>AMS-45833I21</v>
          </cell>
          <cell r="B1697" t="str">
            <v>1Z6469V00448426696</v>
          </cell>
          <cell r="C1697" t="str">
            <v>Brasiliense</v>
          </cell>
          <cell r="D1697" t="str">
            <v>UPS</v>
          </cell>
          <cell r="E1697" t="str">
            <v>Future</v>
          </cell>
          <cell r="F1697">
            <v>44530</v>
          </cell>
          <cell r="G1697">
            <v>44538</v>
          </cell>
          <cell r="H1697">
            <v>44540</v>
          </cell>
          <cell r="I1697" t="str">
            <v>07.12.2021</v>
          </cell>
          <cell r="J1697" t="str">
            <v>09.12.2021</v>
          </cell>
          <cell r="K1697" t="str">
            <v>06.12.2021</v>
          </cell>
          <cell r="L1697" t="str">
            <v>OK</v>
          </cell>
        </row>
        <row r="1698">
          <cell r="A1698" t="str">
            <v>AMS-40167I22</v>
          </cell>
          <cell r="B1698" t="str">
            <v>1Z6469V00474601072</v>
          </cell>
          <cell r="C1698" t="str">
            <v>Brasiliense</v>
          </cell>
          <cell r="D1698" t="str">
            <v>UPS</v>
          </cell>
          <cell r="E1698" t="str">
            <v>Future</v>
          </cell>
          <cell r="F1698">
            <v>44573</v>
          </cell>
          <cell r="G1698">
            <v>44581</v>
          </cell>
          <cell r="H1698">
            <v>44583</v>
          </cell>
          <cell r="I1698" t="str">
            <v>18.01.2022</v>
          </cell>
          <cell r="J1698" t="str">
            <v>20.01.2022</v>
          </cell>
          <cell r="K1698" t="str">
            <v>17.01.2022</v>
          </cell>
          <cell r="L1698" t="str">
            <v>OK</v>
          </cell>
        </row>
        <row r="1699">
          <cell r="A1699" t="str">
            <v>AMS-40168I22</v>
          </cell>
          <cell r="B1699" t="str">
            <v>1Z6469V00474262082</v>
          </cell>
          <cell r="C1699" t="str">
            <v>Brasiliense</v>
          </cell>
          <cell r="D1699" t="str">
            <v>UPS</v>
          </cell>
          <cell r="E1699" t="str">
            <v>Future</v>
          </cell>
          <cell r="F1699">
            <v>44573</v>
          </cell>
          <cell r="G1699">
            <v>44581</v>
          </cell>
          <cell r="H1699">
            <v>44583</v>
          </cell>
          <cell r="I1699" t="str">
            <v>18.01.2022</v>
          </cell>
          <cell r="J1699" t="str">
            <v>20.01.2022</v>
          </cell>
          <cell r="K1699" t="str">
            <v>17.01.2022</v>
          </cell>
          <cell r="L1699" t="str">
            <v>OK</v>
          </cell>
        </row>
        <row r="1700">
          <cell r="A1700" t="str">
            <v>AMS-40169I22</v>
          </cell>
          <cell r="B1700" t="str">
            <v>1Z6469V00474007698</v>
          </cell>
          <cell r="C1700" t="str">
            <v>Brasiliense</v>
          </cell>
          <cell r="D1700" t="str">
            <v>UPS</v>
          </cell>
          <cell r="E1700" t="str">
            <v>Future</v>
          </cell>
          <cell r="F1700">
            <v>44573</v>
          </cell>
          <cell r="G1700">
            <v>44581</v>
          </cell>
          <cell r="H1700">
            <v>44583</v>
          </cell>
          <cell r="I1700" t="str">
            <v>18.01.2022</v>
          </cell>
          <cell r="J1700" t="str">
            <v>20.01.2022</v>
          </cell>
          <cell r="K1700" t="str">
            <v>17.01.2022</v>
          </cell>
          <cell r="L1700" t="str">
            <v>OK</v>
          </cell>
        </row>
        <row r="1701">
          <cell r="A1701" t="str">
            <v>AMS-40170I22</v>
          </cell>
          <cell r="B1701" t="str">
            <v>1Z6469V00474953906</v>
          </cell>
          <cell r="C1701" t="str">
            <v>Brasiliense</v>
          </cell>
          <cell r="D1701" t="str">
            <v>UPS</v>
          </cell>
          <cell r="E1701" t="str">
            <v>Future</v>
          </cell>
          <cell r="F1701">
            <v>44573</v>
          </cell>
          <cell r="G1701">
            <v>44581</v>
          </cell>
          <cell r="H1701">
            <v>44583</v>
          </cell>
          <cell r="I1701" t="str">
            <v>18.01.2022</v>
          </cell>
          <cell r="J1701" t="str">
            <v>20.01.2022</v>
          </cell>
          <cell r="K1701" t="str">
            <v>17.01.2022</v>
          </cell>
          <cell r="L1701" t="str">
            <v>OK</v>
          </cell>
        </row>
        <row r="1702">
          <cell r="A1702" t="str">
            <v>SHW-45942I21</v>
          </cell>
          <cell r="B1702" t="str">
            <v>EGLV149115416667</v>
          </cell>
          <cell r="C1702" t="str">
            <v>Original</v>
          </cell>
          <cell r="D1702" t="str">
            <v>Shenker</v>
          </cell>
          <cell r="E1702" t="str">
            <v>Unitrading</v>
          </cell>
          <cell r="F1702">
            <v>44568</v>
          </cell>
          <cell r="G1702">
            <v>44576</v>
          </cell>
          <cell r="H1702">
            <v>44578</v>
          </cell>
          <cell r="I1702" t="str">
            <v>12.01.2022</v>
          </cell>
          <cell r="J1702" t="str">
            <v>10.01.2022</v>
          </cell>
          <cell r="K1702" t="str">
            <v>-</v>
          </cell>
          <cell r="L1702" t="str">
            <v>OK</v>
          </cell>
        </row>
        <row r="1703">
          <cell r="A1703" t="str">
            <v>SHW-46020I21</v>
          </cell>
          <cell r="B1703" t="str">
            <v>EGLV149115461581</v>
          </cell>
          <cell r="C1703" t="str">
            <v>Original</v>
          </cell>
          <cell r="D1703" t="str">
            <v>Shenker</v>
          </cell>
          <cell r="E1703" t="str">
            <v>Unitrading</v>
          </cell>
          <cell r="F1703">
            <v>44571</v>
          </cell>
          <cell r="G1703">
            <v>44579</v>
          </cell>
          <cell r="H1703">
            <v>44581</v>
          </cell>
          <cell r="I1703" t="str">
            <v>14.01.2022</v>
          </cell>
          <cell r="J1703" t="str">
            <v>10.01.2022</v>
          </cell>
          <cell r="K1703" t="str">
            <v>-</v>
          </cell>
          <cell r="L1703" t="str">
            <v>OK</v>
          </cell>
        </row>
        <row r="1704">
          <cell r="A1704" t="str">
            <v>AHW-46481I21</v>
          </cell>
          <cell r="B1704">
            <v>4005518</v>
          </cell>
          <cell r="C1704" t="str">
            <v>Original</v>
          </cell>
          <cell r="D1704" t="str">
            <v>CTS</v>
          </cell>
          <cell r="E1704" t="str">
            <v>JP</v>
          </cell>
          <cell r="F1704">
            <v>44566</v>
          </cell>
          <cell r="G1704">
            <v>44574</v>
          </cell>
          <cell r="H1704">
            <v>44576</v>
          </cell>
          <cell r="I1704" t="str">
            <v>07.12.2021</v>
          </cell>
          <cell r="J1704" t="str">
            <v>12.01.2022</v>
          </cell>
          <cell r="K1704" t="str">
            <v>-</v>
          </cell>
          <cell r="L1704" t="str">
            <v>OK</v>
          </cell>
        </row>
        <row r="1705">
          <cell r="A1705" t="str">
            <v>AHW-40055I22</v>
          </cell>
          <cell r="B1705">
            <v>4005744</v>
          </cell>
          <cell r="C1705" t="str">
            <v>Original</v>
          </cell>
          <cell r="D1705" t="str">
            <v>CTS</v>
          </cell>
          <cell r="E1705" t="str">
            <v>JP</v>
          </cell>
          <cell r="F1705">
            <v>44571</v>
          </cell>
          <cell r="G1705">
            <v>44579</v>
          </cell>
          <cell r="H1705">
            <v>44581</v>
          </cell>
          <cell r="I1705" t="str">
            <v>14.01.2022</v>
          </cell>
          <cell r="J1705" t="str">
            <v>20.01.2022</v>
          </cell>
          <cell r="K1705" t="str">
            <v>-</v>
          </cell>
          <cell r="L1705" t="str">
            <v>OK</v>
          </cell>
        </row>
        <row r="1706">
          <cell r="A1706" t="str">
            <v>AHW-40058I22</v>
          </cell>
          <cell r="B1706">
            <v>4005544</v>
          </cell>
          <cell r="C1706" t="str">
            <v>Original</v>
          </cell>
          <cell r="D1706" t="str">
            <v>CTS</v>
          </cell>
          <cell r="E1706" t="str">
            <v>JP</v>
          </cell>
          <cell r="F1706">
            <v>44571</v>
          </cell>
          <cell r="G1706">
            <v>44579</v>
          </cell>
          <cell r="H1706">
            <v>44581</v>
          </cell>
          <cell r="I1706" t="str">
            <v>14.01.2022</v>
          </cell>
          <cell r="J1706" t="str">
            <v>20.01.2022</v>
          </cell>
          <cell r="K1706" t="str">
            <v>-</v>
          </cell>
          <cell r="L1706" t="str">
            <v>OK</v>
          </cell>
        </row>
        <row r="1707">
          <cell r="A1707" t="str">
            <v>AHW-40052I22</v>
          </cell>
          <cell r="B1707">
            <v>4005522</v>
          </cell>
          <cell r="C1707" t="str">
            <v>Original</v>
          </cell>
          <cell r="D1707" t="str">
            <v>CTS</v>
          </cell>
          <cell r="E1707" t="str">
            <v>JP</v>
          </cell>
          <cell r="F1707">
            <v>44572</v>
          </cell>
          <cell r="G1707">
            <v>44580</v>
          </cell>
          <cell r="H1707">
            <v>44582</v>
          </cell>
          <cell r="I1707" t="str">
            <v>14.01.2022</v>
          </cell>
          <cell r="J1707" t="str">
            <v>20.01.2022</v>
          </cell>
          <cell r="K1707" t="str">
            <v>-</v>
          </cell>
          <cell r="L1707" t="str">
            <v>OK</v>
          </cell>
        </row>
        <row r="1708">
          <cell r="A1708" t="str">
            <v>AHW-40061I22</v>
          </cell>
          <cell r="B1708">
            <v>4005541</v>
          </cell>
          <cell r="C1708" t="str">
            <v>Original</v>
          </cell>
          <cell r="D1708" t="str">
            <v>CTS</v>
          </cell>
          <cell r="E1708" t="str">
            <v>JP</v>
          </cell>
          <cell r="F1708">
            <v>44572</v>
          </cell>
          <cell r="G1708">
            <v>44580</v>
          </cell>
          <cell r="H1708">
            <v>44582</v>
          </cell>
          <cell r="I1708" t="str">
            <v>14.01.2022</v>
          </cell>
          <cell r="J1708" t="str">
            <v>20.01.2022</v>
          </cell>
          <cell r="K1708" t="str">
            <v>-</v>
          </cell>
          <cell r="L1708" t="str">
            <v>OK</v>
          </cell>
        </row>
        <row r="1709">
          <cell r="A1709" t="str">
            <v>AHW-40066I22</v>
          </cell>
          <cell r="B1709">
            <v>4005539</v>
          </cell>
          <cell r="C1709" t="str">
            <v>Original</v>
          </cell>
          <cell r="D1709" t="str">
            <v>CTS</v>
          </cell>
          <cell r="E1709" t="str">
            <v>JP</v>
          </cell>
          <cell r="F1709">
            <v>44572</v>
          </cell>
          <cell r="G1709">
            <v>44580</v>
          </cell>
          <cell r="H1709">
            <v>44582</v>
          </cell>
          <cell r="I1709" t="str">
            <v>14.01.2022</v>
          </cell>
          <cell r="J1709" t="str">
            <v>20.01.2022</v>
          </cell>
          <cell r="K1709" t="str">
            <v>-</v>
          </cell>
          <cell r="L1709" t="str">
            <v>OK</v>
          </cell>
        </row>
        <row r="1710">
          <cell r="A1710" t="str">
            <v>AHW-40063I22</v>
          </cell>
          <cell r="B1710">
            <v>4005542</v>
          </cell>
          <cell r="C1710" t="str">
            <v>Original</v>
          </cell>
          <cell r="D1710" t="str">
            <v>CTS</v>
          </cell>
          <cell r="E1710" t="str">
            <v>JP</v>
          </cell>
          <cell r="F1710">
            <v>44574</v>
          </cell>
          <cell r="G1710">
            <v>44582</v>
          </cell>
          <cell r="H1710">
            <v>44584</v>
          </cell>
          <cell r="I1710" t="str">
            <v>18.01.2022</v>
          </cell>
          <cell r="J1710" t="str">
            <v>20.01.2022</v>
          </cell>
          <cell r="K1710" t="str">
            <v>-</v>
          </cell>
          <cell r="L1710" t="str">
            <v>OK</v>
          </cell>
        </row>
        <row r="1711">
          <cell r="A1711" t="str">
            <v>AHW-40064I22</v>
          </cell>
          <cell r="B1711">
            <v>4005543</v>
          </cell>
          <cell r="C1711" t="str">
            <v>Original</v>
          </cell>
          <cell r="D1711" t="str">
            <v>CTS</v>
          </cell>
          <cell r="E1711" t="str">
            <v>JP</v>
          </cell>
          <cell r="F1711">
            <v>44574</v>
          </cell>
          <cell r="G1711">
            <v>44582</v>
          </cell>
          <cell r="H1711">
            <v>44584</v>
          </cell>
          <cell r="I1711" t="str">
            <v>18.01.2022</v>
          </cell>
          <cell r="J1711" t="str">
            <v>20.01.2022</v>
          </cell>
          <cell r="K1711" t="str">
            <v>-</v>
          </cell>
          <cell r="L1711" t="str">
            <v>OK</v>
          </cell>
        </row>
        <row r="1712">
          <cell r="A1712" t="str">
            <v>AHW-40065I22</v>
          </cell>
          <cell r="B1712">
            <v>4005540</v>
          </cell>
          <cell r="C1712" t="str">
            <v>Original</v>
          </cell>
          <cell r="D1712" t="str">
            <v>CTS</v>
          </cell>
          <cell r="E1712" t="str">
            <v>JP</v>
          </cell>
          <cell r="F1712">
            <v>44574</v>
          </cell>
          <cell r="G1712">
            <v>44582</v>
          </cell>
          <cell r="H1712">
            <v>44584</v>
          </cell>
          <cell r="I1712" t="str">
            <v>20.01.2022</v>
          </cell>
          <cell r="J1712" t="str">
            <v>20.01.2022</v>
          </cell>
          <cell r="K1712" t="str">
            <v>-</v>
          </cell>
          <cell r="L1712" t="str">
            <v>OK</v>
          </cell>
        </row>
        <row r="1713">
          <cell r="A1713" t="str">
            <v>AHW-40049I22</v>
          </cell>
          <cell r="B1713">
            <v>78210733</v>
          </cell>
          <cell r="C1713" t="str">
            <v>Original</v>
          </cell>
          <cell r="D1713" t="str">
            <v>CEVA</v>
          </cell>
          <cell r="E1713" t="str">
            <v>Rodoimport</v>
          </cell>
          <cell r="F1713">
            <v>44574</v>
          </cell>
          <cell r="G1713">
            <v>44582</v>
          </cell>
          <cell r="H1713">
            <v>44584</v>
          </cell>
          <cell r="I1713" t="str">
            <v>18.01.2022</v>
          </cell>
          <cell r="J1713" t="str">
            <v>20.01.2022</v>
          </cell>
          <cell r="K1713" t="str">
            <v>-</v>
          </cell>
          <cell r="L1713" t="str">
            <v>OK</v>
          </cell>
        </row>
        <row r="1714">
          <cell r="A1714" t="str">
            <v>AMS-40232I22</v>
          </cell>
          <cell r="B1714" t="str">
            <v>1Z6469V00473945515</v>
          </cell>
          <cell r="C1714" t="str">
            <v>Brasiliense</v>
          </cell>
          <cell r="D1714" t="str">
            <v>UPS</v>
          </cell>
          <cell r="E1714" t="str">
            <v>Future</v>
          </cell>
          <cell r="F1714">
            <v>44574</v>
          </cell>
          <cell r="G1714">
            <v>44582</v>
          </cell>
          <cell r="H1714">
            <v>44584</v>
          </cell>
          <cell r="I1714" t="str">
            <v>18.01.2022</v>
          </cell>
          <cell r="J1714" t="str">
            <v>20.01.2022</v>
          </cell>
          <cell r="K1714" t="str">
            <v>24.01.2022</v>
          </cell>
          <cell r="L1714" t="str">
            <v>OK</v>
          </cell>
        </row>
        <row r="1715">
          <cell r="A1715" t="str">
            <v>AMS-40233I22</v>
          </cell>
          <cell r="B1715" t="str">
            <v>1Z6469V00473417541</v>
          </cell>
          <cell r="C1715" t="str">
            <v>Brasiliense</v>
          </cell>
          <cell r="D1715" t="str">
            <v>UPS</v>
          </cell>
          <cell r="E1715" t="str">
            <v>Future</v>
          </cell>
          <cell r="F1715">
            <v>44574</v>
          </cell>
          <cell r="G1715">
            <v>44582</v>
          </cell>
          <cell r="H1715">
            <v>44584</v>
          </cell>
          <cell r="I1715" t="str">
            <v>18.01.2022</v>
          </cell>
          <cell r="J1715" t="str">
            <v>20.01.2022</v>
          </cell>
          <cell r="K1715" t="str">
            <v>24.01.2022</v>
          </cell>
          <cell r="L1715" t="str">
            <v>OK</v>
          </cell>
        </row>
        <row r="1716">
          <cell r="A1716" t="str">
            <v>AMS-40234I22</v>
          </cell>
          <cell r="B1716" t="str">
            <v>1Z6469V00474963968</v>
          </cell>
          <cell r="C1716" t="str">
            <v>Brasiliense</v>
          </cell>
          <cell r="D1716" t="str">
            <v>UPS</v>
          </cell>
          <cell r="E1716" t="str">
            <v>Future</v>
          </cell>
          <cell r="F1716">
            <v>44574</v>
          </cell>
          <cell r="G1716">
            <v>44582</v>
          </cell>
          <cell r="H1716">
            <v>44584</v>
          </cell>
          <cell r="I1716" t="str">
            <v>18.01.2022</v>
          </cell>
          <cell r="J1716" t="str">
            <v>20.01.2022</v>
          </cell>
          <cell r="K1716" t="str">
            <v>24.01.2022</v>
          </cell>
          <cell r="L1716" t="str">
            <v>OK</v>
          </cell>
        </row>
        <row r="1717">
          <cell r="A1717" t="str">
            <v>SHW-46371I21</v>
          </cell>
          <cell r="B1717" t="str">
            <v>EGLV149115820794</v>
          </cell>
          <cell r="C1717" t="str">
            <v>Original</v>
          </cell>
          <cell r="D1717" t="str">
            <v>Shenker</v>
          </cell>
          <cell r="E1717" t="str">
            <v>Unitrading</v>
          </cell>
          <cell r="F1717">
            <v>44574</v>
          </cell>
          <cell r="G1717">
            <v>44582</v>
          </cell>
          <cell r="H1717">
            <v>44584</v>
          </cell>
          <cell r="I1717" t="str">
            <v>14.01.2022</v>
          </cell>
          <cell r="J1717" t="str">
            <v>13.01.2022</v>
          </cell>
          <cell r="K1717" t="str">
            <v>-</v>
          </cell>
          <cell r="L1717" t="str">
            <v>OK</v>
          </cell>
        </row>
        <row r="1718">
          <cell r="A1718" t="str">
            <v>AMS-46382I21</v>
          </cell>
          <cell r="B1718" t="str">
            <v>SHA00663027</v>
          </cell>
          <cell r="C1718" t="str">
            <v>Original</v>
          </cell>
          <cell r="D1718" t="str">
            <v>PGL</v>
          </cell>
          <cell r="E1718" t="str">
            <v>Technology</v>
          </cell>
          <cell r="F1718">
            <v>44578</v>
          </cell>
          <cell r="G1718">
            <v>44586</v>
          </cell>
          <cell r="H1718">
            <v>44588</v>
          </cell>
          <cell r="I1718" t="str">
            <v>24.01.2022</v>
          </cell>
          <cell r="J1718" t="str">
            <v>21.01.2022</v>
          </cell>
          <cell r="K1718" t="str">
            <v>-</v>
          </cell>
          <cell r="L1718" t="str">
            <v>OK</v>
          </cell>
        </row>
        <row r="1719">
          <cell r="A1719" t="str">
            <v>AMS-46383I21</v>
          </cell>
          <cell r="B1719" t="str">
            <v>SHA00663033</v>
          </cell>
          <cell r="C1719" t="str">
            <v>Original</v>
          </cell>
          <cell r="D1719" t="str">
            <v>PGL</v>
          </cell>
          <cell r="E1719" t="str">
            <v>Technology</v>
          </cell>
          <cell r="F1719">
            <v>44578</v>
          </cell>
          <cell r="G1719">
            <v>44586</v>
          </cell>
          <cell r="H1719">
            <v>44588</v>
          </cell>
          <cell r="I1719" t="str">
            <v>24.01.2022</v>
          </cell>
          <cell r="J1719" t="str">
            <v>21.01.2022</v>
          </cell>
          <cell r="K1719" t="str">
            <v>-</v>
          </cell>
          <cell r="L1719" t="str">
            <v>OK</v>
          </cell>
        </row>
        <row r="1720">
          <cell r="A1720" t="str">
            <v>AMS-46384I21</v>
          </cell>
          <cell r="B1720" t="str">
            <v>SHA00663029</v>
          </cell>
          <cell r="C1720" t="str">
            <v>Original</v>
          </cell>
          <cell r="D1720" t="str">
            <v>PGL</v>
          </cell>
          <cell r="E1720" t="str">
            <v>Technology</v>
          </cell>
          <cell r="F1720">
            <v>44578</v>
          </cell>
          <cell r="G1720">
            <v>44586</v>
          </cell>
          <cell r="H1720">
            <v>44588</v>
          </cell>
          <cell r="I1720" t="str">
            <v>24.01.2022</v>
          </cell>
          <cell r="J1720" t="str">
            <v>21.01.2022</v>
          </cell>
          <cell r="K1720" t="str">
            <v>-</v>
          </cell>
          <cell r="L1720" t="str">
            <v>OK</v>
          </cell>
        </row>
        <row r="1721">
          <cell r="A1721" t="str">
            <v>AMS-46385I21</v>
          </cell>
          <cell r="B1721" t="str">
            <v>SHA00663032</v>
          </cell>
          <cell r="C1721" t="str">
            <v>Original</v>
          </cell>
          <cell r="D1721" t="str">
            <v>PGL</v>
          </cell>
          <cell r="E1721" t="str">
            <v>Technology</v>
          </cell>
          <cell r="F1721">
            <v>44578</v>
          </cell>
          <cell r="G1721">
            <v>44586</v>
          </cell>
          <cell r="H1721">
            <v>44588</v>
          </cell>
          <cell r="I1721" t="str">
            <v>24.01.2022</v>
          </cell>
          <cell r="J1721" t="str">
            <v>21.01.2022</v>
          </cell>
          <cell r="K1721" t="str">
            <v>-</v>
          </cell>
          <cell r="L1721" t="str">
            <v>OK</v>
          </cell>
        </row>
        <row r="1722">
          <cell r="A1722" t="str">
            <v>AMS-46386I21</v>
          </cell>
          <cell r="B1722" t="str">
            <v>SHA00663034</v>
          </cell>
          <cell r="C1722" t="str">
            <v>Original</v>
          </cell>
          <cell r="D1722" t="str">
            <v>PGL</v>
          </cell>
          <cell r="E1722" t="str">
            <v>Technology</v>
          </cell>
          <cell r="F1722">
            <v>44578</v>
          </cell>
          <cell r="G1722">
            <v>44586</v>
          </cell>
          <cell r="H1722">
            <v>44588</v>
          </cell>
          <cell r="I1722" t="str">
            <v>24.01.2022</v>
          </cell>
          <cell r="J1722" t="str">
            <v>21.01.2022</v>
          </cell>
          <cell r="K1722" t="str">
            <v>-</v>
          </cell>
          <cell r="L1722" t="str">
            <v>OK</v>
          </cell>
        </row>
        <row r="1723">
          <cell r="A1723" t="str">
            <v>AMS-46387I21</v>
          </cell>
          <cell r="B1723" t="str">
            <v>SHA00663026</v>
          </cell>
          <cell r="C1723" t="str">
            <v>Original</v>
          </cell>
          <cell r="D1723" t="str">
            <v>PGL</v>
          </cell>
          <cell r="E1723" t="str">
            <v>Technology</v>
          </cell>
          <cell r="F1723">
            <v>44578</v>
          </cell>
          <cell r="G1723">
            <v>44586</v>
          </cell>
          <cell r="H1723">
            <v>44588</v>
          </cell>
          <cell r="I1723" t="str">
            <v>24.01.2022</v>
          </cell>
          <cell r="J1723" t="str">
            <v>21.01.2022</v>
          </cell>
          <cell r="K1723" t="str">
            <v>-</v>
          </cell>
          <cell r="L1723" t="str">
            <v>OK</v>
          </cell>
        </row>
        <row r="1724">
          <cell r="A1724" t="str">
            <v>AMS-46388I21</v>
          </cell>
          <cell r="B1724" t="str">
            <v>SHA00663030</v>
          </cell>
          <cell r="C1724" t="str">
            <v>Original</v>
          </cell>
          <cell r="D1724" t="str">
            <v>PGL</v>
          </cell>
          <cell r="E1724" t="str">
            <v>Technology</v>
          </cell>
          <cell r="F1724">
            <v>44578</v>
          </cell>
          <cell r="G1724">
            <v>44586</v>
          </cell>
          <cell r="H1724">
            <v>44588</v>
          </cell>
          <cell r="I1724" t="str">
            <v>24.01.2022</v>
          </cell>
          <cell r="J1724" t="str">
            <v>21.01.2022</v>
          </cell>
          <cell r="K1724" t="str">
            <v>-</v>
          </cell>
          <cell r="L1724" t="str">
            <v>OK</v>
          </cell>
        </row>
        <row r="1725">
          <cell r="A1725" t="str">
            <v>AMS-46389I21</v>
          </cell>
          <cell r="B1725" t="str">
            <v>SHA00663031</v>
          </cell>
          <cell r="C1725" t="str">
            <v>Original</v>
          </cell>
          <cell r="D1725" t="str">
            <v>PGL</v>
          </cell>
          <cell r="E1725" t="str">
            <v>Technology</v>
          </cell>
          <cell r="F1725">
            <v>44578</v>
          </cell>
          <cell r="G1725">
            <v>44586</v>
          </cell>
          <cell r="H1725">
            <v>44588</v>
          </cell>
          <cell r="I1725" t="str">
            <v>24.01.2022</v>
          </cell>
          <cell r="J1725" t="str">
            <v>21.01.2022</v>
          </cell>
          <cell r="K1725" t="str">
            <v>-</v>
          </cell>
          <cell r="L1725" t="str">
            <v>OK</v>
          </cell>
        </row>
        <row r="1726">
          <cell r="A1726" t="str">
            <v>AMS-46390I21</v>
          </cell>
          <cell r="B1726" t="str">
            <v>SHA00663028</v>
          </cell>
          <cell r="C1726" t="str">
            <v>Original</v>
          </cell>
          <cell r="D1726" t="str">
            <v>PGL</v>
          </cell>
          <cell r="E1726" t="str">
            <v>Technology</v>
          </cell>
          <cell r="F1726">
            <v>44578</v>
          </cell>
          <cell r="G1726">
            <v>44586</v>
          </cell>
          <cell r="H1726">
            <v>44588</v>
          </cell>
          <cell r="I1726" t="str">
            <v>24.01.2022</v>
          </cell>
          <cell r="J1726" t="str">
            <v>21.01.2022</v>
          </cell>
          <cell r="K1726" t="str">
            <v>-</v>
          </cell>
          <cell r="L1726" t="str">
            <v>OK</v>
          </cell>
        </row>
        <row r="1727">
          <cell r="A1727" t="str">
            <v>SHW-46369I21</v>
          </cell>
          <cell r="B1727" t="str">
            <v>EGLV149115439462</v>
          </cell>
          <cell r="C1727" t="str">
            <v>Original</v>
          </cell>
          <cell r="D1727" t="str">
            <v>Shenker</v>
          </cell>
          <cell r="E1727" t="str">
            <v>Unitrading</v>
          </cell>
          <cell r="F1727">
            <v>44578</v>
          </cell>
          <cell r="G1727">
            <v>44586</v>
          </cell>
          <cell r="H1727">
            <v>44588</v>
          </cell>
          <cell r="I1727" t="str">
            <v>20.01.2022</v>
          </cell>
          <cell r="J1727" t="str">
            <v>17.01.2022</v>
          </cell>
          <cell r="K1727" t="str">
            <v>-</v>
          </cell>
          <cell r="L1727" t="str">
            <v>OK</v>
          </cell>
        </row>
        <row r="1728">
          <cell r="A1728" t="str">
            <v>SHW-46370I21</v>
          </cell>
          <cell r="B1728" t="str">
            <v>EGLV149115836488</v>
          </cell>
          <cell r="C1728" t="str">
            <v>Original</v>
          </cell>
          <cell r="D1728" t="str">
            <v>Shenker</v>
          </cell>
          <cell r="E1728" t="str">
            <v>Unitrading</v>
          </cell>
          <cell r="F1728">
            <v>44578</v>
          </cell>
          <cell r="G1728">
            <v>44586</v>
          </cell>
          <cell r="H1728">
            <v>44588</v>
          </cell>
          <cell r="I1728" t="str">
            <v>20.01.2022</v>
          </cell>
          <cell r="J1728" t="str">
            <v>17.01.2022</v>
          </cell>
          <cell r="K1728" t="str">
            <v>-</v>
          </cell>
          <cell r="L1728" t="str">
            <v>OK</v>
          </cell>
        </row>
        <row r="1729">
          <cell r="A1729" t="str">
            <v>SHW-46372I21</v>
          </cell>
          <cell r="B1729" t="str">
            <v>EGLV149115830676</v>
          </cell>
          <cell r="C1729" t="str">
            <v>Original</v>
          </cell>
          <cell r="D1729" t="str">
            <v>Shenker</v>
          </cell>
          <cell r="E1729" t="str">
            <v>Unitrading</v>
          </cell>
          <cell r="F1729">
            <v>44578</v>
          </cell>
          <cell r="G1729">
            <v>44586</v>
          </cell>
          <cell r="H1729">
            <v>44588</v>
          </cell>
          <cell r="I1729" t="str">
            <v>20.01.2022</v>
          </cell>
          <cell r="J1729" t="str">
            <v>18.01.2022</v>
          </cell>
          <cell r="K1729" t="str">
            <v>-</v>
          </cell>
          <cell r="L1729" t="str">
            <v>OK</v>
          </cell>
        </row>
        <row r="1730">
          <cell r="A1730" t="str">
            <v>AHW-40047I22</v>
          </cell>
          <cell r="B1730">
            <v>4005519</v>
          </cell>
          <cell r="C1730" t="str">
            <v>Original</v>
          </cell>
          <cell r="D1730" t="str">
            <v>CTS</v>
          </cell>
          <cell r="E1730" t="str">
            <v>JP</v>
          </cell>
          <cell r="F1730">
            <v>44574</v>
          </cell>
          <cell r="G1730">
            <v>44582</v>
          </cell>
          <cell r="H1730">
            <v>44584</v>
          </cell>
          <cell r="I1730" t="str">
            <v>24.01.2022</v>
          </cell>
          <cell r="J1730" t="str">
            <v>18.01.2022</v>
          </cell>
          <cell r="K1730" t="str">
            <v>-</v>
          </cell>
          <cell r="L1730" t="str">
            <v>OK</v>
          </cell>
        </row>
        <row r="1731">
          <cell r="A1731" t="str">
            <v>AHW-40054I22</v>
          </cell>
          <cell r="B1731">
            <v>4005535</v>
          </cell>
          <cell r="C1731" t="str">
            <v>Original</v>
          </cell>
          <cell r="D1731" t="str">
            <v>CTS</v>
          </cell>
          <cell r="E1731" t="str">
            <v>JP</v>
          </cell>
          <cell r="F1731">
            <v>44574</v>
          </cell>
          <cell r="G1731">
            <v>44582</v>
          </cell>
          <cell r="H1731">
            <v>44584</v>
          </cell>
          <cell r="I1731" t="str">
            <v>24.01.2022</v>
          </cell>
          <cell r="J1731" t="str">
            <v>18.01.2022</v>
          </cell>
          <cell r="K1731" t="str">
            <v>-</v>
          </cell>
          <cell r="L1731" t="str">
            <v>OK</v>
          </cell>
        </row>
        <row r="1732">
          <cell r="A1732" t="str">
            <v>AHW-40057I22</v>
          </cell>
          <cell r="B1732">
            <v>4005536</v>
          </cell>
          <cell r="C1732" t="str">
            <v>Original</v>
          </cell>
          <cell r="D1732" t="str">
            <v>CTS</v>
          </cell>
          <cell r="E1732" t="str">
            <v>JP</v>
          </cell>
          <cell r="F1732">
            <v>44574</v>
          </cell>
          <cell r="G1732">
            <v>44582</v>
          </cell>
          <cell r="H1732">
            <v>44584</v>
          </cell>
          <cell r="I1732" t="str">
            <v>24.01.2022</v>
          </cell>
          <cell r="J1732" t="str">
            <v>18.01.2022</v>
          </cell>
          <cell r="K1732" t="str">
            <v>-</v>
          </cell>
          <cell r="L1732" t="str">
            <v>OK</v>
          </cell>
        </row>
        <row r="1733">
          <cell r="A1733" t="str">
            <v>AHW-40060I22</v>
          </cell>
          <cell r="B1733">
            <v>4005766</v>
          </cell>
          <cell r="C1733" t="str">
            <v>Original</v>
          </cell>
          <cell r="D1733" t="str">
            <v>CTS</v>
          </cell>
          <cell r="E1733" t="str">
            <v>JP</v>
          </cell>
          <cell r="F1733">
            <v>44574</v>
          </cell>
          <cell r="G1733">
            <v>44582</v>
          </cell>
          <cell r="H1733">
            <v>44584</v>
          </cell>
          <cell r="I1733" t="str">
            <v>24.01.2022</v>
          </cell>
          <cell r="J1733" t="str">
            <v>18.01.2022</v>
          </cell>
          <cell r="K1733" t="str">
            <v>-</v>
          </cell>
          <cell r="L1733" t="str">
            <v>OK</v>
          </cell>
        </row>
        <row r="1734">
          <cell r="A1734" t="str">
            <v>AHW-40056I22</v>
          </cell>
          <cell r="B1734">
            <v>4005538</v>
          </cell>
          <cell r="C1734" t="str">
            <v>Original</v>
          </cell>
          <cell r="D1734" t="str">
            <v>CTS</v>
          </cell>
          <cell r="E1734" t="str">
            <v>JP</v>
          </cell>
          <cell r="F1734">
            <v>44578</v>
          </cell>
          <cell r="G1734">
            <v>44586</v>
          </cell>
          <cell r="H1734">
            <v>44588</v>
          </cell>
          <cell r="I1734" t="str">
            <v>24.01.2022</v>
          </cell>
          <cell r="J1734" t="str">
            <v>03.02.2022</v>
          </cell>
          <cell r="K1734" t="str">
            <v>-</v>
          </cell>
          <cell r="L1734" t="str">
            <v>OK</v>
          </cell>
        </row>
        <row r="1735">
          <cell r="A1735" t="str">
            <v>AHW-40059I22</v>
          </cell>
          <cell r="B1735">
            <v>4005537</v>
          </cell>
          <cell r="C1735" t="str">
            <v>Original</v>
          </cell>
          <cell r="D1735" t="str">
            <v>CTS</v>
          </cell>
          <cell r="E1735" t="str">
            <v>JP</v>
          </cell>
          <cell r="F1735">
            <v>44578</v>
          </cell>
          <cell r="G1735">
            <v>44586</v>
          </cell>
          <cell r="H1735">
            <v>44588</v>
          </cell>
          <cell r="I1735" t="str">
            <v>24.01.2022</v>
          </cell>
          <cell r="J1735" t="str">
            <v>03.02.2022</v>
          </cell>
          <cell r="K1735" t="str">
            <v>-</v>
          </cell>
          <cell r="L1735" t="str">
            <v>OK</v>
          </cell>
        </row>
        <row r="1736">
          <cell r="A1736" t="str">
            <v>AHW-40053I22</v>
          </cell>
          <cell r="B1736">
            <v>78210691</v>
          </cell>
          <cell r="C1736" t="str">
            <v>Original</v>
          </cell>
          <cell r="D1736" t="str">
            <v>CEVA</v>
          </cell>
          <cell r="E1736" t="str">
            <v>Rodoimport</v>
          </cell>
          <cell r="F1736">
            <v>44578</v>
          </cell>
          <cell r="G1736">
            <v>44586</v>
          </cell>
          <cell r="H1736">
            <v>44588</v>
          </cell>
          <cell r="I1736" t="str">
            <v>20.01.2022</v>
          </cell>
          <cell r="J1736" t="str">
            <v>25.01.2022</v>
          </cell>
          <cell r="K1736" t="str">
            <v>-</v>
          </cell>
          <cell r="L1736" t="str">
            <v>OK</v>
          </cell>
        </row>
        <row r="1737">
          <cell r="A1737" t="str">
            <v>AHW-40050I22</v>
          </cell>
          <cell r="B1737">
            <v>4005523</v>
          </cell>
          <cell r="C1737" t="str">
            <v>Original</v>
          </cell>
          <cell r="D1737" t="str">
            <v>CTS</v>
          </cell>
          <cell r="E1737" t="str">
            <v>JP</v>
          </cell>
          <cell r="F1737">
            <v>44578</v>
          </cell>
          <cell r="G1737">
            <v>44586</v>
          </cell>
          <cell r="H1737">
            <v>44588</v>
          </cell>
          <cell r="I1737" t="str">
            <v>20.01.2022</v>
          </cell>
          <cell r="J1737" t="str">
            <v>25.01.2022</v>
          </cell>
          <cell r="K1737" t="str">
            <v>-</v>
          </cell>
          <cell r="L1737" t="str">
            <v>OK</v>
          </cell>
        </row>
        <row r="1738">
          <cell r="A1738" t="str">
            <v>AHW-40051I22</v>
          </cell>
          <cell r="B1738">
            <v>4005524</v>
          </cell>
          <cell r="C1738" t="str">
            <v>Original</v>
          </cell>
          <cell r="D1738" t="str">
            <v>CTS</v>
          </cell>
          <cell r="E1738" t="str">
            <v>JP</v>
          </cell>
          <cell r="F1738">
            <v>44578</v>
          </cell>
          <cell r="G1738">
            <v>44586</v>
          </cell>
          <cell r="H1738">
            <v>44588</v>
          </cell>
          <cell r="I1738" t="str">
            <v>20.01.2022</v>
          </cell>
          <cell r="J1738" t="str">
            <v>25.01.2022</v>
          </cell>
          <cell r="K1738" t="str">
            <v>-</v>
          </cell>
          <cell r="L1738" t="str">
            <v>OK</v>
          </cell>
        </row>
        <row r="1739">
          <cell r="A1739" t="str">
            <v>AHW-40062I22</v>
          </cell>
          <cell r="B1739">
            <v>4005545</v>
          </cell>
          <cell r="C1739" t="str">
            <v>Original</v>
          </cell>
          <cell r="D1739" t="str">
            <v>CTS</v>
          </cell>
          <cell r="E1739" t="str">
            <v>JP</v>
          </cell>
          <cell r="F1739">
            <v>44578</v>
          </cell>
          <cell r="G1739">
            <v>44586</v>
          </cell>
          <cell r="H1739">
            <v>44588</v>
          </cell>
          <cell r="I1739" t="str">
            <v>20.01.2022</v>
          </cell>
          <cell r="J1739" t="str">
            <v>25.01.2022</v>
          </cell>
          <cell r="K1739" t="str">
            <v>-</v>
          </cell>
          <cell r="L1739" t="str">
            <v>OK</v>
          </cell>
        </row>
        <row r="1740">
          <cell r="A1740" t="str">
            <v>AMS-40344I22</v>
          </cell>
          <cell r="B1740" t="str">
            <v>1Z6469V00474928925</v>
          </cell>
          <cell r="C1740" t="str">
            <v>Brasiliense</v>
          </cell>
          <cell r="D1740" t="str">
            <v>UPS</v>
          </cell>
          <cell r="E1740" t="str">
            <v>Future</v>
          </cell>
          <cell r="F1740">
            <v>44579</v>
          </cell>
          <cell r="G1740">
            <v>44587</v>
          </cell>
          <cell r="H1740">
            <v>44589</v>
          </cell>
          <cell r="I1740" t="str">
            <v>21.01.2022</v>
          </cell>
          <cell r="J1740" t="str">
            <v>25.01.2022</v>
          </cell>
          <cell r="K1740" t="str">
            <v>24.01.2022</v>
          </cell>
          <cell r="L1740" t="str">
            <v>OK</v>
          </cell>
        </row>
        <row r="1741">
          <cell r="A1741" t="str">
            <v>AMS-40345I22</v>
          </cell>
          <cell r="B1741" t="str">
            <v>1Z6469V00474354705</v>
          </cell>
          <cell r="C1741" t="str">
            <v>Brasiliense</v>
          </cell>
          <cell r="D1741" t="str">
            <v>UPS</v>
          </cell>
          <cell r="E1741" t="str">
            <v>Future</v>
          </cell>
          <cell r="F1741">
            <v>44579</v>
          </cell>
          <cell r="G1741">
            <v>44587</v>
          </cell>
          <cell r="H1741">
            <v>44589</v>
          </cell>
          <cell r="I1741" t="str">
            <v>21.01.2022</v>
          </cell>
          <cell r="J1741" t="str">
            <v>25.01.2022</v>
          </cell>
          <cell r="K1741" t="str">
            <v>24.01.2022</v>
          </cell>
          <cell r="L1741" t="str">
            <v>OK</v>
          </cell>
        </row>
        <row r="1742">
          <cell r="A1742" t="str">
            <v>AMS-40346I22</v>
          </cell>
          <cell r="B1742" t="str">
            <v>1Z6469V00474100934</v>
          </cell>
          <cell r="C1742" t="str">
            <v>Brasiliense</v>
          </cell>
          <cell r="D1742" t="str">
            <v>UPS</v>
          </cell>
          <cell r="E1742" t="str">
            <v>Future</v>
          </cell>
          <cell r="F1742">
            <v>44579</v>
          </cell>
          <cell r="G1742">
            <v>44587</v>
          </cell>
          <cell r="H1742">
            <v>44589</v>
          </cell>
          <cell r="I1742" t="str">
            <v>21.01.2022</v>
          </cell>
          <cell r="J1742" t="str">
            <v>25.01.2022</v>
          </cell>
          <cell r="K1742" t="str">
            <v>24.01.2022</v>
          </cell>
          <cell r="L1742" t="str">
            <v>OK</v>
          </cell>
        </row>
        <row r="1743">
          <cell r="A1743" t="str">
            <v>AMS-40347I22</v>
          </cell>
          <cell r="B1743" t="str">
            <v>1Z6469V00474594750</v>
          </cell>
          <cell r="C1743" t="str">
            <v>Brasiliense</v>
          </cell>
          <cell r="D1743" t="str">
            <v>UPS</v>
          </cell>
          <cell r="E1743" t="str">
            <v>Future</v>
          </cell>
          <cell r="F1743">
            <v>44579</v>
          </cell>
          <cell r="G1743">
            <v>44587</v>
          </cell>
          <cell r="H1743">
            <v>44589</v>
          </cell>
          <cell r="I1743" t="str">
            <v>21.01.2022</v>
          </cell>
          <cell r="J1743" t="str">
            <v>25.01.2022</v>
          </cell>
          <cell r="K1743" t="str">
            <v>24.01.2022</v>
          </cell>
          <cell r="L1743" t="str">
            <v>OK</v>
          </cell>
        </row>
        <row r="1744">
          <cell r="A1744" t="str">
            <v>SHW-46021I21</v>
          </cell>
          <cell r="B1744" t="str">
            <v>EGLV149115196071</v>
          </cell>
          <cell r="C1744" t="str">
            <v>Original</v>
          </cell>
          <cell r="D1744" t="str">
            <v>Shenker</v>
          </cell>
          <cell r="E1744" t="str">
            <v>Unitrading</v>
          </cell>
          <cell r="F1744">
            <v>44579</v>
          </cell>
          <cell r="G1744">
            <v>44587</v>
          </cell>
          <cell r="H1744">
            <v>44589</v>
          </cell>
          <cell r="I1744" t="str">
            <v>24.01.2022</v>
          </cell>
          <cell r="J1744" t="str">
            <v>19.01.2022</v>
          </cell>
          <cell r="K1744" t="str">
            <v>-</v>
          </cell>
          <cell r="L1744" t="str">
            <v>OK</v>
          </cell>
        </row>
        <row r="1745">
          <cell r="A1745" t="str">
            <v>AHW-40204I22</v>
          </cell>
          <cell r="B1745">
            <v>4005575</v>
          </cell>
          <cell r="C1745" t="str">
            <v>Original</v>
          </cell>
          <cell r="D1745" t="str">
            <v>CTS</v>
          </cell>
          <cell r="E1745" t="str">
            <v>JP</v>
          </cell>
          <cell r="F1745">
            <v>44580</v>
          </cell>
          <cell r="G1745">
            <v>44588</v>
          </cell>
          <cell r="H1745">
            <v>44590</v>
          </cell>
          <cell r="I1745" t="str">
            <v>24.01.2022</v>
          </cell>
          <cell r="J1745" t="str">
            <v>25.01.2022</v>
          </cell>
          <cell r="K1745" t="str">
            <v>-</v>
          </cell>
          <cell r="L1745" t="str">
            <v>OK</v>
          </cell>
        </row>
        <row r="1746">
          <cell r="A1746" t="str">
            <v>AHW-40226I22</v>
          </cell>
          <cell r="B1746">
            <v>4005577</v>
          </cell>
          <cell r="C1746" t="str">
            <v>Original</v>
          </cell>
          <cell r="D1746" t="str">
            <v>CTS</v>
          </cell>
          <cell r="E1746" t="str">
            <v>JP</v>
          </cell>
          <cell r="F1746">
            <v>44580</v>
          </cell>
          <cell r="G1746">
            <v>44588</v>
          </cell>
          <cell r="H1746">
            <v>44590</v>
          </cell>
          <cell r="I1746" t="str">
            <v>24.01.2022</v>
          </cell>
          <cell r="J1746" t="str">
            <v>25.01.2022</v>
          </cell>
          <cell r="K1746" t="str">
            <v>-</v>
          </cell>
          <cell r="L1746" t="str">
            <v>OK</v>
          </cell>
        </row>
        <row r="1747">
          <cell r="A1747" t="str">
            <v>AMSR-40219I22</v>
          </cell>
          <cell r="B1747" t="str">
            <v>1Z6469V00446399176</v>
          </cell>
          <cell r="C1747" t="str">
            <v>Original</v>
          </cell>
          <cell r="D1747" t="str">
            <v>UPS</v>
          </cell>
          <cell r="E1747" t="str">
            <v>Future</v>
          </cell>
          <cell r="F1747">
            <v>44572</v>
          </cell>
          <cell r="G1747">
            <v>44580</v>
          </cell>
          <cell r="H1747">
            <v>44582</v>
          </cell>
          <cell r="I1747" t="str">
            <v>-</v>
          </cell>
          <cell r="J1747" t="str">
            <v>-</v>
          </cell>
          <cell r="K1747" t="str">
            <v>-</v>
          </cell>
          <cell r="L1747" t="str">
            <v>OK</v>
          </cell>
        </row>
        <row r="1748">
          <cell r="A1748" t="str">
            <v>AMSR-40222I22</v>
          </cell>
          <cell r="B1748" t="str">
            <v>1Z6469V00446537123</v>
          </cell>
          <cell r="C1748" t="str">
            <v>Original</v>
          </cell>
          <cell r="D1748" t="str">
            <v>UPS</v>
          </cell>
          <cell r="E1748" t="str">
            <v>Future</v>
          </cell>
          <cell r="F1748">
            <v>44572</v>
          </cell>
          <cell r="G1748">
            <v>44580</v>
          </cell>
          <cell r="H1748">
            <v>44582</v>
          </cell>
          <cell r="I1748" t="str">
            <v>-</v>
          </cell>
          <cell r="J1748" t="str">
            <v>-</v>
          </cell>
          <cell r="K1748" t="str">
            <v>-</v>
          </cell>
          <cell r="L1748" t="str">
            <v>OK</v>
          </cell>
        </row>
        <row r="1749">
          <cell r="A1749" t="str">
            <v>AMSR-40221I22</v>
          </cell>
          <cell r="B1749" t="str">
            <v>1Z6469V00447053199</v>
          </cell>
          <cell r="C1749" t="str">
            <v>Original</v>
          </cell>
          <cell r="D1749" t="str">
            <v>UPS</v>
          </cell>
          <cell r="E1749" t="str">
            <v>Future</v>
          </cell>
          <cell r="F1749">
            <v>44572</v>
          </cell>
          <cell r="G1749">
            <v>44580</v>
          </cell>
          <cell r="H1749">
            <v>44582</v>
          </cell>
          <cell r="I1749" t="str">
            <v>-</v>
          </cell>
          <cell r="J1749" t="str">
            <v>-</v>
          </cell>
          <cell r="K1749" t="str">
            <v>-</v>
          </cell>
          <cell r="L1749" t="str">
            <v>OK</v>
          </cell>
        </row>
        <row r="1750">
          <cell r="A1750" t="str">
            <v>AMSR-40223I22</v>
          </cell>
          <cell r="B1750" t="str">
            <v>1Z6469V00448568560</v>
          </cell>
          <cell r="C1750" t="str">
            <v>Original</v>
          </cell>
          <cell r="D1750" t="str">
            <v>UPS</v>
          </cell>
          <cell r="E1750" t="str">
            <v>Future</v>
          </cell>
          <cell r="F1750">
            <v>44572</v>
          </cell>
          <cell r="G1750">
            <v>44580</v>
          </cell>
          <cell r="H1750">
            <v>44582</v>
          </cell>
          <cell r="I1750" t="str">
            <v>-</v>
          </cell>
          <cell r="J1750" t="str">
            <v>-</v>
          </cell>
          <cell r="K1750" t="str">
            <v>-</v>
          </cell>
          <cell r="L1750" t="str">
            <v>OK</v>
          </cell>
        </row>
        <row r="1751">
          <cell r="A1751" t="str">
            <v>AMS-40368I22</v>
          </cell>
          <cell r="B1751" t="str">
            <v>1Z6469V00473132554</v>
          </cell>
          <cell r="C1751" t="str">
            <v>Brasiliense</v>
          </cell>
          <cell r="D1751" t="str">
            <v>UPS</v>
          </cell>
          <cell r="E1751" t="str">
            <v>Future</v>
          </cell>
          <cell r="F1751">
            <v>44582</v>
          </cell>
          <cell r="G1751">
            <v>44590</v>
          </cell>
          <cell r="H1751">
            <v>44592</v>
          </cell>
          <cell r="I1751" t="str">
            <v>02.02.2022</v>
          </cell>
          <cell r="J1751" t="str">
            <v>25.01.2022</v>
          </cell>
          <cell r="K1751" t="str">
            <v>24.01.2022</v>
          </cell>
          <cell r="L1751" t="str">
            <v>OK</v>
          </cell>
        </row>
        <row r="1752">
          <cell r="A1752" t="str">
            <v>AMS-40369I22</v>
          </cell>
          <cell r="B1752" t="str">
            <v>1Z6469V00473396350</v>
          </cell>
          <cell r="C1752" t="str">
            <v>Brasiliense</v>
          </cell>
          <cell r="D1752" t="str">
            <v>UPS</v>
          </cell>
          <cell r="E1752" t="str">
            <v>Future</v>
          </cell>
          <cell r="F1752">
            <v>44582</v>
          </cell>
          <cell r="G1752">
            <v>44590</v>
          </cell>
          <cell r="H1752">
            <v>44592</v>
          </cell>
          <cell r="I1752" t="str">
            <v>02.02.2022</v>
          </cell>
          <cell r="J1752" t="str">
            <v>25.01.2022</v>
          </cell>
          <cell r="K1752" t="str">
            <v>24.01.2022</v>
          </cell>
          <cell r="L1752" t="str">
            <v>OK</v>
          </cell>
        </row>
        <row r="1753">
          <cell r="A1753" t="str">
            <v>AMS-40370I22</v>
          </cell>
          <cell r="B1753" t="str">
            <v>1Z6469V00473028579</v>
          </cell>
          <cell r="C1753" t="str">
            <v>Brasiliense</v>
          </cell>
          <cell r="D1753" t="str">
            <v>UPS</v>
          </cell>
          <cell r="E1753" t="str">
            <v>Future</v>
          </cell>
          <cell r="F1753">
            <v>44582</v>
          </cell>
          <cell r="G1753">
            <v>44590</v>
          </cell>
          <cell r="H1753">
            <v>44592</v>
          </cell>
          <cell r="I1753" t="str">
            <v>02.02.2022</v>
          </cell>
          <cell r="J1753" t="str">
            <v>25.01.2022</v>
          </cell>
          <cell r="K1753" t="str">
            <v>24.01.2022</v>
          </cell>
          <cell r="L1753" t="str">
            <v>OK</v>
          </cell>
        </row>
        <row r="1754">
          <cell r="A1754" t="str">
            <v>AMS-40371I22</v>
          </cell>
          <cell r="B1754" t="str">
            <v>1Z6469V00473446162</v>
          </cell>
          <cell r="C1754" t="str">
            <v>Brasiliense</v>
          </cell>
          <cell r="D1754" t="str">
            <v>UPS</v>
          </cell>
          <cell r="E1754" t="str">
            <v>Future</v>
          </cell>
          <cell r="F1754">
            <v>44582</v>
          </cell>
          <cell r="G1754">
            <v>44590</v>
          </cell>
          <cell r="H1754">
            <v>44592</v>
          </cell>
          <cell r="I1754" t="str">
            <v>02.02.2022</v>
          </cell>
          <cell r="J1754" t="str">
            <v>25.01.2022</v>
          </cell>
          <cell r="K1754" t="str">
            <v>24.01.2022</v>
          </cell>
          <cell r="L1754" t="str">
            <v>OK</v>
          </cell>
        </row>
        <row r="1755">
          <cell r="A1755" t="str">
            <v>AHW-40205I22</v>
          </cell>
          <cell r="B1755">
            <v>4005586</v>
          </cell>
          <cell r="C1755" t="str">
            <v>Original</v>
          </cell>
          <cell r="D1755" t="str">
            <v>CTS</v>
          </cell>
          <cell r="E1755" t="str">
            <v>JP</v>
          </cell>
          <cell r="F1755">
            <v>44585</v>
          </cell>
          <cell r="G1755">
            <v>44593</v>
          </cell>
          <cell r="H1755">
            <v>44595</v>
          </cell>
          <cell r="I1755" t="str">
            <v>03.02.2022</v>
          </cell>
          <cell r="J1755" t="str">
            <v>02.02.2022</v>
          </cell>
          <cell r="K1755" t="str">
            <v>-</v>
          </cell>
          <cell r="L1755" t="str">
            <v>OK</v>
          </cell>
        </row>
        <row r="1756">
          <cell r="A1756" t="str">
            <v>AHW-40301I22</v>
          </cell>
          <cell r="B1756">
            <v>4006016</v>
          </cell>
          <cell r="C1756" t="str">
            <v>Original</v>
          </cell>
          <cell r="D1756" t="str">
            <v>CTS</v>
          </cell>
          <cell r="E1756" t="str">
            <v>JP</v>
          </cell>
          <cell r="F1756">
            <v>44585</v>
          </cell>
          <cell r="G1756">
            <v>44593</v>
          </cell>
          <cell r="H1756">
            <v>44595</v>
          </cell>
          <cell r="I1756" t="str">
            <v>03.02.2022</v>
          </cell>
          <cell r="J1756" t="str">
            <v>02.02.2022</v>
          </cell>
          <cell r="K1756" t="str">
            <v>-</v>
          </cell>
          <cell r="L1756" t="str">
            <v>OK</v>
          </cell>
        </row>
        <row r="1757">
          <cell r="A1757" t="str">
            <v>AHW-40202I22</v>
          </cell>
          <cell r="B1757">
            <v>4005559</v>
          </cell>
          <cell r="C1757" t="str">
            <v>Original</v>
          </cell>
          <cell r="D1757" t="str">
            <v>CTS</v>
          </cell>
          <cell r="E1757" t="str">
            <v>JP</v>
          </cell>
          <cell r="F1757">
            <v>44586</v>
          </cell>
          <cell r="G1757">
            <v>44594</v>
          </cell>
          <cell r="H1757">
            <v>44596</v>
          </cell>
          <cell r="I1757" t="str">
            <v>03.02.2022</v>
          </cell>
          <cell r="J1757" t="str">
            <v>02.02.2022</v>
          </cell>
          <cell r="K1757" t="str">
            <v>-</v>
          </cell>
          <cell r="L1757" t="str">
            <v>OK</v>
          </cell>
        </row>
        <row r="1758">
          <cell r="A1758" t="str">
            <v>AHW-40203I22</v>
          </cell>
          <cell r="B1758">
            <v>4005569</v>
          </cell>
          <cell r="C1758" t="str">
            <v>Original</v>
          </cell>
          <cell r="D1758" t="str">
            <v>CTS</v>
          </cell>
          <cell r="E1758" t="str">
            <v>JP</v>
          </cell>
          <cell r="F1758">
            <v>44586</v>
          </cell>
          <cell r="G1758">
            <v>44594</v>
          </cell>
          <cell r="H1758">
            <v>44596</v>
          </cell>
          <cell r="I1758" t="str">
            <v>03.02.2022</v>
          </cell>
          <cell r="J1758" t="str">
            <v>02.02.2022</v>
          </cell>
          <cell r="K1758" t="str">
            <v>-</v>
          </cell>
          <cell r="L1758" t="str">
            <v>OK</v>
          </cell>
        </row>
        <row r="1759">
          <cell r="A1759" t="str">
            <v>AHW-40227I22</v>
          </cell>
          <cell r="B1759">
            <v>4005591</v>
          </cell>
          <cell r="C1759" t="str">
            <v>Original</v>
          </cell>
          <cell r="D1759" t="str">
            <v>CTS</v>
          </cell>
          <cell r="E1759" t="str">
            <v>JP</v>
          </cell>
          <cell r="F1759">
            <v>44586</v>
          </cell>
          <cell r="G1759">
            <v>44594</v>
          </cell>
          <cell r="H1759">
            <v>44596</v>
          </cell>
          <cell r="I1759" t="str">
            <v>03.02.2022</v>
          </cell>
          <cell r="J1759" t="str">
            <v>02.02.2022</v>
          </cell>
          <cell r="K1759" t="str">
            <v>-</v>
          </cell>
          <cell r="L1759" t="str">
            <v>OK</v>
          </cell>
        </row>
        <row r="1760">
          <cell r="A1760" t="str">
            <v>AHW-40239I22</v>
          </cell>
          <cell r="B1760">
            <v>4005595</v>
          </cell>
          <cell r="C1760" t="str">
            <v>Original</v>
          </cell>
          <cell r="D1760" t="str">
            <v>CTS</v>
          </cell>
          <cell r="E1760" t="str">
            <v>JP</v>
          </cell>
          <cell r="F1760">
            <v>44586</v>
          </cell>
          <cell r="G1760">
            <v>44594</v>
          </cell>
          <cell r="H1760">
            <v>44596</v>
          </cell>
          <cell r="I1760" t="str">
            <v>03.02.2022</v>
          </cell>
          <cell r="J1760" t="str">
            <v>02.02.2022</v>
          </cell>
          <cell r="K1760" t="str">
            <v>-</v>
          </cell>
          <cell r="L1760" t="str">
            <v>OK</v>
          </cell>
        </row>
        <row r="1761">
          <cell r="A1761" t="str">
            <v>AHW-40302I22</v>
          </cell>
          <cell r="B1761">
            <v>4005609</v>
          </cell>
          <cell r="C1761" t="str">
            <v>Original</v>
          </cell>
          <cell r="D1761" t="str">
            <v>CTS</v>
          </cell>
          <cell r="E1761" t="str">
            <v>JP</v>
          </cell>
          <cell r="F1761">
            <v>44586</v>
          </cell>
          <cell r="G1761">
            <v>44594</v>
          </cell>
          <cell r="H1761">
            <v>44596</v>
          </cell>
          <cell r="I1761" t="str">
            <v>03.02.2022</v>
          </cell>
          <cell r="J1761" t="str">
            <v>02.02.2022</v>
          </cell>
          <cell r="K1761" t="str">
            <v>-</v>
          </cell>
          <cell r="L1761" t="str">
            <v>OK</v>
          </cell>
        </row>
        <row r="1762">
          <cell r="A1762" t="str">
            <v>AHW-40303I22</v>
          </cell>
          <cell r="B1762">
            <v>4006017</v>
          </cell>
          <cell r="C1762" t="str">
            <v>Original</v>
          </cell>
          <cell r="D1762" t="str">
            <v>CTS</v>
          </cell>
          <cell r="E1762" t="str">
            <v>JP</v>
          </cell>
          <cell r="F1762">
            <v>44586</v>
          </cell>
          <cell r="G1762">
            <v>44594</v>
          </cell>
          <cell r="H1762">
            <v>44596</v>
          </cell>
          <cell r="I1762" t="str">
            <v>03.02.2022</v>
          </cell>
          <cell r="J1762" t="str">
            <v>02.02.2022</v>
          </cell>
          <cell r="K1762" t="str">
            <v>-</v>
          </cell>
          <cell r="L1762" t="str">
            <v>OK</v>
          </cell>
        </row>
        <row r="1763">
          <cell r="A1763" t="str">
            <v>SHW-46373I21</v>
          </cell>
          <cell r="B1763" t="str">
            <v>EGLV149115436731</v>
          </cell>
          <cell r="C1763" t="str">
            <v>Original</v>
          </cell>
          <cell r="D1763" t="str">
            <v>Shenker</v>
          </cell>
          <cell r="E1763" t="str">
            <v>Unitrading</v>
          </cell>
          <cell r="F1763">
            <v>44586</v>
          </cell>
          <cell r="G1763">
            <v>44594</v>
          </cell>
          <cell r="H1763">
            <v>44596</v>
          </cell>
          <cell r="I1763" t="str">
            <v>10.02.2022</v>
          </cell>
          <cell r="J1763" t="str">
            <v>01.02.2022</v>
          </cell>
          <cell r="K1763" t="str">
            <v>-</v>
          </cell>
          <cell r="L1763" t="str">
            <v>OK</v>
          </cell>
        </row>
        <row r="1764">
          <cell r="A1764" t="str">
            <v>SHW-46439I21</v>
          </cell>
          <cell r="B1764" t="str">
            <v>EGLV149116088183</v>
          </cell>
          <cell r="C1764" t="str">
            <v>Original</v>
          </cell>
          <cell r="D1764" t="str">
            <v>Shenker</v>
          </cell>
          <cell r="E1764" t="str">
            <v>Unitrading</v>
          </cell>
          <cell r="F1764">
            <v>44586</v>
          </cell>
          <cell r="G1764">
            <v>44594</v>
          </cell>
          <cell r="H1764">
            <v>44596</v>
          </cell>
          <cell r="I1764" t="str">
            <v>10.02.2022</v>
          </cell>
          <cell r="J1764" t="str">
            <v>25.01.2022</v>
          </cell>
          <cell r="K1764" t="str">
            <v>-</v>
          </cell>
          <cell r="L1764" t="str">
            <v>OK</v>
          </cell>
        </row>
        <row r="1765">
          <cell r="A1765" t="str">
            <v>SHW-46022I21</v>
          </cell>
          <cell r="B1765" t="str">
            <v>EGLV149115606687</v>
          </cell>
          <cell r="C1765" t="str">
            <v>Original</v>
          </cell>
          <cell r="D1765" t="str">
            <v>Shenker</v>
          </cell>
          <cell r="E1765" t="str">
            <v>Unitrading</v>
          </cell>
          <cell r="F1765">
            <v>44587</v>
          </cell>
          <cell r="G1765">
            <v>44595</v>
          </cell>
          <cell r="H1765">
            <v>44597</v>
          </cell>
          <cell r="I1765" t="str">
            <v>24.01.2022</v>
          </cell>
          <cell r="J1765" t="str">
            <v>01.02.2022</v>
          </cell>
          <cell r="K1765" t="str">
            <v>-</v>
          </cell>
          <cell r="L1765" t="str">
            <v>OK</v>
          </cell>
        </row>
        <row r="1766">
          <cell r="A1766" t="str">
            <v>SHW-46023I21</v>
          </cell>
          <cell r="B1766" t="str">
            <v>EGLV149115606342</v>
          </cell>
          <cell r="C1766" t="str">
            <v>Original</v>
          </cell>
          <cell r="D1766" t="str">
            <v>Shenker</v>
          </cell>
          <cell r="E1766" t="str">
            <v>Unitrading</v>
          </cell>
          <cell r="F1766">
            <v>44587</v>
          </cell>
          <cell r="G1766">
            <v>44595</v>
          </cell>
          <cell r="H1766">
            <v>44597</v>
          </cell>
          <cell r="I1766" t="str">
            <v>24.01.2022</v>
          </cell>
          <cell r="J1766" t="str">
            <v>01.02.2022</v>
          </cell>
          <cell r="K1766" t="str">
            <v>-</v>
          </cell>
          <cell r="L1766" t="str">
            <v>OK</v>
          </cell>
        </row>
        <row r="1767">
          <cell r="A1767" t="str">
            <v>SHW-46368I21</v>
          </cell>
          <cell r="B1767" t="str">
            <v>EGLV149115677495</v>
          </cell>
          <cell r="C1767" t="str">
            <v>Original</v>
          </cell>
          <cell r="D1767" t="str">
            <v>Shenker</v>
          </cell>
          <cell r="E1767" t="str">
            <v>Unitrading</v>
          </cell>
          <cell r="F1767">
            <v>44587</v>
          </cell>
          <cell r="G1767">
            <v>44595</v>
          </cell>
          <cell r="H1767">
            <v>44597</v>
          </cell>
          <cell r="I1767" t="str">
            <v>24.01.2022</v>
          </cell>
          <cell r="J1767" t="str">
            <v>01.02.2022</v>
          </cell>
          <cell r="K1767" t="str">
            <v>-</v>
          </cell>
          <cell r="L1767" t="str">
            <v>OK</v>
          </cell>
        </row>
        <row r="1768">
          <cell r="A1768" t="str">
            <v>SHW-46468I21</v>
          </cell>
          <cell r="B1768" t="str">
            <v>EGLV149116281722</v>
          </cell>
          <cell r="C1768" t="str">
            <v>Original</v>
          </cell>
          <cell r="D1768" t="str">
            <v>Shenker</v>
          </cell>
          <cell r="E1768" t="str">
            <v>Unitrading</v>
          </cell>
          <cell r="F1768">
            <v>44592</v>
          </cell>
          <cell r="G1768">
            <v>44600</v>
          </cell>
          <cell r="H1768">
            <v>44602</v>
          </cell>
          <cell r="I1768" t="str">
            <v>10.02.2022</v>
          </cell>
          <cell r="J1768" t="str">
            <v>02.02.2022</v>
          </cell>
          <cell r="K1768" t="str">
            <v>-</v>
          </cell>
          <cell r="L1768" t="str">
            <v>OK</v>
          </cell>
        </row>
        <row r="1769">
          <cell r="A1769" t="str">
            <v>SHW-46470I21</v>
          </cell>
          <cell r="B1769" t="str">
            <v>EGLV149116352581</v>
          </cell>
          <cell r="C1769" t="str">
            <v>Original</v>
          </cell>
          <cell r="D1769" t="str">
            <v>Shenker</v>
          </cell>
          <cell r="E1769" t="str">
            <v>Unitrading</v>
          </cell>
          <cell r="F1769">
            <v>44592</v>
          </cell>
          <cell r="G1769">
            <v>44600</v>
          </cell>
          <cell r="H1769">
            <v>44602</v>
          </cell>
          <cell r="I1769" t="str">
            <v>10.02.2022</v>
          </cell>
          <cell r="J1769" t="str">
            <v>02.02.2022</v>
          </cell>
          <cell r="K1769" t="str">
            <v>-</v>
          </cell>
          <cell r="L1769" t="str">
            <v>OK</v>
          </cell>
        </row>
        <row r="1770">
          <cell r="A1770" t="str">
            <v>AHW-40360I22</v>
          </cell>
          <cell r="B1770">
            <v>4006033</v>
          </cell>
          <cell r="C1770" t="str">
            <v>Original</v>
          </cell>
          <cell r="D1770" t="str">
            <v>CTS</v>
          </cell>
          <cell r="E1770" t="str">
            <v>JP</v>
          </cell>
          <cell r="F1770">
            <v>44592</v>
          </cell>
          <cell r="G1770">
            <v>44600</v>
          </cell>
          <cell r="H1770">
            <v>44602</v>
          </cell>
          <cell r="I1770" t="str">
            <v>03.02.2022</v>
          </cell>
          <cell r="J1770" t="str">
            <v>04.02.2022</v>
          </cell>
          <cell r="K1770" t="str">
            <v>-</v>
          </cell>
          <cell r="L1770" t="str">
            <v>OK</v>
          </cell>
        </row>
        <row r="1771">
          <cell r="A1771" t="str">
            <v>AHW-40361I22</v>
          </cell>
          <cell r="B1771">
            <v>4005928</v>
          </cell>
          <cell r="C1771" t="str">
            <v>Original</v>
          </cell>
          <cell r="D1771" t="str">
            <v>CTS</v>
          </cell>
          <cell r="E1771" t="str">
            <v>JP</v>
          </cell>
          <cell r="F1771">
            <v>44592</v>
          </cell>
          <cell r="G1771">
            <v>44600</v>
          </cell>
          <cell r="H1771">
            <v>44602</v>
          </cell>
          <cell r="I1771" t="str">
            <v>03.02.2022</v>
          </cell>
          <cell r="J1771" t="str">
            <v>04.02.2022</v>
          </cell>
          <cell r="K1771" t="str">
            <v>-</v>
          </cell>
          <cell r="L1771" t="str">
            <v>OK</v>
          </cell>
        </row>
        <row r="1772">
          <cell r="A1772" t="str">
            <v>AHW-40362I22</v>
          </cell>
          <cell r="B1772">
            <v>4006034</v>
          </cell>
          <cell r="C1772" t="str">
            <v>Original</v>
          </cell>
          <cell r="D1772" t="str">
            <v>CTS</v>
          </cell>
          <cell r="E1772" t="str">
            <v>JP</v>
          </cell>
          <cell r="F1772">
            <v>44592</v>
          </cell>
          <cell r="G1772">
            <v>44600</v>
          </cell>
          <cell r="H1772">
            <v>44602</v>
          </cell>
          <cell r="I1772" t="str">
            <v>03.02.2022</v>
          </cell>
          <cell r="J1772" t="str">
            <v>04.02.2022</v>
          </cell>
          <cell r="K1772" t="str">
            <v>-</v>
          </cell>
          <cell r="L1772" t="str">
            <v>OK</v>
          </cell>
        </row>
        <row r="1773">
          <cell r="A1773" t="str">
            <v>AHW-40363I22</v>
          </cell>
          <cell r="B1773">
            <v>4006026</v>
          </cell>
          <cell r="C1773" t="str">
            <v>Original</v>
          </cell>
          <cell r="D1773" t="str">
            <v>CTS</v>
          </cell>
          <cell r="E1773" t="str">
            <v>JP</v>
          </cell>
          <cell r="F1773">
            <v>44592</v>
          </cell>
          <cell r="G1773">
            <v>44600</v>
          </cell>
          <cell r="H1773">
            <v>44602</v>
          </cell>
          <cell r="I1773" t="str">
            <v>03.02.2022</v>
          </cell>
          <cell r="J1773" t="str">
            <v>04.02.2022</v>
          </cell>
          <cell r="K1773" t="str">
            <v>-</v>
          </cell>
          <cell r="L1773" t="str">
            <v>OK</v>
          </cell>
        </row>
        <row r="1774">
          <cell r="A1774" t="str">
            <v>AHW-40441I22</v>
          </cell>
          <cell r="B1774">
            <v>4006063</v>
          </cell>
          <cell r="C1774" t="str">
            <v>Original</v>
          </cell>
          <cell r="D1774" t="str">
            <v>CTS</v>
          </cell>
          <cell r="E1774" t="str">
            <v>JP</v>
          </cell>
          <cell r="F1774">
            <v>44592</v>
          </cell>
          <cell r="G1774">
            <v>44600</v>
          </cell>
          <cell r="H1774">
            <v>44602</v>
          </cell>
          <cell r="I1774" t="str">
            <v>03.02.2022</v>
          </cell>
          <cell r="J1774" t="str">
            <v>04.02.2022</v>
          </cell>
          <cell r="K1774" t="str">
            <v>-</v>
          </cell>
          <cell r="L1774" t="str">
            <v>OK</v>
          </cell>
        </row>
        <row r="1775">
          <cell r="A1775" t="str">
            <v>AHW-40443I22</v>
          </cell>
          <cell r="B1775">
            <v>4006087</v>
          </cell>
          <cell r="C1775" t="str">
            <v>Original</v>
          </cell>
          <cell r="D1775" t="str">
            <v>CTS</v>
          </cell>
          <cell r="E1775" t="str">
            <v>JP</v>
          </cell>
          <cell r="F1775">
            <v>44595</v>
          </cell>
          <cell r="G1775">
            <v>44603</v>
          </cell>
          <cell r="H1775">
            <v>44605</v>
          </cell>
          <cell r="I1775" t="str">
            <v>10.02.2022</v>
          </cell>
          <cell r="J1775" t="str">
            <v>08.02.2022</v>
          </cell>
          <cell r="K1775" t="str">
            <v>-</v>
          </cell>
          <cell r="L1775" t="str">
            <v>OK</v>
          </cell>
        </row>
        <row r="1776">
          <cell r="A1776" t="str">
            <v>AHW-40444I22</v>
          </cell>
          <cell r="B1776">
            <v>4006085</v>
          </cell>
          <cell r="C1776" t="str">
            <v>Original</v>
          </cell>
          <cell r="D1776" t="str">
            <v>CTS</v>
          </cell>
          <cell r="E1776" t="str">
            <v>JP</v>
          </cell>
          <cell r="F1776">
            <v>44595</v>
          </cell>
          <cell r="G1776">
            <v>44603</v>
          </cell>
          <cell r="H1776">
            <v>44605</v>
          </cell>
          <cell r="I1776" t="str">
            <v>10.02.2022</v>
          </cell>
          <cell r="J1776" t="str">
            <v>08.02.2022</v>
          </cell>
          <cell r="K1776" t="str">
            <v>-</v>
          </cell>
          <cell r="L1776" t="str">
            <v>OK</v>
          </cell>
        </row>
        <row r="1777">
          <cell r="A1777" t="str">
            <v>AHW-40525I22</v>
          </cell>
          <cell r="B1777">
            <v>4006095</v>
          </cell>
          <cell r="C1777" t="str">
            <v>Original</v>
          </cell>
          <cell r="D1777" t="str">
            <v>CTS</v>
          </cell>
          <cell r="E1777" t="str">
            <v>JP</v>
          </cell>
          <cell r="F1777">
            <v>44595</v>
          </cell>
          <cell r="G1777">
            <v>44603</v>
          </cell>
          <cell r="H1777">
            <v>44605</v>
          </cell>
          <cell r="I1777" t="str">
            <v>10.02.2022</v>
          </cell>
          <cell r="J1777" t="str">
            <v>08.02.2022</v>
          </cell>
          <cell r="K1777" t="str">
            <v>-</v>
          </cell>
          <cell r="L1777" t="str">
            <v>OK</v>
          </cell>
        </row>
        <row r="1778">
          <cell r="A1778" t="str">
            <v>AHW-40527I22</v>
          </cell>
          <cell r="B1778">
            <v>4006093</v>
          </cell>
          <cell r="C1778" t="str">
            <v>Original</v>
          </cell>
          <cell r="D1778" t="str">
            <v>CTS</v>
          </cell>
          <cell r="E1778" t="str">
            <v>JP</v>
          </cell>
          <cell r="F1778">
            <v>44595</v>
          </cell>
          <cell r="G1778">
            <v>44603</v>
          </cell>
          <cell r="H1778">
            <v>44605</v>
          </cell>
          <cell r="I1778" t="str">
            <v>10.02.2022</v>
          </cell>
          <cell r="J1778" t="str">
            <v>08.02.2022</v>
          </cell>
          <cell r="K1778" t="str">
            <v>-</v>
          </cell>
          <cell r="L1778" t="str">
            <v>OK</v>
          </cell>
        </row>
        <row r="1779">
          <cell r="A1779" t="str">
            <v>AMS-40367I22</v>
          </cell>
          <cell r="B1779" t="str">
            <v>1Z6469V00475243261</v>
          </cell>
          <cell r="C1779" t="str">
            <v>Brasiliense</v>
          </cell>
          <cell r="D1779" t="str">
            <v>UPS</v>
          </cell>
          <cell r="E1779" t="str">
            <v>Future</v>
          </cell>
          <cell r="F1779">
            <v>44587</v>
          </cell>
          <cell r="G1779">
            <v>44595</v>
          </cell>
          <cell r="H1779">
            <v>44597</v>
          </cell>
          <cell r="I1779" t="str">
            <v>02.02.2022</v>
          </cell>
          <cell r="J1779" t="str">
            <v>02.02.2022</v>
          </cell>
          <cell r="K1779" t="str">
            <v>01.02.2022</v>
          </cell>
          <cell r="L1779" t="str">
            <v>OK</v>
          </cell>
        </row>
        <row r="1780">
          <cell r="A1780" t="str">
            <v>AMS-40506I22</v>
          </cell>
          <cell r="B1780" t="str">
            <v>1Z6469V00473226891</v>
          </cell>
          <cell r="C1780" t="str">
            <v>Brasiliense</v>
          </cell>
          <cell r="D1780" t="str">
            <v>UPS</v>
          </cell>
          <cell r="E1780" t="str">
            <v>Future</v>
          </cell>
          <cell r="F1780">
            <v>44588</v>
          </cell>
          <cell r="G1780">
            <v>44596</v>
          </cell>
          <cell r="H1780">
            <v>44598</v>
          </cell>
          <cell r="I1780" t="str">
            <v>02.02.2022</v>
          </cell>
          <cell r="J1780" t="str">
            <v>02.02.2022</v>
          </cell>
          <cell r="K1780" t="str">
            <v>01.02.2022</v>
          </cell>
          <cell r="L1780" t="str">
            <v>OK</v>
          </cell>
        </row>
        <row r="1781">
          <cell r="A1781" t="str">
            <v>AMS-40366I22</v>
          </cell>
          <cell r="B1781" t="str">
            <v>41L0077532</v>
          </cell>
          <cell r="C1781" t="str">
            <v>Original</v>
          </cell>
          <cell r="D1781" t="str">
            <v>Expeditors</v>
          </cell>
          <cell r="E1781" t="str">
            <v>Expeditors</v>
          </cell>
          <cell r="F1781">
            <v>44592</v>
          </cell>
          <cell r="G1781">
            <v>44600</v>
          </cell>
          <cell r="H1781">
            <v>44602</v>
          </cell>
          <cell r="I1781" t="str">
            <v>03.02.2022</v>
          </cell>
          <cell r="J1781" t="str">
            <v>01.02.2022</v>
          </cell>
          <cell r="K1781" t="str">
            <v>-</v>
          </cell>
          <cell r="L1781" t="str">
            <v>OK</v>
          </cell>
        </row>
        <row r="1782">
          <cell r="A1782" t="str">
            <v>AMS-45660I21</v>
          </cell>
          <cell r="B1782" t="str">
            <v>SHA00667548</v>
          </cell>
          <cell r="C1782" t="str">
            <v>Original</v>
          </cell>
          <cell r="D1782" t="str">
            <v>PGL</v>
          </cell>
          <cell r="E1782" t="str">
            <v>Buick</v>
          </cell>
          <cell r="F1782">
            <v>44592</v>
          </cell>
          <cell r="G1782">
            <v>44600</v>
          </cell>
          <cell r="H1782">
            <v>44602</v>
          </cell>
          <cell r="I1782" t="str">
            <v>03.02.2022</v>
          </cell>
          <cell r="J1782" t="str">
            <v>01.02.2022</v>
          </cell>
          <cell r="K1782" t="str">
            <v>-</v>
          </cell>
          <cell r="L1782" t="str">
            <v>OK</v>
          </cell>
        </row>
        <row r="1783">
          <cell r="A1783" t="str">
            <v>AMS-45662I21</v>
          </cell>
          <cell r="B1783" t="str">
            <v>SHA00667550</v>
          </cell>
          <cell r="C1783" t="str">
            <v>Original</v>
          </cell>
          <cell r="D1783" t="str">
            <v>PGL</v>
          </cell>
          <cell r="E1783" t="str">
            <v>Buick</v>
          </cell>
          <cell r="F1783">
            <v>44592</v>
          </cell>
          <cell r="G1783">
            <v>44600</v>
          </cell>
          <cell r="H1783">
            <v>44602</v>
          </cell>
          <cell r="I1783" t="str">
            <v>03.02.2022</v>
          </cell>
          <cell r="J1783" t="str">
            <v>01.02.2022</v>
          </cell>
          <cell r="K1783" t="str">
            <v>-</v>
          </cell>
          <cell r="L1783" t="str">
            <v>OK</v>
          </cell>
        </row>
        <row r="1784">
          <cell r="A1784" t="str">
            <v>AMS-45663I21</v>
          </cell>
          <cell r="B1784" t="str">
            <v>SHA00667543</v>
          </cell>
          <cell r="C1784" t="str">
            <v>Original</v>
          </cell>
          <cell r="D1784" t="str">
            <v>PGL</v>
          </cell>
          <cell r="E1784" t="str">
            <v>Buick</v>
          </cell>
          <cell r="F1784">
            <v>44592</v>
          </cell>
          <cell r="G1784">
            <v>44600</v>
          </cell>
          <cell r="H1784">
            <v>44602</v>
          </cell>
          <cell r="I1784" t="str">
            <v>03.02.2022</v>
          </cell>
          <cell r="J1784" t="str">
            <v>01.02.2022</v>
          </cell>
          <cell r="K1784" t="str">
            <v>-</v>
          </cell>
          <cell r="L1784" t="str">
            <v>OK</v>
          </cell>
        </row>
        <row r="1785">
          <cell r="A1785" t="str">
            <v>AMS-45665I21</v>
          </cell>
          <cell r="B1785" t="str">
            <v>SHA00667546</v>
          </cell>
          <cell r="C1785" t="str">
            <v>Original</v>
          </cell>
          <cell r="D1785" t="str">
            <v>PGL</v>
          </cell>
          <cell r="E1785" t="str">
            <v>Buick</v>
          </cell>
          <cell r="F1785">
            <v>44592</v>
          </cell>
          <cell r="G1785">
            <v>44600</v>
          </cell>
          <cell r="H1785">
            <v>44602</v>
          </cell>
          <cell r="I1785" t="str">
            <v>03.02.2022</v>
          </cell>
          <cell r="J1785" t="str">
            <v>01.02.2022</v>
          </cell>
          <cell r="K1785" t="str">
            <v>-</v>
          </cell>
          <cell r="L1785" t="str">
            <v>OK</v>
          </cell>
        </row>
        <row r="1786">
          <cell r="A1786" t="str">
            <v>AMS-45666I21</v>
          </cell>
          <cell r="B1786" t="str">
            <v>SHA00667544</v>
          </cell>
          <cell r="C1786" t="str">
            <v>Original</v>
          </cell>
          <cell r="D1786" t="str">
            <v>PGL</v>
          </cell>
          <cell r="E1786" t="str">
            <v>Buick</v>
          </cell>
          <cell r="F1786">
            <v>44592</v>
          </cell>
          <cell r="G1786">
            <v>44600</v>
          </cell>
          <cell r="H1786">
            <v>44602</v>
          </cell>
          <cell r="I1786" t="str">
            <v>03.02.2022</v>
          </cell>
          <cell r="J1786" t="str">
            <v>01.02.2022</v>
          </cell>
          <cell r="K1786" t="str">
            <v>-</v>
          </cell>
          <cell r="L1786" t="str">
            <v>OK</v>
          </cell>
        </row>
        <row r="1787">
          <cell r="A1787" t="str">
            <v>AMS-45667I21</v>
          </cell>
          <cell r="B1787" t="str">
            <v>SHA00667536</v>
          </cell>
          <cell r="C1787" t="str">
            <v>Original</v>
          </cell>
          <cell r="D1787" t="str">
            <v>PGL</v>
          </cell>
          <cell r="E1787" t="str">
            <v>Buick</v>
          </cell>
          <cell r="F1787">
            <v>44592</v>
          </cell>
          <cell r="G1787">
            <v>44600</v>
          </cell>
          <cell r="H1787">
            <v>44602</v>
          </cell>
          <cell r="I1787" t="str">
            <v>03.02.2022</v>
          </cell>
          <cell r="J1787" t="str">
            <v>01.02.2022</v>
          </cell>
          <cell r="K1787" t="str">
            <v>-</v>
          </cell>
          <cell r="L1787" t="str">
            <v>OK</v>
          </cell>
        </row>
        <row r="1788">
          <cell r="A1788" t="str">
            <v>AMS-46374I21</v>
          </cell>
          <cell r="B1788" t="str">
            <v>SHA00667537</v>
          </cell>
          <cell r="C1788" t="str">
            <v>Original</v>
          </cell>
          <cell r="D1788" t="str">
            <v>PGL</v>
          </cell>
          <cell r="E1788" t="str">
            <v>Buick</v>
          </cell>
          <cell r="F1788">
            <v>44592</v>
          </cell>
          <cell r="G1788">
            <v>44600</v>
          </cell>
          <cell r="H1788">
            <v>44602</v>
          </cell>
          <cell r="I1788" t="str">
            <v>03.02.2022</v>
          </cell>
          <cell r="J1788" t="str">
            <v>01.02.2022</v>
          </cell>
          <cell r="K1788" t="str">
            <v>-</v>
          </cell>
          <cell r="L1788" t="str">
            <v>OK</v>
          </cell>
        </row>
        <row r="1789">
          <cell r="A1789" t="str">
            <v>AMS-46375I21</v>
          </cell>
          <cell r="B1789" t="str">
            <v>SHA00667535</v>
          </cell>
          <cell r="C1789" t="str">
            <v>Original</v>
          </cell>
          <cell r="D1789" t="str">
            <v>PGL</v>
          </cell>
          <cell r="E1789" t="str">
            <v>Buick</v>
          </cell>
          <cell r="F1789">
            <v>44592</v>
          </cell>
          <cell r="G1789">
            <v>44600</v>
          </cell>
          <cell r="H1789">
            <v>44602</v>
          </cell>
          <cell r="I1789" t="str">
            <v>03.02.2022</v>
          </cell>
          <cell r="J1789" t="str">
            <v>01.02.2022</v>
          </cell>
          <cell r="K1789" t="str">
            <v>-</v>
          </cell>
          <cell r="L1789" t="str">
            <v>OK</v>
          </cell>
        </row>
        <row r="1790">
          <cell r="A1790" t="str">
            <v>AMS-46376I21</v>
          </cell>
          <cell r="B1790" t="str">
            <v>SHA00667542</v>
          </cell>
          <cell r="C1790" t="str">
            <v>Original</v>
          </cell>
          <cell r="D1790" t="str">
            <v>PGL</v>
          </cell>
          <cell r="E1790" t="str">
            <v>Buick</v>
          </cell>
          <cell r="F1790">
            <v>44592</v>
          </cell>
          <cell r="G1790">
            <v>44600</v>
          </cell>
          <cell r="H1790">
            <v>44602</v>
          </cell>
          <cell r="I1790" t="str">
            <v>03.02.2022</v>
          </cell>
          <cell r="J1790" t="str">
            <v>01.02.2022</v>
          </cell>
          <cell r="K1790" t="str">
            <v>-</v>
          </cell>
          <cell r="L1790" t="str">
            <v>OK</v>
          </cell>
        </row>
        <row r="1791">
          <cell r="A1791" t="str">
            <v>AHW-40524I22</v>
          </cell>
          <cell r="B1791">
            <v>4006106</v>
          </cell>
          <cell r="C1791" t="str">
            <v>Original</v>
          </cell>
          <cell r="D1791" t="str">
            <v>CTS</v>
          </cell>
          <cell r="E1791" t="str">
            <v>JP</v>
          </cell>
          <cell r="F1791">
            <v>44599</v>
          </cell>
          <cell r="G1791">
            <v>44607</v>
          </cell>
          <cell r="H1791">
            <v>44609</v>
          </cell>
          <cell r="I1791" t="str">
            <v>09.02.2022</v>
          </cell>
          <cell r="J1791" t="str">
            <v>18.02.2022</v>
          </cell>
          <cell r="K1791" t="str">
            <v>-</v>
          </cell>
          <cell r="L1791" t="str">
            <v>OK</v>
          </cell>
        </row>
        <row r="1792">
          <cell r="A1792" t="str">
            <v>AHW-40526I22</v>
          </cell>
          <cell r="B1792">
            <v>4006121</v>
          </cell>
          <cell r="C1792" t="str">
            <v>Original</v>
          </cell>
          <cell r="D1792" t="str">
            <v>CTS</v>
          </cell>
          <cell r="E1792" t="str">
            <v>JP</v>
          </cell>
          <cell r="F1792">
            <v>44599</v>
          </cell>
          <cell r="G1792">
            <v>44607</v>
          </cell>
          <cell r="H1792">
            <v>44609</v>
          </cell>
          <cell r="I1792" t="str">
            <v>09.02.2022</v>
          </cell>
          <cell r="J1792" t="str">
            <v>18.02.2022</v>
          </cell>
          <cell r="K1792" t="str">
            <v>-</v>
          </cell>
          <cell r="L1792" t="str">
            <v>OK</v>
          </cell>
        </row>
        <row r="1793">
          <cell r="A1793" t="str">
            <v>AHW-40528I22</v>
          </cell>
          <cell r="B1793">
            <v>4006126</v>
          </cell>
          <cell r="C1793" t="str">
            <v>Original</v>
          </cell>
          <cell r="D1793" t="str">
            <v>CTS</v>
          </cell>
          <cell r="E1793" t="str">
            <v>JP</v>
          </cell>
          <cell r="F1793">
            <v>44599</v>
          </cell>
          <cell r="G1793">
            <v>44607</v>
          </cell>
          <cell r="H1793">
            <v>44609</v>
          </cell>
          <cell r="I1793" t="str">
            <v>09.02.2022</v>
          </cell>
          <cell r="J1793" t="str">
            <v>18.02.2022</v>
          </cell>
          <cell r="K1793" t="str">
            <v>-</v>
          </cell>
          <cell r="L1793" t="str">
            <v>OK</v>
          </cell>
        </row>
        <row r="1794">
          <cell r="A1794" t="str">
            <v>AHW-40587I22</v>
          </cell>
          <cell r="B1794">
            <v>4006148</v>
          </cell>
          <cell r="C1794" t="str">
            <v>Original</v>
          </cell>
          <cell r="D1794" t="str">
            <v>CTS</v>
          </cell>
          <cell r="E1794" t="str">
            <v>JP</v>
          </cell>
          <cell r="F1794">
            <v>44599</v>
          </cell>
          <cell r="G1794">
            <v>44607</v>
          </cell>
          <cell r="H1794">
            <v>44609</v>
          </cell>
          <cell r="I1794" t="str">
            <v>09.02.2022</v>
          </cell>
          <cell r="J1794" t="str">
            <v>18.02.2022</v>
          </cell>
          <cell r="K1794" t="str">
            <v>-</v>
          </cell>
          <cell r="L1794" t="str">
            <v>OK</v>
          </cell>
        </row>
        <row r="1795">
          <cell r="A1795" t="str">
            <v>AHW-40559I22</v>
          </cell>
          <cell r="B1795">
            <v>4006142</v>
          </cell>
          <cell r="C1795" t="str">
            <v>Original</v>
          </cell>
          <cell r="D1795" t="str">
            <v>CTS</v>
          </cell>
          <cell r="E1795" t="str">
            <v>JP</v>
          </cell>
          <cell r="F1795">
            <v>44607</v>
          </cell>
          <cell r="G1795">
            <v>44615</v>
          </cell>
          <cell r="H1795">
            <v>44617</v>
          </cell>
          <cell r="I1795" t="str">
            <v>17.02.2022</v>
          </cell>
          <cell r="J1795" t="str">
            <v>21.02.2022</v>
          </cell>
          <cell r="K1795" t="str">
            <v>-</v>
          </cell>
          <cell r="L1795" t="str">
            <v>OK</v>
          </cell>
        </row>
        <row r="1796">
          <cell r="A1796" t="str">
            <v>AHW-40598I22</v>
          </cell>
          <cell r="B1796">
            <v>4006185</v>
          </cell>
          <cell r="C1796" t="str">
            <v>Original</v>
          </cell>
          <cell r="D1796" t="str">
            <v>CTS</v>
          </cell>
          <cell r="E1796" t="str">
            <v>JP</v>
          </cell>
          <cell r="F1796">
            <v>44607</v>
          </cell>
          <cell r="G1796">
            <v>44615</v>
          </cell>
          <cell r="H1796">
            <v>44617</v>
          </cell>
          <cell r="I1796" t="str">
            <v>17.02.2022</v>
          </cell>
          <cell r="J1796" t="str">
            <v>21.02.2022</v>
          </cell>
          <cell r="K1796" t="str">
            <v>-</v>
          </cell>
          <cell r="L1796" t="str">
            <v>OK</v>
          </cell>
        </row>
        <row r="1797">
          <cell r="A1797" t="str">
            <v>SHW-46440I21</v>
          </cell>
          <cell r="B1797" t="str">
            <v>EGLV149116225181</v>
          </cell>
          <cell r="C1797" t="str">
            <v>Original</v>
          </cell>
          <cell r="D1797" t="str">
            <v>Shenker</v>
          </cell>
          <cell r="E1797" t="str">
            <v>Unitrading</v>
          </cell>
          <cell r="F1797">
            <v>44594</v>
          </cell>
          <cell r="G1797">
            <v>44602</v>
          </cell>
          <cell r="H1797">
            <v>44604</v>
          </cell>
          <cell r="I1797" t="str">
            <v>10.02.2022</v>
          </cell>
          <cell r="J1797" t="str">
            <v>03.02.2022</v>
          </cell>
          <cell r="K1797" t="str">
            <v>-</v>
          </cell>
          <cell r="L1797" t="str">
            <v>OK</v>
          </cell>
        </row>
        <row r="1798">
          <cell r="A1798" t="str">
            <v>SHW-46441I21</v>
          </cell>
          <cell r="B1798" t="str">
            <v>EGLV149115812121</v>
          </cell>
          <cell r="C1798" t="str">
            <v>Original</v>
          </cell>
          <cell r="D1798" t="str">
            <v>Shenker</v>
          </cell>
          <cell r="E1798" t="str">
            <v>Unitrading</v>
          </cell>
          <cell r="F1798">
            <v>44594</v>
          </cell>
          <cell r="G1798">
            <v>44602</v>
          </cell>
          <cell r="H1798">
            <v>44604</v>
          </cell>
          <cell r="I1798" t="str">
            <v>10.02.2022</v>
          </cell>
          <cell r="J1798" t="str">
            <v>03.02.2022</v>
          </cell>
          <cell r="K1798" t="str">
            <v>-</v>
          </cell>
          <cell r="L1798" t="str">
            <v>OK</v>
          </cell>
        </row>
        <row r="1799">
          <cell r="A1799" t="str">
            <v>SHW-40048I22</v>
          </cell>
          <cell r="B1799" t="str">
            <v>EGLV149115101861</v>
          </cell>
          <cell r="C1799" t="str">
            <v>Original</v>
          </cell>
          <cell r="D1799" t="str">
            <v>Shenker</v>
          </cell>
          <cell r="E1799" t="str">
            <v>Unitrading</v>
          </cell>
          <cell r="F1799">
            <v>44600</v>
          </cell>
          <cell r="G1799">
            <v>44608</v>
          </cell>
          <cell r="H1799">
            <v>44610</v>
          </cell>
          <cell r="I1799" t="str">
            <v>09.02.2022</v>
          </cell>
          <cell r="J1799" t="str">
            <v>14.02.2022</v>
          </cell>
          <cell r="K1799" t="str">
            <v>-</v>
          </cell>
          <cell r="L1799" t="str">
            <v>OK</v>
          </cell>
        </row>
        <row r="1800">
          <cell r="A1800" t="str">
            <v>SHW-40067I22</v>
          </cell>
          <cell r="B1800" t="str">
            <v>EGLV149116484712</v>
          </cell>
          <cell r="C1800" t="str">
            <v>Original</v>
          </cell>
          <cell r="D1800" t="str">
            <v>Shenker</v>
          </cell>
          <cell r="E1800" t="str">
            <v>Unitrading</v>
          </cell>
          <cell r="F1800">
            <v>44600</v>
          </cell>
          <cell r="G1800">
            <v>44608</v>
          </cell>
          <cell r="H1800">
            <v>44610</v>
          </cell>
          <cell r="I1800" t="str">
            <v>09.02.2022</v>
          </cell>
          <cell r="J1800" t="str">
            <v>14.02.2022</v>
          </cell>
          <cell r="K1800" t="str">
            <v>-</v>
          </cell>
          <cell r="L1800" t="str">
            <v>OK</v>
          </cell>
        </row>
        <row r="1801">
          <cell r="A1801" t="str">
            <v>SHW-40069I22</v>
          </cell>
          <cell r="B1801" t="str">
            <v>EGLV149116670206</v>
          </cell>
          <cell r="C1801" t="str">
            <v>Original</v>
          </cell>
          <cell r="D1801" t="str">
            <v>Shenker</v>
          </cell>
          <cell r="E1801" t="str">
            <v>Unitrading</v>
          </cell>
          <cell r="F1801">
            <v>44600</v>
          </cell>
          <cell r="G1801">
            <v>44608</v>
          </cell>
          <cell r="H1801">
            <v>44610</v>
          </cell>
          <cell r="I1801" t="str">
            <v>09.02.2022</v>
          </cell>
          <cell r="J1801" t="str">
            <v>14.02.2022</v>
          </cell>
          <cell r="K1801" t="str">
            <v>-</v>
          </cell>
          <cell r="L1801" t="str">
            <v>OK</v>
          </cell>
        </row>
        <row r="1802">
          <cell r="A1802" t="str">
            <v>SHW-40068I22</v>
          </cell>
          <cell r="B1802" t="str">
            <v>EGLV149116443862</v>
          </cell>
          <cell r="C1802" t="str">
            <v>Original</v>
          </cell>
          <cell r="D1802" t="str">
            <v>Shenker</v>
          </cell>
          <cell r="E1802" t="str">
            <v>Unitrading</v>
          </cell>
          <cell r="F1802">
            <v>44601</v>
          </cell>
          <cell r="G1802">
            <v>44609</v>
          </cell>
          <cell r="H1802">
            <v>44611</v>
          </cell>
          <cell r="I1802" t="str">
            <v>09.02.2022</v>
          </cell>
          <cell r="J1802" t="str">
            <v>14.02.2022</v>
          </cell>
          <cell r="K1802" t="str">
            <v>-</v>
          </cell>
          <cell r="L1802" t="str">
            <v>OK</v>
          </cell>
        </row>
        <row r="1803">
          <cell r="A1803" t="str">
            <v>SHW-40070I22</v>
          </cell>
          <cell r="B1803" t="str">
            <v>EGLV149116570180</v>
          </cell>
          <cell r="C1803" t="str">
            <v>Original</v>
          </cell>
          <cell r="D1803" t="str">
            <v>Shenker</v>
          </cell>
          <cell r="E1803" t="str">
            <v>Unitrading</v>
          </cell>
          <cell r="F1803">
            <v>44601</v>
          </cell>
          <cell r="G1803">
            <v>44609</v>
          </cell>
          <cell r="H1803">
            <v>44611</v>
          </cell>
          <cell r="I1803" t="str">
            <v>09.02.2022</v>
          </cell>
          <cell r="J1803" t="str">
            <v>14.02.2022</v>
          </cell>
          <cell r="K1803" t="str">
            <v>-</v>
          </cell>
          <cell r="L1803" t="str">
            <v>OK</v>
          </cell>
        </row>
        <row r="1804">
          <cell r="A1804" t="str">
            <v>SHW-40215I22</v>
          </cell>
          <cell r="B1804" t="str">
            <v>EGLV149116418604</v>
          </cell>
          <cell r="C1804" t="str">
            <v>Original</v>
          </cell>
          <cell r="D1804" t="str">
            <v>Shenker</v>
          </cell>
          <cell r="E1804" t="str">
            <v>Unitrading</v>
          </cell>
          <cell r="F1804">
            <v>44601</v>
          </cell>
          <cell r="G1804">
            <v>44609</v>
          </cell>
          <cell r="H1804">
            <v>44611</v>
          </cell>
          <cell r="I1804" t="str">
            <v>09.02.2022</v>
          </cell>
          <cell r="J1804" t="str">
            <v>14.02.2022</v>
          </cell>
          <cell r="K1804" t="str">
            <v>-</v>
          </cell>
          <cell r="L1804" t="str">
            <v>OK</v>
          </cell>
        </row>
        <row r="1805">
          <cell r="A1805" t="str">
            <v>SHW-40072I22</v>
          </cell>
          <cell r="B1805" t="str">
            <v>EGLV149200211722</v>
          </cell>
          <cell r="C1805" t="str">
            <v>Original</v>
          </cell>
          <cell r="D1805" t="str">
            <v>Shenker</v>
          </cell>
          <cell r="E1805" t="str">
            <v>Unitrading</v>
          </cell>
          <cell r="F1805">
            <v>44603</v>
          </cell>
          <cell r="G1805">
            <v>44611</v>
          </cell>
          <cell r="H1805">
            <v>44613</v>
          </cell>
          <cell r="I1805" t="str">
            <v>17.02.2022</v>
          </cell>
          <cell r="J1805" t="str">
            <v>14.02.2022</v>
          </cell>
          <cell r="K1805" t="str">
            <v>-</v>
          </cell>
          <cell r="L1805" t="str">
            <v>OK</v>
          </cell>
        </row>
        <row r="1806">
          <cell r="A1806" t="str">
            <v>AMS-40707I22</v>
          </cell>
          <cell r="B1806" t="str">
            <v>1Z6469V00475754898</v>
          </cell>
          <cell r="C1806" t="str">
            <v>Brasiliense</v>
          </cell>
          <cell r="D1806" t="str">
            <v>UPS</v>
          </cell>
          <cell r="E1806" t="str">
            <v>Future</v>
          </cell>
          <cell r="F1806">
            <v>44600</v>
          </cell>
          <cell r="G1806">
            <v>44608</v>
          </cell>
          <cell r="H1806">
            <v>44610</v>
          </cell>
          <cell r="I1806" t="str">
            <v>14.02.2022</v>
          </cell>
          <cell r="J1806" t="str">
            <v>18.02.2022</v>
          </cell>
          <cell r="K1806" t="str">
            <v>14.02.2022</v>
          </cell>
          <cell r="L1806" t="str">
            <v>OK</v>
          </cell>
        </row>
        <row r="1807">
          <cell r="A1807" t="str">
            <v>AMS-40710I22</v>
          </cell>
          <cell r="B1807" t="str">
            <v>1Z6469V00475270375</v>
          </cell>
          <cell r="C1807" t="str">
            <v>Brasiliense</v>
          </cell>
          <cell r="D1807" t="str">
            <v>UPS</v>
          </cell>
          <cell r="E1807" t="str">
            <v>Future</v>
          </cell>
          <cell r="F1807">
            <v>44600</v>
          </cell>
          <cell r="G1807">
            <v>44608</v>
          </cell>
          <cell r="H1807">
            <v>44610</v>
          </cell>
          <cell r="I1807" t="str">
            <v>14.02.2022</v>
          </cell>
          <cell r="J1807" t="str">
            <v>18.02.2022</v>
          </cell>
          <cell r="K1807" t="str">
            <v>14.02.2022</v>
          </cell>
          <cell r="L1807" t="str">
            <v>OK</v>
          </cell>
        </row>
        <row r="1808">
          <cell r="A1808" t="str">
            <v>AMS-40711I22</v>
          </cell>
          <cell r="B1808" t="str">
            <v>1Z6469V00474409389</v>
          </cell>
          <cell r="C1808" t="str">
            <v>Brasiliense</v>
          </cell>
          <cell r="D1808" t="str">
            <v>UPS</v>
          </cell>
          <cell r="E1808" t="str">
            <v>Future</v>
          </cell>
          <cell r="F1808">
            <v>44600</v>
          </cell>
          <cell r="G1808">
            <v>44608</v>
          </cell>
          <cell r="H1808">
            <v>44610</v>
          </cell>
          <cell r="I1808" t="str">
            <v>14.02.2022</v>
          </cell>
          <cell r="J1808" t="str">
            <v>18.02.2022</v>
          </cell>
          <cell r="K1808" t="str">
            <v>14.02.2022</v>
          </cell>
          <cell r="L1808" t="str">
            <v>OK</v>
          </cell>
        </row>
        <row r="1809">
          <cell r="A1809" t="str">
            <v>AMS-40712I22</v>
          </cell>
          <cell r="B1809" t="str">
            <v>1Z6469V00473711106</v>
          </cell>
          <cell r="C1809" t="str">
            <v>Brasiliense</v>
          </cell>
          <cell r="D1809" t="str">
            <v>UPS</v>
          </cell>
          <cell r="E1809" t="str">
            <v>Future</v>
          </cell>
          <cell r="F1809">
            <v>44601</v>
          </cell>
          <cell r="G1809">
            <v>44609</v>
          </cell>
          <cell r="H1809">
            <v>44611</v>
          </cell>
          <cell r="I1809" t="str">
            <v>14.02.2022</v>
          </cell>
          <cell r="J1809" t="str">
            <v>18.02.2022</v>
          </cell>
          <cell r="K1809" t="str">
            <v>14.02.2022</v>
          </cell>
          <cell r="L1809" t="str">
            <v>OK</v>
          </cell>
        </row>
        <row r="1810">
          <cell r="A1810" t="str">
            <v>AMS-40604I22</v>
          </cell>
          <cell r="B1810" t="str">
            <v>1Z6469V00473687269</v>
          </cell>
          <cell r="C1810" t="str">
            <v>Brasiliense</v>
          </cell>
          <cell r="D1810" t="str">
            <v>UPS</v>
          </cell>
          <cell r="E1810" t="str">
            <v>Future</v>
          </cell>
          <cell r="F1810">
            <v>44602</v>
          </cell>
          <cell r="G1810">
            <v>44610</v>
          </cell>
          <cell r="H1810">
            <v>44612</v>
          </cell>
          <cell r="I1810" t="str">
            <v>14.02.2022</v>
          </cell>
          <cell r="J1810" t="str">
            <v>18.02.2022</v>
          </cell>
          <cell r="K1810" t="str">
            <v>14.02.2022</v>
          </cell>
          <cell r="L1810" t="str">
            <v>OK</v>
          </cell>
        </row>
        <row r="1811">
          <cell r="A1811" t="str">
            <v>AMS-40217I22</v>
          </cell>
          <cell r="B1811">
            <v>2200121</v>
          </cell>
          <cell r="C1811" t="str">
            <v>Brasiliense</v>
          </cell>
          <cell r="D1811" t="str">
            <v>Asia Shipping</v>
          </cell>
          <cell r="E1811" t="str">
            <v>Future</v>
          </cell>
          <cell r="F1811">
            <v>44606</v>
          </cell>
          <cell r="G1811">
            <v>44614</v>
          </cell>
          <cell r="H1811">
            <v>44616</v>
          </cell>
          <cell r="I1811" t="str">
            <v>21.02.2022</v>
          </cell>
          <cell r="J1811" t="str">
            <v>21.02.2022</v>
          </cell>
          <cell r="K1811" t="str">
            <v>02.03.2022</v>
          </cell>
          <cell r="L1811" t="str">
            <v>OK</v>
          </cell>
        </row>
        <row r="1812">
          <cell r="A1812" t="str">
            <v>AMS-40708I22</v>
          </cell>
          <cell r="B1812" t="str">
            <v>1Z6469V00475821369</v>
          </cell>
          <cell r="C1812" t="str">
            <v>Brasiliense</v>
          </cell>
          <cell r="D1812" t="str">
            <v>UPS</v>
          </cell>
          <cell r="E1812" t="str">
            <v>Future</v>
          </cell>
          <cell r="F1812">
            <v>44608</v>
          </cell>
          <cell r="G1812">
            <v>44616</v>
          </cell>
          <cell r="H1812">
            <v>44618</v>
          </cell>
          <cell r="I1812" t="str">
            <v>21.02.2022</v>
          </cell>
          <cell r="J1812" t="str">
            <v>22.02.2022</v>
          </cell>
          <cell r="K1812" t="str">
            <v>02.03.2022</v>
          </cell>
          <cell r="L1812" t="str">
            <v>OK</v>
          </cell>
        </row>
        <row r="1813">
          <cell r="A1813" t="str">
            <v>AMS-40709I22</v>
          </cell>
          <cell r="B1813" t="str">
            <v>1Z6469V00474657389</v>
          </cell>
          <cell r="C1813" t="str">
            <v>Brasiliense</v>
          </cell>
          <cell r="D1813" t="str">
            <v>UPS</v>
          </cell>
          <cell r="E1813" t="str">
            <v>Future</v>
          </cell>
          <cell r="F1813">
            <v>44608</v>
          </cell>
          <cell r="G1813">
            <v>44616</v>
          </cell>
          <cell r="H1813">
            <v>44618</v>
          </cell>
          <cell r="I1813" t="str">
            <v>21.02.2022</v>
          </cell>
          <cell r="J1813" t="str">
            <v>22.02.2022</v>
          </cell>
          <cell r="K1813" t="str">
            <v>02.03.2022</v>
          </cell>
          <cell r="L1813" t="str">
            <v>OK</v>
          </cell>
        </row>
        <row r="1814">
          <cell r="A1814" t="str">
            <v>AMS-40741I22</v>
          </cell>
          <cell r="B1814" t="str">
            <v>1Z6469V00473021772</v>
          </cell>
          <cell r="C1814" t="str">
            <v>Brasiliense</v>
          </cell>
          <cell r="D1814" t="str">
            <v>UPS</v>
          </cell>
          <cell r="E1814" t="str">
            <v>Future</v>
          </cell>
          <cell r="F1814">
            <v>44608</v>
          </cell>
          <cell r="G1814">
            <v>44616</v>
          </cell>
          <cell r="H1814">
            <v>44618</v>
          </cell>
          <cell r="I1814" t="str">
            <v>21.02.2022</v>
          </cell>
          <cell r="J1814" t="str">
            <v>22.02.2022</v>
          </cell>
          <cell r="K1814" t="str">
            <v>02.03.2022</v>
          </cell>
          <cell r="L1814" t="str">
            <v>OK</v>
          </cell>
        </row>
        <row r="1815">
          <cell r="A1815" t="str">
            <v>AMS-40742I22</v>
          </cell>
          <cell r="B1815" t="str">
            <v>1Z6469V00475604782</v>
          </cell>
          <cell r="C1815" t="str">
            <v>Brasiliense</v>
          </cell>
          <cell r="D1815" t="str">
            <v>UPS</v>
          </cell>
          <cell r="E1815" t="str">
            <v>Future</v>
          </cell>
          <cell r="F1815">
            <v>44608</v>
          </cell>
          <cell r="G1815">
            <v>44616</v>
          </cell>
          <cell r="H1815">
            <v>44618</v>
          </cell>
          <cell r="I1815" t="str">
            <v>21.02.2022</v>
          </cell>
          <cell r="J1815" t="str">
            <v>22.02.2022</v>
          </cell>
          <cell r="K1815" t="str">
            <v>02.03.2022</v>
          </cell>
          <cell r="L1815" t="str">
            <v>OK</v>
          </cell>
        </row>
        <row r="1816">
          <cell r="A1816" t="str">
            <v>AMS-40743I22</v>
          </cell>
          <cell r="B1816" t="str">
            <v>1Z6469V00473221298</v>
          </cell>
          <cell r="C1816" t="str">
            <v>Brasiliense</v>
          </cell>
          <cell r="D1816" t="str">
            <v>UPS</v>
          </cell>
          <cell r="E1816" t="str">
            <v>Future</v>
          </cell>
          <cell r="F1816">
            <v>44608</v>
          </cell>
          <cell r="G1816">
            <v>44616</v>
          </cell>
          <cell r="H1816">
            <v>44618</v>
          </cell>
          <cell r="I1816" t="str">
            <v>21.02.2022</v>
          </cell>
          <cell r="J1816" t="str">
            <v>22.02.2022</v>
          </cell>
          <cell r="K1816" t="str">
            <v>02.03.2022</v>
          </cell>
          <cell r="L1816" t="str">
            <v>OK</v>
          </cell>
        </row>
        <row r="1817">
          <cell r="A1817" t="str">
            <v>AMS-40744I22</v>
          </cell>
          <cell r="B1817" t="str">
            <v>1Z6469V00474302485</v>
          </cell>
          <cell r="C1817" t="str">
            <v>Brasiliense</v>
          </cell>
          <cell r="D1817" t="str">
            <v>UPS</v>
          </cell>
          <cell r="E1817" t="str">
            <v>Future</v>
          </cell>
          <cell r="F1817">
            <v>44609</v>
          </cell>
          <cell r="G1817">
            <v>44617</v>
          </cell>
          <cell r="H1817">
            <v>44619</v>
          </cell>
          <cell r="I1817" t="str">
            <v>21.02.2022</v>
          </cell>
          <cell r="J1817" t="str">
            <v>22.02.2022</v>
          </cell>
          <cell r="K1817" t="str">
            <v>02.03.2022</v>
          </cell>
          <cell r="L1817" t="str">
            <v>OK</v>
          </cell>
        </row>
        <row r="1818">
          <cell r="A1818" t="str">
            <v>AMS-40745I22</v>
          </cell>
          <cell r="B1818" t="str">
            <v>1Z6469V00474497472</v>
          </cell>
          <cell r="C1818" t="str">
            <v>Brasiliense</v>
          </cell>
          <cell r="D1818" t="str">
            <v>UPS</v>
          </cell>
          <cell r="E1818" t="str">
            <v>Future</v>
          </cell>
          <cell r="F1818">
            <v>44609</v>
          </cell>
          <cell r="G1818">
            <v>44617</v>
          </cell>
          <cell r="H1818">
            <v>44619</v>
          </cell>
          <cell r="I1818" t="str">
            <v>21.02.2022</v>
          </cell>
          <cell r="J1818" t="str">
            <v>22.02.2022</v>
          </cell>
          <cell r="K1818" t="str">
            <v>02.03.2022</v>
          </cell>
          <cell r="L1818" t="str">
            <v>OK</v>
          </cell>
        </row>
        <row r="1819">
          <cell r="A1819" t="str">
            <v>AMS-40746I22</v>
          </cell>
          <cell r="B1819" t="str">
            <v>1Z6469V00474840993</v>
          </cell>
          <cell r="C1819" t="str">
            <v>Brasiliense</v>
          </cell>
          <cell r="D1819" t="str">
            <v>UPS</v>
          </cell>
          <cell r="E1819" t="str">
            <v>Future</v>
          </cell>
          <cell r="F1819">
            <v>44608</v>
          </cell>
          <cell r="G1819">
            <v>44616</v>
          </cell>
          <cell r="H1819">
            <v>44618</v>
          </cell>
          <cell r="I1819" t="str">
            <v>21.02.2022</v>
          </cell>
          <cell r="J1819" t="str">
            <v>22.02.2022</v>
          </cell>
          <cell r="K1819" t="str">
            <v>02.03.2022</v>
          </cell>
          <cell r="L1819" t="str">
            <v>OK</v>
          </cell>
        </row>
        <row r="1820">
          <cell r="A1820" t="str">
            <v>AMS-40747I22</v>
          </cell>
          <cell r="B1820" t="str">
            <v>1Z6469V00473481230</v>
          </cell>
          <cell r="C1820" t="str">
            <v>Brasiliense</v>
          </cell>
          <cell r="D1820" t="str">
            <v>UPS</v>
          </cell>
          <cell r="E1820" t="str">
            <v>Future</v>
          </cell>
          <cell r="F1820">
            <v>44608</v>
          </cell>
          <cell r="G1820">
            <v>44616</v>
          </cell>
          <cell r="H1820">
            <v>44618</v>
          </cell>
          <cell r="I1820" t="str">
            <v>21.02.2022</v>
          </cell>
          <cell r="J1820" t="str">
            <v>22.02.2022</v>
          </cell>
          <cell r="K1820" t="str">
            <v>02.03.2022</v>
          </cell>
          <cell r="L1820" t="str">
            <v>OK</v>
          </cell>
        </row>
        <row r="1821">
          <cell r="A1821" t="str">
            <v>AMS-40725I22</v>
          </cell>
          <cell r="B1821" t="str">
            <v>41L0078928</v>
          </cell>
          <cell r="C1821" t="str">
            <v>Original</v>
          </cell>
          <cell r="D1821" t="str">
            <v>Expeditors</v>
          </cell>
          <cell r="E1821" t="str">
            <v>Expeditors</v>
          </cell>
          <cell r="F1821">
            <v>44613</v>
          </cell>
          <cell r="G1821">
            <v>44621</v>
          </cell>
          <cell r="H1821">
            <v>44623</v>
          </cell>
          <cell r="I1821" t="str">
            <v>10.03.2022</v>
          </cell>
          <cell r="J1821" t="str">
            <v>22.02.2022</v>
          </cell>
          <cell r="K1821" t="str">
            <v>-</v>
          </cell>
          <cell r="L1821" t="str">
            <v>OK</v>
          </cell>
        </row>
        <row r="1822">
          <cell r="A1822" t="str">
            <v>AMS-40726I22</v>
          </cell>
          <cell r="B1822" t="str">
            <v>41L0078927</v>
          </cell>
          <cell r="C1822" t="str">
            <v>Original</v>
          </cell>
          <cell r="D1822" t="str">
            <v>Expeditors</v>
          </cell>
          <cell r="E1822" t="str">
            <v>Expeditors</v>
          </cell>
          <cell r="F1822">
            <v>44613</v>
          </cell>
          <cell r="G1822">
            <v>44621</v>
          </cell>
          <cell r="H1822">
            <v>44623</v>
          </cell>
          <cell r="I1822" t="str">
            <v>10.03.2022</v>
          </cell>
          <cell r="J1822" t="str">
            <v>22.02.2022</v>
          </cell>
          <cell r="K1822" t="str">
            <v>-</v>
          </cell>
          <cell r="L1822" t="str">
            <v>OK</v>
          </cell>
        </row>
        <row r="1823">
          <cell r="A1823" t="str">
            <v>AMS-40727I22</v>
          </cell>
          <cell r="B1823" t="str">
            <v>41L0078926</v>
          </cell>
          <cell r="C1823" t="str">
            <v>Original</v>
          </cell>
          <cell r="D1823" t="str">
            <v>Expeditors</v>
          </cell>
          <cell r="E1823" t="str">
            <v>Expeditors</v>
          </cell>
          <cell r="F1823">
            <v>44613</v>
          </cell>
          <cell r="G1823">
            <v>44621</v>
          </cell>
          <cell r="H1823">
            <v>44623</v>
          </cell>
          <cell r="I1823" t="str">
            <v>10.03.2022</v>
          </cell>
          <cell r="J1823" t="str">
            <v>22.02.2022</v>
          </cell>
          <cell r="K1823" t="str">
            <v>-</v>
          </cell>
          <cell r="L1823" t="str">
            <v>OK</v>
          </cell>
        </row>
        <row r="1824">
          <cell r="A1824" t="str">
            <v>AMS-40728I22</v>
          </cell>
          <cell r="B1824" t="str">
            <v>41L0078925</v>
          </cell>
          <cell r="C1824" t="str">
            <v>Original</v>
          </cell>
          <cell r="D1824" t="str">
            <v>Expeditors</v>
          </cell>
          <cell r="E1824" t="str">
            <v>Expeditors</v>
          </cell>
          <cell r="F1824">
            <v>44613</v>
          </cell>
          <cell r="G1824">
            <v>44621</v>
          </cell>
          <cell r="H1824">
            <v>44623</v>
          </cell>
          <cell r="I1824" t="str">
            <v>10.03.2022</v>
          </cell>
          <cell r="J1824" t="str">
            <v>22.02.2022</v>
          </cell>
          <cell r="K1824" t="str">
            <v>-</v>
          </cell>
          <cell r="L1824" t="str">
            <v>OK</v>
          </cell>
        </row>
        <row r="1825">
          <cell r="A1825" t="str">
            <v>SHW-40071I22</v>
          </cell>
          <cell r="B1825" t="str">
            <v>EGLV149115398774</v>
          </cell>
          <cell r="C1825" t="str">
            <v>Original</v>
          </cell>
          <cell r="D1825" t="str">
            <v>Shenker</v>
          </cell>
          <cell r="E1825" t="str">
            <v>Unitrading</v>
          </cell>
          <cell r="F1825">
            <v>44606</v>
          </cell>
          <cell r="G1825">
            <v>44614</v>
          </cell>
          <cell r="H1825">
            <v>44616</v>
          </cell>
          <cell r="I1825" t="str">
            <v>17.02.2022</v>
          </cell>
          <cell r="J1825" t="str">
            <v>02.03.2022</v>
          </cell>
          <cell r="K1825" t="str">
            <v>-</v>
          </cell>
          <cell r="L1825" t="str">
            <v>OK</v>
          </cell>
        </row>
        <row r="1826">
          <cell r="A1826" t="str">
            <v>SHW-40216I22</v>
          </cell>
          <cell r="B1826" t="str">
            <v>EGLV149116478593</v>
          </cell>
          <cell r="C1826" t="str">
            <v>Original</v>
          </cell>
          <cell r="D1826" t="str">
            <v>Shenker</v>
          </cell>
          <cell r="E1826" t="str">
            <v>Unitrading</v>
          </cell>
          <cell r="F1826">
            <v>44607</v>
          </cell>
          <cell r="G1826">
            <v>44615</v>
          </cell>
          <cell r="H1826">
            <v>44617</v>
          </cell>
          <cell r="I1826" t="str">
            <v>17.02.2022</v>
          </cell>
          <cell r="J1826" t="str">
            <v>16.02.2022</v>
          </cell>
          <cell r="K1826" t="str">
            <v>-</v>
          </cell>
          <cell r="L1826" t="str">
            <v>OK</v>
          </cell>
        </row>
        <row r="1827">
          <cell r="A1827" t="str">
            <v>SHW-40235I22</v>
          </cell>
          <cell r="B1827" t="str">
            <v>EGLV149200266870</v>
          </cell>
          <cell r="C1827" t="str">
            <v>Original</v>
          </cell>
          <cell r="D1827" t="str">
            <v>Shenker</v>
          </cell>
          <cell r="E1827" t="str">
            <v>Unitrading</v>
          </cell>
          <cell r="F1827">
            <v>44606</v>
          </cell>
          <cell r="G1827">
            <v>44614</v>
          </cell>
          <cell r="H1827">
            <v>44616</v>
          </cell>
          <cell r="I1827" t="str">
            <v>17.02.2022</v>
          </cell>
          <cell r="J1827" t="str">
            <v>02.03.2022</v>
          </cell>
          <cell r="K1827" t="str">
            <v>-</v>
          </cell>
          <cell r="L1827" t="str">
            <v>OK</v>
          </cell>
        </row>
        <row r="1828">
          <cell r="A1828" t="str">
            <v>AHW-40440I22</v>
          </cell>
          <cell r="B1828">
            <v>4006049</v>
          </cell>
          <cell r="C1828" t="str">
            <v>Original</v>
          </cell>
          <cell r="D1828" t="str">
            <v>CTS</v>
          </cell>
          <cell r="E1828" t="str">
            <v>JP</v>
          </cell>
          <cell r="F1828">
            <v>44609</v>
          </cell>
          <cell r="G1828">
            <v>44617</v>
          </cell>
          <cell r="H1828">
            <v>44619</v>
          </cell>
          <cell r="I1828" t="str">
            <v>10.03.2022</v>
          </cell>
          <cell r="J1828" t="str">
            <v>22.02.2022</v>
          </cell>
          <cell r="K1828" t="str">
            <v>-</v>
          </cell>
          <cell r="L1828" t="str">
            <v>OK</v>
          </cell>
        </row>
        <row r="1829">
          <cell r="A1829" t="str">
            <v>AHW-40588I22</v>
          </cell>
          <cell r="B1829">
            <v>4006151</v>
          </cell>
          <cell r="C1829" t="str">
            <v>Original</v>
          </cell>
          <cell r="D1829" t="str">
            <v>CTS</v>
          </cell>
          <cell r="E1829" t="str">
            <v>JP</v>
          </cell>
          <cell r="F1829">
            <v>44614</v>
          </cell>
          <cell r="G1829">
            <v>44622</v>
          </cell>
          <cell r="H1829">
            <v>44624</v>
          </cell>
          <cell r="I1829" t="str">
            <v>10.03.2022</v>
          </cell>
          <cell r="J1829" t="str">
            <v>07.03.2022</v>
          </cell>
          <cell r="K1829" t="str">
            <v>-</v>
          </cell>
          <cell r="L1829" t="str">
            <v>OK</v>
          </cell>
        </row>
        <row r="1830">
          <cell r="A1830" t="str">
            <v>AHW-40589I22</v>
          </cell>
          <cell r="B1830">
            <v>4006150</v>
          </cell>
          <cell r="C1830" t="str">
            <v>Original</v>
          </cell>
          <cell r="D1830" t="str">
            <v>CTS</v>
          </cell>
          <cell r="E1830" t="str">
            <v>JP</v>
          </cell>
          <cell r="F1830">
            <v>44615</v>
          </cell>
          <cell r="G1830">
            <v>44623</v>
          </cell>
          <cell r="H1830">
            <v>44625</v>
          </cell>
          <cell r="I1830" t="str">
            <v>10.03.2022</v>
          </cell>
          <cell r="J1830" t="str">
            <v>07.03.2022</v>
          </cell>
          <cell r="K1830" t="str">
            <v>-</v>
          </cell>
          <cell r="L1830" t="str">
            <v>OK</v>
          </cell>
        </row>
        <row r="1831">
          <cell r="A1831" t="str">
            <v>AMRO-40780I22</v>
          </cell>
          <cell r="B1831" t="str">
            <v>776068581854</v>
          </cell>
          <cell r="C1831" t="str">
            <v>Original</v>
          </cell>
          <cell r="D1831" t="str">
            <v>Fedex</v>
          </cell>
          <cell r="E1831" t="str">
            <v>Future</v>
          </cell>
          <cell r="F1831">
            <v>44617</v>
          </cell>
          <cell r="G1831">
            <v>44625</v>
          </cell>
          <cell r="H1831">
            <v>44627</v>
          </cell>
          <cell r="I1831" t="str">
            <v>10.03.2022</v>
          </cell>
          <cell r="J1831" t="str">
            <v>09.03.2022</v>
          </cell>
          <cell r="K1831" t="str">
            <v>02.03.2022</v>
          </cell>
          <cell r="L1831" t="str">
            <v>OK</v>
          </cell>
        </row>
        <row r="1832">
          <cell r="A1832" t="str">
            <v>SHW-40358I22</v>
          </cell>
          <cell r="B1832" t="str">
            <v>EGLV149115633048</v>
          </cell>
          <cell r="C1832" t="str">
            <v>Original</v>
          </cell>
          <cell r="D1832" t="str">
            <v>Shenker</v>
          </cell>
          <cell r="E1832" t="str">
            <v>Unitrading</v>
          </cell>
          <cell r="F1832">
            <v>44623</v>
          </cell>
          <cell r="G1832">
            <v>44631</v>
          </cell>
          <cell r="H1832">
            <v>44633</v>
          </cell>
          <cell r="I1832" t="str">
            <v>10.03.2022</v>
          </cell>
          <cell r="J1832" t="str">
            <v>09.03.2022</v>
          </cell>
          <cell r="K1832" t="str">
            <v>-</v>
          </cell>
          <cell r="L1832" t="str">
            <v>OK</v>
          </cell>
        </row>
        <row r="1833">
          <cell r="A1833" t="str">
            <v>SHW-40510I22</v>
          </cell>
          <cell r="B1833" t="str">
            <v>EGLV149200601806</v>
          </cell>
          <cell r="C1833" t="str">
            <v>Original</v>
          </cell>
          <cell r="D1833" t="str">
            <v>Shenker</v>
          </cell>
          <cell r="E1833" t="str">
            <v>Unitrading</v>
          </cell>
          <cell r="F1833">
            <v>44623</v>
          </cell>
          <cell r="G1833">
            <v>44631</v>
          </cell>
          <cell r="H1833">
            <v>44633</v>
          </cell>
          <cell r="I1833" t="str">
            <v>10.03.2022</v>
          </cell>
          <cell r="J1833" t="str">
            <v>09.03.2022</v>
          </cell>
          <cell r="K1833" t="str">
            <v>-</v>
          </cell>
          <cell r="L1833" t="str">
            <v>OK</v>
          </cell>
        </row>
        <row r="1834">
          <cell r="A1834" t="str">
            <v>SHW-40516I22</v>
          </cell>
          <cell r="B1834" t="str">
            <v>EGLV149200610554</v>
          </cell>
          <cell r="C1834" t="str">
            <v>Original</v>
          </cell>
          <cell r="D1834" t="str">
            <v>Shenker</v>
          </cell>
          <cell r="E1834" t="str">
            <v>Unitrading</v>
          </cell>
          <cell r="F1834">
            <v>44623</v>
          </cell>
          <cell r="G1834">
            <v>44631</v>
          </cell>
          <cell r="H1834">
            <v>44633</v>
          </cell>
          <cell r="I1834" t="str">
            <v>10.03.2022</v>
          </cell>
          <cell r="J1834" t="str">
            <v>09.03.2022</v>
          </cell>
          <cell r="K1834" t="str">
            <v>-</v>
          </cell>
          <cell r="L1834" t="str">
            <v>OK</v>
          </cell>
        </row>
        <row r="1835">
          <cell r="A1835" t="str">
            <v>SHW-40518I22</v>
          </cell>
          <cell r="B1835" t="str">
            <v>EGLV149200630725</v>
          </cell>
          <cell r="C1835" t="str">
            <v>Original</v>
          </cell>
          <cell r="D1835" t="str">
            <v>Shenker</v>
          </cell>
          <cell r="E1835" t="str">
            <v>Unitrading</v>
          </cell>
          <cell r="F1835">
            <v>44623</v>
          </cell>
          <cell r="G1835">
            <v>44631</v>
          </cell>
          <cell r="H1835">
            <v>44633</v>
          </cell>
          <cell r="I1835" t="str">
            <v>10.03.2022</v>
          </cell>
          <cell r="J1835" t="str">
            <v>09.03.2022</v>
          </cell>
          <cell r="K1835" t="str">
            <v>-</v>
          </cell>
          <cell r="L1835" t="str">
            <v>OK</v>
          </cell>
        </row>
        <row r="1836">
          <cell r="A1836" t="str">
            <v>SHW-40519I22</v>
          </cell>
          <cell r="B1836" t="str">
            <v>EGLV149200610678</v>
          </cell>
          <cell r="C1836" t="str">
            <v>Original</v>
          </cell>
          <cell r="D1836" t="str">
            <v>Shenker</v>
          </cell>
          <cell r="E1836" t="str">
            <v>Unitrading</v>
          </cell>
          <cell r="F1836">
            <v>44622</v>
          </cell>
          <cell r="G1836">
            <v>44630</v>
          </cell>
          <cell r="H1836">
            <v>44632</v>
          </cell>
          <cell r="I1836" t="str">
            <v>10.03.2022</v>
          </cell>
          <cell r="J1836" t="str">
            <v>09.03.2022</v>
          </cell>
          <cell r="K1836" t="str">
            <v>-</v>
          </cell>
          <cell r="L1836" t="str">
            <v>OK</v>
          </cell>
        </row>
        <row r="1837">
          <cell r="A1837" t="str">
            <v>SHW-40520I22</v>
          </cell>
          <cell r="B1837" t="str">
            <v>EGLV149200609793</v>
          </cell>
          <cell r="C1837" t="str">
            <v>Original</v>
          </cell>
          <cell r="D1837" t="str">
            <v>Shenker</v>
          </cell>
          <cell r="E1837" t="str">
            <v>Unitrading</v>
          </cell>
          <cell r="F1837">
            <v>44622</v>
          </cell>
          <cell r="G1837">
            <v>44630</v>
          </cell>
          <cell r="H1837">
            <v>44632</v>
          </cell>
          <cell r="I1837" t="str">
            <v>10.03.2022</v>
          </cell>
          <cell r="J1837" t="str">
            <v>09.03.2022</v>
          </cell>
          <cell r="K1837" t="str">
            <v>-</v>
          </cell>
          <cell r="L1837" t="str">
            <v>OK</v>
          </cell>
        </row>
        <row r="1838">
          <cell r="A1838" t="str">
            <v>SHW-40521I22</v>
          </cell>
          <cell r="B1838" t="str">
            <v>EGLV149200631012</v>
          </cell>
          <cell r="C1838" t="str">
            <v>Original</v>
          </cell>
          <cell r="D1838" t="str">
            <v>Shenker</v>
          </cell>
          <cell r="E1838" t="str">
            <v>Unitrading</v>
          </cell>
          <cell r="F1838">
            <v>44623</v>
          </cell>
          <cell r="G1838">
            <v>44631</v>
          </cell>
          <cell r="H1838">
            <v>44633</v>
          </cell>
          <cell r="I1838" t="str">
            <v>10.03.2022</v>
          </cell>
          <cell r="J1838" t="str">
            <v>09.03.2022</v>
          </cell>
          <cell r="K1838" t="str">
            <v>-</v>
          </cell>
          <cell r="L1838" t="str">
            <v>OK</v>
          </cell>
        </row>
        <row r="1839">
          <cell r="A1839" t="str">
            <v>SHW-40522I22</v>
          </cell>
          <cell r="B1839" t="str">
            <v>EGLV149200611097</v>
          </cell>
          <cell r="C1839" t="str">
            <v>Original</v>
          </cell>
          <cell r="D1839" t="str">
            <v>Shenker</v>
          </cell>
          <cell r="E1839" t="str">
            <v>Unitrading</v>
          </cell>
          <cell r="F1839">
            <v>44622</v>
          </cell>
          <cell r="G1839">
            <v>44630</v>
          </cell>
          <cell r="H1839">
            <v>44632</v>
          </cell>
          <cell r="I1839" t="str">
            <v>10.03.2022</v>
          </cell>
          <cell r="J1839" t="str">
            <v>09.03.2022</v>
          </cell>
          <cell r="K1839" t="str">
            <v>-</v>
          </cell>
          <cell r="L1839" t="str">
            <v>OK</v>
          </cell>
        </row>
        <row r="1840">
          <cell r="A1840" t="str">
            <v>SHW-40523I22</v>
          </cell>
          <cell r="B1840" t="str">
            <v>EGLV149200610449</v>
          </cell>
          <cell r="C1840" t="str">
            <v>Original</v>
          </cell>
          <cell r="D1840" t="str">
            <v>Shenker</v>
          </cell>
          <cell r="E1840" t="str">
            <v>Unitrading</v>
          </cell>
          <cell r="F1840">
            <v>44622</v>
          </cell>
          <cell r="G1840">
            <v>44630</v>
          </cell>
          <cell r="H1840">
            <v>44632</v>
          </cell>
          <cell r="I1840" t="str">
            <v>10.03.2022</v>
          </cell>
          <cell r="J1840" t="str">
            <v>09.03.2022</v>
          </cell>
          <cell r="K1840" t="str">
            <v>-</v>
          </cell>
          <cell r="L1840" t="str">
            <v>OK</v>
          </cell>
        </row>
        <row r="1841">
          <cell r="A1841" t="str">
            <v>SHW-40594I22</v>
          </cell>
          <cell r="B1841" t="str">
            <v>EGLV149200796852</v>
          </cell>
          <cell r="C1841" t="str">
            <v>Original</v>
          </cell>
          <cell r="D1841" t="str">
            <v>Shenker</v>
          </cell>
          <cell r="E1841" t="str">
            <v>Unitrading</v>
          </cell>
          <cell r="F1841">
            <v>44628</v>
          </cell>
          <cell r="G1841">
            <v>44636</v>
          </cell>
          <cell r="H1841">
            <v>44638</v>
          </cell>
          <cell r="I1841" t="str">
            <v>10.03.2022</v>
          </cell>
          <cell r="J1841" t="str">
            <v>10.03.2022</v>
          </cell>
          <cell r="K1841" t="str">
            <v>-</v>
          </cell>
          <cell r="L1841" t="str">
            <v>OK</v>
          </cell>
        </row>
        <row r="1842">
          <cell r="A1842" t="str">
            <v>SHW-40599I22</v>
          </cell>
          <cell r="B1842" t="str">
            <v>EGLV149200781006</v>
          </cell>
          <cell r="C1842" t="str">
            <v>Original</v>
          </cell>
          <cell r="D1842" t="str">
            <v>Shenker</v>
          </cell>
          <cell r="E1842" t="str">
            <v>Unitrading</v>
          </cell>
          <cell r="F1842">
            <v>44628</v>
          </cell>
          <cell r="G1842">
            <v>44636</v>
          </cell>
          <cell r="H1842">
            <v>44638</v>
          </cell>
          <cell r="I1842" t="str">
            <v>10.03.2022</v>
          </cell>
          <cell r="J1842" t="str">
            <v>10.03.2022</v>
          </cell>
          <cell r="K1842" t="str">
            <v>-</v>
          </cell>
          <cell r="L1842" t="str">
            <v>OK</v>
          </cell>
        </row>
        <row r="1843">
          <cell r="A1843" t="str">
            <v>SHW-40592I22</v>
          </cell>
          <cell r="B1843" t="str">
            <v>EGLV149200612191</v>
          </cell>
          <cell r="C1843" t="str">
            <v>Original</v>
          </cell>
          <cell r="D1843" t="str">
            <v>Shenker</v>
          </cell>
          <cell r="E1843" t="str">
            <v>Unitrading</v>
          </cell>
          <cell r="F1843">
            <v>44628</v>
          </cell>
          <cell r="G1843">
            <v>44636</v>
          </cell>
          <cell r="H1843">
            <v>44638</v>
          </cell>
          <cell r="I1843" t="str">
            <v>10.03.2022</v>
          </cell>
          <cell r="J1843" t="str">
            <v>10.03.2022</v>
          </cell>
          <cell r="K1843" t="str">
            <v>-</v>
          </cell>
          <cell r="L1843" t="str">
            <v>OK</v>
          </cell>
        </row>
        <row r="1844">
          <cell r="A1844" t="str">
            <v>SHW-40593I22</v>
          </cell>
          <cell r="B1844" t="str">
            <v>EGLV149200797612</v>
          </cell>
          <cell r="C1844" t="str">
            <v>Original</v>
          </cell>
          <cell r="D1844" t="str">
            <v>Shenker</v>
          </cell>
          <cell r="E1844" t="str">
            <v>Unitrading</v>
          </cell>
          <cell r="F1844">
            <v>44628</v>
          </cell>
          <cell r="G1844">
            <v>44636</v>
          </cell>
          <cell r="H1844">
            <v>44638</v>
          </cell>
          <cell r="I1844" t="str">
            <v>10.03.2022</v>
          </cell>
          <cell r="J1844" t="str">
            <v>10.03.2022</v>
          </cell>
          <cell r="K1844" t="str">
            <v>-</v>
          </cell>
          <cell r="L1844" t="str">
            <v>OK</v>
          </cell>
        </row>
        <row r="1845">
          <cell r="A1845" t="str">
            <v>AHW-40738I22</v>
          </cell>
          <cell r="B1845">
            <v>4006586</v>
          </cell>
          <cell r="C1845" t="str">
            <v>Original</v>
          </cell>
          <cell r="D1845" t="str">
            <v>CTS</v>
          </cell>
          <cell r="E1845" t="str">
            <v>JP</v>
          </cell>
          <cell r="F1845">
            <v>44617</v>
          </cell>
          <cell r="G1845">
            <v>44625</v>
          </cell>
          <cell r="H1845">
            <v>44627</v>
          </cell>
          <cell r="I1845" t="str">
            <v>10.03.2022</v>
          </cell>
          <cell r="J1845" t="str">
            <v>09.03.2022</v>
          </cell>
          <cell r="K1845" t="str">
            <v>-</v>
          </cell>
          <cell r="L1845" t="str">
            <v>OK</v>
          </cell>
        </row>
        <row r="1846">
          <cell r="A1846" t="str">
            <v>AHW-40740I22</v>
          </cell>
          <cell r="B1846">
            <v>4006578</v>
          </cell>
          <cell r="C1846" t="str">
            <v>Original</v>
          </cell>
          <cell r="D1846" t="str">
            <v>CTS</v>
          </cell>
          <cell r="E1846" t="str">
            <v>JP</v>
          </cell>
          <cell r="F1846">
            <v>44617</v>
          </cell>
          <cell r="G1846">
            <v>44625</v>
          </cell>
          <cell r="H1846">
            <v>44627</v>
          </cell>
          <cell r="I1846" t="str">
            <v>10.03.2022</v>
          </cell>
          <cell r="J1846" t="str">
            <v>09.03.2022</v>
          </cell>
          <cell r="K1846" t="str">
            <v>-</v>
          </cell>
          <cell r="L1846" t="str">
            <v>OK</v>
          </cell>
        </row>
        <row r="1847">
          <cell r="A1847" t="str">
            <v>AHW-40749I22</v>
          </cell>
          <cell r="B1847">
            <v>4006606</v>
          </cell>
          <cell r="C1847" t="str">
            <v>Original</v>
          </cell>
          <cell r="D1847" t="str">
            <v>CTS</v>
          </cell>
          <cell r="E1847" t="str">
            <v>JP</v>
          </cell>
          <cell r="F1847">
            <v>44617</v>
          </cell>
          <cell r="G1847">
            <v>44625</v>
          </cell>
          <cell r="H1847">
            <v>44627</v>
          </cell>
          <cell r="I1847" t="str">
            <v>10.03.2022</v>
          </cell>
          <cell r="J1847" t="str">
            <v>09.03.2022</v>
          </cell>
          <cell r="K1847" t="str">
            <v>-</v>
          </cell>
          <cell r="L1847" t="str">
            <v>OK</v>
          </cell>
        </row>
        <row r="1848">
          <cell r="A1848" t="str">
            <v>AHW-40737I22</v>
          </cell>
          <cell r="B1848">
            <v>4006577</v>
          </cell>
          <cell r="C1848" t="str">
            <v>Original</v>
          </cell>
          <cell r="D1848" t="str">
            <v>CTS</v>
          </cell>
          <cell r="E1848" t="str">
            <v>JP</v>
          </cell>
          <cell r="F1848">
            <v>44624</v>
          </cell>
          <cell r="G1848">
            <v>44632</v>
          </cell>
          <cell r="H1848">
            <v>44634</v>
          </cell>
          <cell r="I1848" t="str">
            <v>10.03.2022</v>
          </cell>
          <cell r="J1848" t="str">
            <v>18.03.2022</v>
          </cell>
          <cell r="K1848" t="str">
            <v>-</v>
          </cell>
          <cell r="L1848" t="str">
            <v>OK</v>
          </cell>
        </row>
        <row r="1849">
          <cell r="A1849" t="str">
            <v>AHW-40748I22</v>
          </cell>
          <cell r="B1849">
            <v>4006613</v>
          </cell>
          <cell r="C1849" t="str">
            <v>Original</v>
          </cell>
          <cell r="D1849" t="str">
            <v>CTS</v>
          </cell>
          <cell r="E1849" t="str">
            <v>JP</v>
          </cell>
          <cell r="F1849">
            <v>44624</v>
          </cell>
          <cell r="G1849">
            <v>44632</v>
          </cell>
          <cell r="H1849">
            <v>44634</v>
          </cell>
          <cell r="I1849" t="str">
            <v>10.03.2022</v>
          </cell>
          <cell r="J1849" t="str">
            <v>18.03.2022</v>
          </cell>
          <cell r="K1849" t="str">
            <v>-</v>
          </cell>
          <cell r="L1849" t="str">
            <v>OK</v>
          </cell>
        </row>
        <row r="1850">
          <cell r="A1850" t="str">
            <v>AHW-40944I22</v>
          </cell>
          <cell r="B1850">
            <v>4006733</v>
          </cell>
          <cell r="C1850" t="str">
            <v>Original</v>
          </cell>
          <cell r="D1850" t="str">
            <v>CTS</v>
          </cell>
          <cell r="E1850" t="str">
            <v>JP</v>
          </cell>
          <cell r="F1850">
            <v>44624</v>
          </cell>
          <cell r="G1850">
            <v>44632</v>
          </cell>
          <cell r="H1850">
            <v>44634</v>
          </cell>
          <cell r="I1850" t="str">
            <v>14.03.2022</v>
          </cell>
          <cell r="J1850" t="str">
            <v>21.03.2002</v>
          </cell>
          <cell r="K1850" t="str">
            <v>-</v>
          </cell>
          <cell r="L1850" t="str">
            <v>OK</v>
          </cell>
        </row>
        <row r="1851">
          <cell r="A1851" t="str">
            <v>AHW-40739I22</v>
          </cell>
          <cell r="B1851">
            <v>4006585</v>
          </cell>
          <cell r="C1851" t="str">
            <v>Original</v>
          </cell>
          <cell r="D1851" t="str">
            <v>CTS</v>
          </cell>
          <cell r="E1851" t="str">
            <v>JP</v>
          </cell>
          <cell r="F1851">
            <v>44627</v>
          </cell>
          <cell r="G1851">
            <v>44635</v>
          </cell>
          <cell r="H1851">
            <v>44637</v>
          </cell>
          <cell r="I1851" t="str">
            <v>10.03.2022</v>
          </cell>
          <cell r="J1851" t="str">
            <v>18.03.2022</v>
          </cell>
          <cell r="K1851" t="str">
            <v>-</v>
          </cell>
          <cell r="L1851" t="str">
            <v>OK</v>
          </cell>
        </row>
        <row r="1852">
          <cell r="A1852" t="str">
            <v>AHW-40789I22</v>
          </cell>
          <cell r="B1852">
            <v>4006654</v>
          </cell>
          <cell r="C1852" t="str">
            <v>Original</v>
          </cell>
          <cell r="D1852" t="str">
            <v>CTS</v>
          </cell>
          <cell r="E1852" t="str">
            <v>JP</v>
          </cell>
          <cell r="F1852">
            <v>44627</v>
          </cell>
          <cell r="G1852">
            <v>44635</v>
          </cell>
          <cell r="H1852">
            <v>44637</v>
          </cell>
          <cell r="I1852" t="str">
            <v>10.03.2022</v>
          </cell>
          <cell r="J1852" t="str">
            <v>18.03.2022</v>
          </cell>
          <cell r="K1852" t="str">
            <v>-</v>
          </cell>
          <cell r="L1852" t="str">
            <v>OK</v>
          </cell>
        </row>
        <row r="1853">
          <cell r="A1853" t="str">
            <v>AHW-40790I22</v>
          </cell>
          <cell r="B1853">
            <v>4006655</v>
          </cell>
          <cell r="C1853" t="str">
            <v>Original</v>
          </cell>
          <cell r="D1853" t="str">
            <v>CTS</v>
          </cell>
          <cell r="E1853" t="str">
            <v>JP</v>
          </cell>
          <cell r="F1853">
            <v>44627</v>
          </cell>
          <cell r="G1853">
            <v>44635</v>
          </cell>
          <cell r="H1853">
            <v>44637</v>
          </cell>
          <cell r="I1853" t="str">
            <v>10.03.2022</v>
          </cell>
          <cell r="J1853" t="str">
            <v>18.03.2022</v>
          </cell>
          <cell r="K1853" t="str">
            <v>-</v>
          </cell>
          <cell r="L1853" t="str">
            <v>OK</v>
          </cell>
        </row>
        <row r="1854">
          <cell r="A1854" t="str">
            <v>AHW-40791I22</v>
          </cell>
          <cell r="B1854">
            <v>4006656</v>
          </cell>
          <cell r="C1854" t="str">
            <v>Original</v>
          </cell>
          <cell r="D1854" t="str">
            <v>CTS</v>
          </cell>
          <cell r="E1854" t="str">
            <v>JP</v>
          </cell>
          <cell r="F1854">
            <v>44627</v>
          </cell>
          <cell r="G1854">
            <v>44635</v>
          </cell>
          <cell r="H1854">
            <v>44637</v>
          </cell>
          <cell r="I1854" t="str">
            <v>10.03.2022</v>
          </cell>
          <cell r="J1854" t="str">
            <v>18.03.2022</v>
          </cell>
          <cell r="K1854" t="str">
            <v>-</v>
          </cell>
          <cell r="L1854" t="str">
            <v>OK</v>
          </cell>
        </row>
        <row r="1855">
          <cell r="A1855" t="str">
            <v>AHW-40792I22</v>
          </cell>
          <cell r="B1855">
            <v>4006670</v>
          </cell>
          <cell r="C1855" t="str">
            <v>Original</v>
          </cell>
          <cell r="D1855" t="str">
            <v>CTS</v>
          </cell>
          <cell r="E1855" t="str">
            <v>JP</v>
          </cell>
          <cell r="F1855">
            <v>44627</v>
          </cell>
          <cell r="G1855">
            <v>44635</v>
          </cell>
          <cell r="H1855">
            <v>44637</v>
          </cell>
          <cell r="I1855" t="str">
            <v>10.03.2022</v>
          </cell>
          <cell r="J1855" t="str">
            <v>18.03.2022</v>
          </cell>
          <cell r="K1855" t="str">
            <v>-</v>
          </cell>
          <cell r="L1855" t="str">
            <v>OK</v>
          </cell>
        </row>
        <row r="1856">
          <cell r="A1856" t="str">
            <v>AHW-40804I22</v>
          </cell>
          <cell r="B1856">
            <v>4006368</v>
          </cell>
          <cell r="C1856" t="str">
            <v>Original</v>
          </cell>
          <cell r="D1856" t="str">
            <v>CTS</v>
          </cell>
          <cell r="E1856" t="str">
            <v>JP</v>
          </cell>
          <cell r="F1856">
            <v>44627</v>
          </cell>
          <cell r="G1856">
            <v>44635</v>
          </cell>
          <cell r="H1856">
            <v>44637</v>
          </cell>
          <cell r="I1856" t="str">
            <v>10.03.2022</v>
          </cell>
          <cell r="J1856" t="str">
            <v>18.03.2022</v>
          </cell>
          <cell r="K1856" t="str">
            <v>-</v>
          </cell>
          <cell r="L1856" t="str">
            <v>OK</v>
          </cell>
        </row>
        <row r="1857">
          <cell r="A1857" t="str">
            <v>AHW-40805I22</v>
          </cell>
          <cell r="B1857">
            <v>4006675</v>
          </cell>
          <cell r="C1857" t="str">
            <v>Original</v>
          </cell>
          <cell r="D1857" t="str">
            <v>CTS</v>
          </cell>
          <cell r="E1857" t="str">
            <v>JP</v>
          </cell>
          <cell r="F1857">
            <v>44627</v>
          </cell>
          <cell r="G1857">
            <v>44635</v>
          </cell>
          <cell r="H1857">
            <v>44637</v>
          </cell>
          <cell r="I1857" t="str">
            <v>10.03.2022</v>
          </cell>
          <cell r="J1857" t="str">
            <v>18.03.2022</v>
          </cell>
          <cell r="K1857" t="str">
            <v>-</v>
          </cell>
          <cell r="L1857" t="str">
            <v>OK</v>
          </cell>
        </row>
        <row r="1858">
          <cell r="A1858" t="str">
            <v>AHW-40806I22</v>
          </cell>
          <cell r="B1858">
            <v>4006677</v>
          </cell>
          <cell r="C1858" t="str">
            <v>Original</v>
          </cell>
          <cell r="D1858" t="str">
            <v>CTS</v>
          </cell>
          <cell r="E1858" t="str">
            <v>JP</v>
          </cell>
          <cell r="F1858">
            <v>44627</v>
          </cell>
          <cell r="G1858">
            <v>44635</v>
          </cell>
          <cell r="H1858">
            <v>44637</v>
          </cell>
          <cell r="I1858" t="str">
            <v>10.03.2022</v>
          </cell>
          <cell r="J1858" t="str">
            <v>18.03.2022</v>
          </cell>
          <cell r="K1858" t="str">
            <v>-</v>
          </cell>
          <cell r="L1858" t="str">
            <v>OK</v>
          </cell>
        </row>
        <row r="1859">
          <cell r="A1859" t="str">
            <v>AHW-40807I22</v>
          </cell>
          <cell r="B1859">
            <v>4006676</v>
          </cell>
          <cell r="C1859" t="str">
            <v>Original</v>
          </cell>
          <cell r="D1859" t="str">
            <v>CTS</v>
          </cell>
          <cell r="E1859" t="str">
            <v>JP</v>
          </cell>
          <cell r="F1859">
            <v>44627</v>
          </cell>
          <cell r="G1859">
            <v>44635</v>
          </cell>
          <cell r="H1859">
            <v>44637</v>
          </cell>
          <cell r="I1859" t="str">
            <v>10.03.2022</v>
          </cell>
          <cell r="J1859" t="str">
            <v>18.03.2022</v>
          </cell>
          <cell r="K1859" t="str">
            <v>-</v>
          </cell>
          <cell r="L1859" t="str">
            <v>OK</v>
          </cell>
        </row>
        <row r="1860">
          <cell r="A1860" t="str">
            <v>AHW-40808I22</v>
          </cell>
          <cell r="B1860">
            <v>4006684</v>
          </cell>
          <cell r="C1860" t="str">
            <v>Original</v>
          </cell>
          <cell r="D1860" t="str">
            <v>CTS</v>
          </cell>
          <cell r="E1860" t="str">
            <v>JP</v>
          </cell>
          <cell r="F1860">
            <v>44627</v>
          </cell>
          <cell r="G1860">
            <v>44635</v>
          </cell>
          <cell r="H1860">
            <v>44637</v>
          </cell>
          <cell r="I1860" t="str">
            <v>10.03.2022</v>
          </cell>
          <cell r="J1860" t="str">
            <v>18.03.2022</v>
          </cell>
          <cell r="K1860" t="str">
            <v>-</v>
          </cell>
          <cell r="L1860" t="str">
            <v>OK</v>
          </cell>
        </row>
        <row r="1861">
          <cell r="A1861" t="str">
            <v>AHW-40943I22</v>
          </cell>
          <cell r="B1861">
            <v>4006694</v>
          </cell>
          <cell r="C1861" t="str">
            <v>Original</v>
          </cell>
          <cell r="D1861" t="str">
            <v>CTS</v>
          </cell>
          <cell r="E1861" t="str">
            <v>JP</v>
          </cell>
          <cell r="F1861">
            <v>44627</v>
          </cell>
          <cell r="G1861">
            <v>44635</v>
          </cell>
          <cell r="H1861">
            <v>44637</v>
          </cell>
          <cell r="I1861" t="str">
            <v>10.03.2022</v>
          </cell>
          <cell r="J1861" t="str">
            <v>18.03.2022</v>
          </cell>
          <cell r="K1861" t="str">
            <v>-</v>
          </cell>
          <cell r="L1861" t="str">
            <v>OK</v>
          </cell>
        </row>
        <row r="1862">
          <cell r="A1862" t="str">
            <v>AHW-40945I22</v>
          </cell>
          <cell r="B1862">
            <v>4006707</v>
          </cell>
          <cell r="C1862" t="str">
            <v>Original</v>
          </cell>
          <cell r="D1862" t="str">
            <v>CTS</v>
          </cell>
          <cell r="E1862" t="str">
            <v>JP</v>
          </cell>
          <cell r="F1862">
            <v>44627</v>
          </cell>
          <cell r="G1862">
            <v>44635</v>
          </cell>
          <cell r="H1862">
            <v>44637</v>
          </cell>
          <cell r="I1862" t="str">
            <v>10.03.2022</v>
          </cell>
          <cell r="J1862" t="str">
            <v>18.03.2022</v>
          </cell>
          <cell r="K1862" t="str">
            <v>-</v>
          </cell>
          <cell r="L1862" t="str">
            <v>OK</v>
          </cell>
        </row>
        <row r="1863">
          <cell r="A1863" t="str">
            <v>AHW-40946I22</v>
          </cell>
          <cell r="B1863">
            <v>4006743</v>
          </cell>
          <cell r="C1863" t="str">
            <v>Original</v>
          </cell>
          <cell r="D1863" t="str">
            <v>CTS</v>
          </cell>
          <cell r="E1863" t="str">
            <v>JP</v>
          </cell>
          <cell r="F1863">
            <v>44627</v>
          </cell>
          <cell r="G1863">
            <v>44635</v>
          </cell>
          <cell r="H1863">
            <v>44637</v>
          </cell>
          <cell r="I1863" t="str">
            <v>14.03.2022</v>
          </cell>
          <cell r="J1863" t="str">
            <v>21.03.2002</v>
          </cell>
          <cell r="K1863" t="str">
            <v>-</v>
          </cell>
          <cell r="L1863" t="str">
            <v>OK</v>
          </cell>
        </row>
        <row r="1864">
          <cell r="A1864" t="str">
            <v>AHW-40947I22</v>
          </cell>
          <cell r="B1864">
            <v>4006714</v>
          </cell>
          <cell r="C1864" t="str">
            <v>Original</v>
          </cell>
          <cell r="D1864" t="str">
            <v>CTS</v>
          </cell>
          <cell r="E1864" t="str">
            <v>JP</v>
          </cell>
          <cell r="F1864">
            <v>44627</v>
          </cell>
          <cell r="G1864">
            <v>44635</v>
          </cell>
          <cell r="H1864">
            <v>44637</v>
          </cell>
          <cell r="I1864" t="str">
            <v>10.03.2022</v>
          </cell>
          <cell r="J1864" t="str">
            <v>18.03.2022</v>
          </cell>
          <cell r="K1864" t="str">
            <v>-</v>
          </cell>
          <cell r="L1864" t="str">
            <v>OK</v>
          </cell>
        </row>
        <row r="1865">
          <cell r="A1865" t="str">
            <v>AHW-40948I22</v>
          </cell>
          <cell r="B1865">
            <v>4006741</v>
          </cell>
          <cell r="C1865" t="str">
            <v>Original</v>
          </cell>
          <cell r="D1865" t="str">
            <v>CTS</v>
          </cell>
          <cell r="E1865" t="str">
            <v>JP</v>
          </cell>
          <cell r="F1865">
            <v>44627</v>
          </cell>
          <cell r="G1865">
            <v>44635</v>
          </cell>
          <cell r="H1865">
            <v>44637</v>
          </cell>
          <cell r="I1865" t="str">
            <v>14.03.2022</v>
          </cell>
          <cell r="J1865" t="str">
            <v>21.03.2022</v>
          </cell>
          <cell r="K1865" t="str">
            <v>-</v>
          </cell>
          <cell r="L1865" t="str">
            <v>OK</v>
          </cell>
        </row>
        <row r="1866">
          <cell r="A1866" t="str">
            <v>AHW-40949I22</v>
          </cell>
          <cell r="B1866">
            <v>4006742</v>
          </cell>
          <cell r="C1866" t="str">
            <v>Original</v>
          </cell>
          <cell r="D1866" t="str">
            <v>CTS</v>
          </cell>
          <cell r="E1866" t="str">
            <v>JP</v>
          </cell>
          <cell r="F1866">
            <v>44627</v>
          </cell>
          <cell r="G1866">
            <v>44635</v>
          </cell>
          <cell r="H1866">
            <v>44637</v>
          </cell>
          <cell r="I1866" t="str">
            <v>14.03.2022</v>
          </cell>
          <cell r="J1866" t="str">
            <v>21.03.2022</v>
          </cell>
          <cell r="K1866" t="str">
            <v>-</v>
          </cell>
          <cell r="L1866" t="str">
            <v>OK</v>
          </cell>
        </row>
        <row r="1867">
          <cell r="A1867" t="str">
            <v>AHW-41019I22</v>
          </cell>
          <cell r="B1867">
            <v>4006761</v>
          </cell>
          <cell r="C1867" t="str">
            <v>Original</v>
          </cell>
          <cell r="D1867" t="str">
            <v>CTS</v>
          </cell>
          <cell r="E1867" t="str">
            <v>JP</v>
          </cell>
          <cell r="F1867">
            <v>44627</v>
          </cell>
          <cell r="G1867">
            <v>44635</v>
          </cell>
          <cell r="H1867">
            <v>44637</v>
          </cell>
          <cell r="I1867" t="str">
            <v>14.03.2022</v>
          </cell>
          <cell r="J1867" t="str">
            <v>21.03.2022</v>
          </cell>
          <cell r="K1867" t="str">
            <v>-</v>
          </cell>
          <cell r="L1867" t="str">
            <v>OK</v>
          </cell>
        </row>
        <row r="1868">
          <cell r="A1868" t="str">
            <v>AHW-41020I22</v>
          </cell>
          <cell r="B1868">
            <v>4006762</v>
          </cell>
          <cell r="C1868" t="str">
            <v>Original</v>
          </cell>
          <cell r="D1868" t="str">
            <v>CTS</v>
          </cell>
          <cell r="E1868" t="str">
            <v>JP</v>
          </cell>
          <cell r="F1868">
            <v>44627</v>
          </cell>
          <cell r="G1868">
            <v>44635</v>
          </cell>
          <cell r="H1868">
            <v>44637</v>
          </cell>
          <cell r="I1868" t="str">
            <v>14.03.2022</v>
          </cell>
          <cell r="J1868" t="str">
            <v>21.03.2022</v>
          </cell>
          <cell r="K1868" t="str">
            <v>-</v>
          </cell>
          <cell r="L1868" t="str">
            <v>OK</v>
          </cell>
        </row>
        <row r="1869">
          <cell r="A1869" t="str">
            <v>AMS-40809I22</v>
          </cell>
          <cell r="B1869" t="str">
            <v>1Z6469V00473427503</v>
          </cell>
          <cell r="C1869" t="str">
            <v>Brasiliense</v>
          </cell>
          <cell r="D1869" t="str">
            <v>UPS</v>
          </cell>
          <cell r="E1869" t="str">
            <v>Future</v>
          </cell>
          <cell r="F1869">
            <v>44624</v>
          </cell>
          <cell r="G1869">
            <v>44632</v>
          </cell>
          <cell r="H1869">
            <v>44634</v>
          </cell>
          <cell r="I1869" t="str">
            <v>07.03.2022</v>
          </cell>
          <cell r="J1869" t="str">
            <v>18.03.2022</v>
          </cell>
          <cell r="K1869" t="str">
            <v>15.03.2022</v>
          </cell>
          <cell r="L1869" t="str">
            <v>OK</v>
          </cell>
        </row>
        <row r="1870">
          <cell r="A1870" t="str">
            <v>AMS-40881I22</v>
          </cell>
          <cell r="B1870" t="str">
            <v>1Z6469V00475739762</v>
          </cell>
          <cell r="C1870" t="str">
            <v>Brasiliense</v>
          </cell>
          <cell r="D1870" t="str">
            <v>UPS</v>
          </cell>
          <cell r="E1870" t="str">
            <v>Future</v>
          </cell>
          <cell r="F1870">
            <v>44624</v>
          </cell>
          <cell r="G1870">
            <v>44632</v>
          </cell>
          <cell r="H1870">
            <v>44634</v>
          </cell>
          <cell r="I1870" t="str">
            <v>15.03.2022</v>
          </cell>
          <cell r="J1870" t="str">
            <v>18.03.2022</v>
          </cell>
          <cell r="K1870" t="str">
            <v>15.03.2022</v>
          </cell>
          <cell r="L1870" t="str">
            <v>OK</v>
          </cell>
        </row>
        <row r="1871">
          <cell r="A1871" t="str">
            <v>AMS-40883I22</v>
          </cell>
          <cell r="B1871" t="str">
            <v>1Z6469V00475576974</v>
          </cell>
          <cell r="C1871" t="str">
            <v>Brasiliense</v>
          </cell>
          <cell r="D1871" t="str">
            <v>UPS</v>
          </cell>
          <cell r="E1871" t="str">
            <v>Future</v>
          </cell>
          <cell r="F1871">
            <v>44624</v>
          </cell>
          <cell r="G1871">
            <v>44632</v>
          </cell>
          <cell r="H1871">
            <v>44634</v>
          </cell>
          <cell r="I1871" t="str">
            <v>07.03.2022</v>
          </cell>
          <cell r="J1871" t="str">
            <v>18.03.2022</v>
          </cell>
          <cell r="K1871" t="str">
            <v>15.03.2022</v>
          </cell>
          <cell r="L1871" t="str">
            <v>OK</v>
          </cell>
        </row>
        <row r="1872">
          <cell r="A1872" t="str">
            <v>AMS-41001I22</v>
          </cell>
          <cell r="B1872" t="str">
            <v>1Z6469V00475120125</v>
          </cell>
          <cell r="C1872" t="str">
            <v>Brasiliense</v>
          </cell>
          <cell r="D1872" t="str">
            <v>UPS</v>
          </cell>
          <cell r="E1872" t="str">
            <v>Future</v>
          </cell>
          <cell r="F1872">
            <v>44627</v>
          </cell>
          <cell r="G1872">
            <v>44635</v>
          </cell>
          <cell r="H1872">
            <v>44637</v>
          </cell>
          <cell r="I1872" t="str">
            <v>15.03.2022</v>
          </cell>
          <cell r="J1872" t="str">
            <v>18.03.2022</v>
          </cell>
          <cell r="K1872" t="str">
            <v>15.03.2022</v>
          </cell>
          <cell r="L1872" t="str">
            <v>OK</v>
          </cell>
        </row>
        <row r="1873">
          <cell r="A1873" t="str">
            <v>AMS-41002I22</v>
          </cell>
          <cell r="B1873" t="str">
            <v>1Z6469V00474603543</v>
          </cell>
          <cell r="C1873" t="str">
            <v>Brasiliense</v>
          </cell>
          <cell r="D1873" t="str">
            <v>UPS</v>
          </cell>
          <cell r="E1873" t="str">
            <v>Future</v>
          </cell>
          <cell r="F1873">
            <v>44627</v>
          </cell>
          <cell r="G1873">
            <v>44635</v>
          </cell>
          <cell r="H1873">
            <v>44637</v>
          </cell>
          <cell r="I1873" t="str">
            <v>15.03.2022</v>
          </cell>
          <cell r="J1873" t="str">
            <v>18.03.2022</v>
          </cell>
          <cell r="K1873" t="str">
            <v>15.03.2022</v>
          </cell>
          <cell r="L1873" t="str">
            <v>OK</v>
          </cell>
        </row>
        <row r="1874">
          <cell r="A1874" t="str">
            <v>AMS-41003I22</v>
          </cell>
          <cell r="B1874" t="str">
            <v>1Z6469V00474326932</v>
          </cell>
          <cell r="C1874" t="str">
            <v>Brasiliense</v>
          </cell>
          <cell r="D1874" t="str">
            <v>UPS</v>
          </cell>
          <cell r="E1874" t="str">
            <v>Future</v>
          </cell>
          <cell r="F1874">
            <v>44627</v>
          </cell>
          <cell r="G1874">
            <v>44635</v>
          </cell>
          <cell r="H1874">
            <v>44637</v>
          </cell>
          <cell r="I1874" t="str">
            <v>15.03.2022</v>
          </cell>
          <cell r="J1874" t="str">
            <v>18.03.2022</v>
          </cell>
          <cell r="K1874" t="str">
            <v>15.03.2022</v>
          </cell>
          <cell r="L1874" t="str">
            <v>OK</v>
          </cell>
        </row>
        <row r="1875">
          <cell r="A1875" t="str">
            <v>AMS-41004I22</v>
          </cell>
          <cell r="B1875" t="str">
            <v>1Z6469V00474492619</v>
          </cell>
          <cell r="C1875" t="str">
            <v>Brasiliense</v>
          </cell>
          <cell r="D1875" t="str">
            <v>UPS</v>
          </cell>
          <cell r="E1875" t="str">
            <v>Future</v>
          </cell>
          <cell r="F1875">
            <v>44627</v>
          </cell>
          <cell r="G1875">
            <v>44635</v>
          </cell>
          <cell r="H1875">
            <v>44637</v>
          </cell>
          <cell r="I1875" t="str">
            <v>15.03.2022</v>
          </cell>
          <cell r="J1875" t="str">
            <v>18.03.2022</v>
          </cell>
          <cell r="K1875" t="str">
            <v>15.03.2022</v>
          </cell>
          <cell r="L1875" t="str">
            <v>OK</v>
          </cell>
        </row>
        <row r="1876">
          <cell r="A1876" t="str">
            <v>AMS-41005I22</v>
          </cell>
          <cell r="B1876" t="str">
            <v>1Z6469V00475614566</v>
          </cell>
          <cell r="C1876" t="str">
            <v>Brasiliense</v>
          </cell>
          <cell r="D1876" t="str">
            <v>UPS</v>
          </cell>
          <cell r="E1876" t="str">
            <v>Future</v>
          </cell>
          <cell r="F1876">
            <v>44627</v>
          </cell>
          <cell r="G1876">
            <v>44635</v>
          </cell>
          <cell r="H1876">
            <v>44637</v>
          </cell>
          <cell r="I1876" t="str">
            <v>15.03.2022</v>
          </cell>
          <cell r="J1876" t="str">
            <v>18.03.2022</v>
          </cell>
          <cell r="K1876" t="str">
            <v>15.03.2022</v>
          </cell>
          <cell r="L1876" t="str">
            <v>OK</v>
          </cell>
        </row>
        <row r="1877">
          <cell r="A1877" t="str">
            <v>AMS-41006I22</v>
          </cell>
          <cell r="B1877" t="str">
            <v>1Z6469V00474794927</v>
          </cell>
          <cell r="C1877" t="str">
            <v>Brasiliense</v>
          </cell>
          <cell r="D1877" t="str">
            <v>UPS</v>
          </cell>
          <cell r="E1877" t="str">
            <v>Future</v>
          </cell>
          <cell r="F1877">
            <v>44627</v>
          </cell>
          <cell r="G1877">
            <v>44635</v>
          </cell>
          <cell r="H1877">
            <v>44637</v>
          </cell>
          <cell r="I1877" t="str">
            <v>15.03.2022</v>
          </cell>
          <cell r="J1877" t="str">
            <v>18.03.2022</v>
          </cell>
          <cell r="K1877" t="str">
            <v>15.03.2022</v>
          </cell>
          <cell r="L1877" t="str">
            <v>OK</v>
          </cell>
        </row>
        <row r="1878">
          <cell r="A1878" t="str">
            <v>AMS-41007I22</v>
          </cell>
          <cell r="B1878" t="str">
            <v>1Z6469V00475795808</v>
          </cell>
          <cell r="C1878" t="str">
            <v>Brasiliense</v>
          </cell>
          <cell r="D1878" t="str">
            <v>UPS</v>
          </cell>
          <cell r="E1878" t="str">
            <v>Future</v>
          </cell>
          <cell r="F1878">
            <v>44627</v>
          </cell>
          <cell r="G1878">
            <v>44635</v>
          </cell>
          <cell r="H1878">
            <v>44637</v>
          </cell>
          <cell r="I1878" t="str">
            <v>15.03.2022</v>
          </cell>
          <cell r="J1878" t="str">
            <v>18.03.2022</v>
          </cell>
          <cell r="K1878" t="str">
            <v>15.03.2022</v>
          </cell>
          <cell r="L1878" t="str">
            <v>OK</v>
          </cell>
        </row>
        <row r="1879">
          <cell r="A1879" t="str">
            <v>AMS-41008I22</v>
          </cell>
          <cell r="B1879" t="str">
            <v>1Z6469V00474051514</v>
          </cell>
          <cell r="C1879" t="str">
            <v>Brasiliense</v>
          </cell>
          <cell r="D1879" t="str">
            <v>UPS</v>
          </cell>
          <cell r="E1879" t="str">
            <v>Future</v>
          </cell>
          <cell r="F1879">
            <v>44627</v>
          </cell>
          <cell r="G1879">
            <v>44635</v>
          </cell>
          <cell r="H1879">
            <v>44637</v>
          </cell>
          <cell r="I1879" t="str">
            <v>15.03.2022</v>
          </cell>
          <cell r="J1879" t="str">
            <v>18.03.2022</v>
          </cell>
          <cell r="K1879" t="str">
            <v>15.03.2022</v>
          </cell>
          <cell r="L1879" t="str">
            <v>OK</v>
          </cell>
        </row>
        <row r="1880">
          <cell r="A1880" t="str">
            <v>AMS-41009I22</v>
          </cell>
          <cell r="B1880" t="str">
            <v>1Z6469V00475475985</v>
          </cell>
          <cell r="C1880" t="str">
            <v>Brasiliense</v>
          </cell>
          <cell r="D1880" t="str">
            <v>UPS</v>
          </cell>
          <cell r="E1880" t="str">
            <v>Future</v>
          </cell>
          <cell r="F1880">
            <v>44627</v>
          </cell>
          <cell r="G1880">
            <v>44635</v>
          </cell>
          <cell r="H1880">
            <v>44637</v>
          </cell>
          <cell r="I1880" t="str">
            <v>15.03.2022</v>
          </cell>
          <cell r="J1880" t="str">
            <v>18.03.2022</v>
          </cell>
          <cell r="K1880" t="str">
            <v>15.03.2022</v>
          </cell>
          <cell r="L1880" t="str">
            <v>OK</v>
          </cell>
        </row>
        <row r="1881">
          <cell r="A1881" t="str">
            <v>AMS-41010I22</v>
          </cell>
          <cell r="B1881" t="str">
            <v>1Z6469V00474340756</v>
          </cell>
          <cell r="C1881" t="str">
            <v>Brasiliense</v>
          </cell>
          <cell r="D1881" t="str">
            <v>UPS</v>
          </cell>
          <cell r="E1881" t="str">
            <v>Future</v>
          </cell>
          <cell r="F1881">
            <v>44627</v>
          </cell>
          <cell r="G1881">
            <v>44635</v>
          </cell>
          <cell r="H1881">
            <v>44637</v>
          </cell>
          <cell r="I1881" t="str">
            <v>15.03.2022</v>
          </cell>
          <cell r="J1881" t="str">
            <v>18.03.2022</v>
          </cell>
          <cell r="K1881" t="str">
            <v>15.03.2022</v>
          </cell>
          <cell r="L1881" t="str">
            <v>OK</v>
          </cell>
        </row>
        <row r="1882">
          <cell r="A1882" t="str">
            <v>AMS-41011I22</v>
          </cell>
          <cell r="B1882" t="str">
            <v>1Z6469V00473415598</v>
          </cell>
          <cell r="C1882" t="str">
            <v>Brasiliense</v>
          </cell>
          <cell r="D1882" t="str">
            <v>UPS</v>
          </cell>
          <cell r="E1882" t="str">
            <v>Future</v>
          </cell>
          <cell r="F1882">
            <v>44627</v>
          </cell>
          <cell r="G1882">
            <v>44635</v>
          </cell>
          <cell r="H1882">
            <v>44637</v>
          </cell>
          <cell r="I1882" t="str">
            <v>15.03.2022</v>
          </cell>
          <cell r="J1882" t="str">
            <v>18.03.2022</v>
          </cell>
          <cell r="K1882" t="str">
            <v>15.03.2022</v>
          </cell>
          <cell r="L1882" t="str">
            <v>OK</v>
          </cell>
        </row>
        <row r="1883">
          <cell r="A1883" t="str">
            <v>AMS-41012I22</v>
          </cell>
          <cell r="B1883" t="str">
            <v>1Z6469V00475300707</v>
          </cell>
          <cell r="C1883" t="str">
            <v>Brasiliense</v>
          </cell>
          <cell r="D1883" t="str">
            <v>UPS</v>
          </cell>
          <cell r="E1883" t="str">
            <v>Future</v>
          </cell>
          <cell r="F1883">
            <v>44627</v>
          </cell>
          <cell r="G1883">
            <v>44635</v>
          </cell>
          <cell r="H1883">
            <v>44637</v>
          </cell>
          <cell r="I1883" t="str">
            <v>15.03.2022</v>
          </cell>
          <cell r="J1883" t="str">
            <v>18.03.2022</v>
          </cell>
          <cell r="K1883" t="str">
            <v>15.03.2022</v>
          </cell>
          <cell r="L1883" t="str">
            <v>OK</v>
          </cell>
        </row>
        <row r="1884">
          <cell r="A1884" t="str">
            <v>AMS-41013I22</v>
          </cell>
          <cell r="B1884" t="str">
            <v>1Z6469V00475460973</v>
          </cell>
          <cell r="C1884" t="str">
            <v>Brasiliense</v>
          </cell>
          <cell r="D1884" t="str">
            <v>UPS</v>
          </cell>
          <cell r="E1884" t="str">
            <v>Future</v>
          </cell>
          <cell r="F1884">
            <v>44627</v>
          </cell>
          <cell r="G1884">
            <v>44635</v>
          </cell>
          <cell r="H1884">
            <v>44637</v>
          </cell>
          <cell r="I1884" t="str">
            <v>15.03.2022</v>
          </cell>
          <cell r="J1884" t="str">
            <v>18.03.2022</v>
          </cell>
          <cell r="K1884" t="str">
            <v>15.03.2022</v>
          </cell>
          <cell r="L1884" t="str">
            <v>OK</v>
          </cell>
        </row>
        <row r="1885">
          <cell r="A1885" t="str">
            <v>AMS-41014I22</v>
          </cell>
          <cell r="B1885" t="str">
            <v>1Z6469V00475531673</v>
          </cell>
          <cell r="C1885" t="str">
            <v>Brasiliense</v>
          </cell>
          <cell r="D1885" t="str">
            <v>UPS</v>
          </cell>
          <cell r="E1885" t="str">
            <v>Future</v>
          </cell>
          <cell r="F1885">
            <v>44627</v>
          </cell>
          <cell r="G1885">
            <v>44635</v>
          </cell>
          <cell r="H1885">
            <v>44637</v>
          </cell>
          <cell r="I1885" t="str">
            <v>15.03.2022</v>
          </cell>
          <cell r="J1885" t="str">
            <v>18.03.2022</v>
          </cell>
          <cell r="K1885" t="str">
            <v>15.03.2022</v>
          </cell>
          <cell r="L1885" t="str">
            <v>OK</v>
          </cell>
        </row>
        <row r="1886">
          <cell r="A1886" t="str">
            <v>AMS-41015I22</v>
          </cell>
          <cell r="B1886" t="str">
            <v>1Z6469V00474157080</v>
          </cell>
          <cell r="C1886" t="str">
            <v>Brasiliense</v>
          </cell>
          <cell r="D1886" t="str">
            <v>UPS</v>
          </cell>
          <cell r="E1886" t="str">
            <v>Future</v>
          </cell>
          <cell r="F1886">
            <v>44627</v>
          </cell>
          <cell r="G1886">
            <v>44635</v>
          </cell>
          <cell r="H1886">
            <v>44637</v>
          </cell>
          <cell r="I1886" t="str">
            <v>15.03.2022</v>
          </cell>
          <cell r="J1886" t="str">
            <v>18.03.2022</v>
          </cell>
          <cell r="K1886" t="str">
            <v>15.03.2022</v>
          </cell>
          <cell r="L1886" t="str">
            <v>OK</v>
          </cell>
        </row>
        <row r="1887">
          <cell r="A1887" t="str">
            <v>AMS-41016I22</v>
          </cell>
          <cell r="B1887" t="str">
            <v>1Z6469V00474426066</v>
          </cell>
          <cell r="C1887" t="str">
            <v>Brasiliense</v>
          </cell>
          <cell r="D1887" t="str">
            <v>UPS</v>
          </cell>
          <cell r="E1887" t="str">
            <v>Future</v>
          </cell>
          <cell r="F1887">
            <v>44627</v>
          </cell>
          <cell r="G1887">
            <v>44635</v>
          </cell>
          <cell r="H1887">
            <v>44637</v>
          </cell>
          <cell r="I1887" t="str">
            <v>15.03.2022</v>
          </cell>
          <cell r="J1887" t="str">
            <v>18.03.2022</v>
          </cell>
          <cell r="K1887" t="str">
            <v>15.03.2022</v>
          </cell>
          <cell r="L1887" t="str">
            <v>OK</v>
          </cell>
        </row>
        <row r="1888">
          <cell r="A1888" t="str">
            <v>AMS-41017I22</v>
          </cell>
          <cell r="B1888" t="str">
            <v>1Z6469V00474262251</v>
          </cell>
          <cell r="C1888" t="str">
            <v>Brasiliense</v>
          </cell>
          <cell r="D1888" t="str">
            <v>UPS</v>
          </cell>
          <cell r="E1888" t="str">
            <v>Future</v>
          </cell>
          <cell r="F1888">
            <v>44627</v>
          </cell>
          <cell r="G1888">
            <v>44635</v>
          </cell>
          <cell r="H1888">
            <v>44637</v>
          </cell>
          <cell r="I1888" t="str">
            <v>15.03.2022</v>
          </cell>
          <cell r="J1888" t="str">
            <v>18.03.2022</v>
          </cell>
          <cell r="K1888" t="str">
            <v>15.03.2022</v>
          </cell>
          <cell r="L1888" t="str">
            <v>OK</v>
          </cell>
        </row>
        <row r="1889">
          <cell r="A1889" t="str">
            <v>AMS-41018I22</v>
          </cell>
          <cell r="B1889" t="str">
            <v>1Z6469V00475038804</v>
          </cell>
          <cell r="C1889" t="str">
            <v>Brasiliense</v>
          </cell>
          <cell r="D1889" t="str">
            <v>UPS</v>
          </cell>
          <cell r="E1889" t="str">
            <v>Future</v>
          </cell>
          <cell r="F1889">
            <v>44627</v>
          </cell>
          <cell r="G1889">
            <v>44635</v>
          </cell>
          <cell r="H1889">
            <v>44637</v>
          </cell>
          <cell r="I1889" t="str">
            <v>15.03.2022</v>
          </cell>
          <cell r="J1889" t="str">
            <v>18.03.2022</v>
          </cell>
          <cell r="K1889" t="str">
            <v>15.03.2022</v>
          </cell>
          <cell r="L1889" t="str">
            <v>OK</v>
          </cell>
        </row>
        <row r="1890">
          <cell r="A1890" t="str">
            <v>AHW-41021I22</v>
          </cell>
          <cell r="B1890">
            <v>4006821</v>
          </cell>
          <cell r="C1890" t="str">
            <v>Original</v>
          </cell>
          <cell r="D1890" t="str">
            <v>CTS</v>
          </cell>
          <cell r="E1890" t="str">
            <v>JP</v>
          </cell>
          <cell r="F1890">
            <v>44634</v>
          </cell>
          <cell r="G1890">
            <v>44642</v>
          </cell>
          <cell r="H1890">
            <v>44644</v>
          </cell>
          <cell r="I1890" t="str">
            <v>24.03.2022</v>
          </cell>
          <cell r="J1890" t="str">
            <v>18.03.2022</v>
          </cell>
          <cell r="K1890" t="str">
            <v>-</v>
          </cell>
          <cell r="L1890" t="str">
            <v>OK</v>
          </cell>
        </row>
        <row r="1891">
          <cell r="A1891" t="str">
            <v>AHW-41024I22</v>
          </cell>
          <cell r="B1891">
            <v>4006796</v>
          </cell>
          <cell r="C1891" t="str">
            <v>Original</v>
          </cell>
          <cell r="D1891" t="str">
            <v>CTS</v>
          </cell>
          <cell r="E1891" t="str">
            <v>JP</v>
          </cell>
          <cell r="F1891">
            <v>44634</v>
          </cell>
          <cell r="G1891">
            <v>44642</v>
          </cell>
          <cell r="H1891">
            <v>44644</v>
          </cell>
          <cell r="I1891" t="str">
            <v>24.03.2022</v>
          </cell>
          <cell r="J1891" t="str">
            <v>21.03.2022</v>
          </cell>
          <cell r="K1891" t="str">
            <v>-</v>
          </cell>
          <cell r="L1891" t="str">
            <v>OK</v>
          </cell>
        </row>
        <row r="1892">
          <cell r="A1892" t="str">
            <v>AHW-41026I22</v>
          </cell>
          <cell r="B1892">
            <v>4006819</v>
          </cell>
          <cell r="C1892" t="str">
            <v>Original</v>
          </cell>
          <cell r="D1892" t="str">
            <v>CTS</v>
          </cell>
          <cell r="E1892" t="str">
            <v>JP</v>
          </cell>
          <cell r="F1892">
            <v>44634</v>
          </cell>
          <cell r="G1892">
            <v>44642</v>
          </cell>
          <cell r="H1892">
            <v>44644</v>
          </cell>
          <cell r="I1892" t="str">
            <v>24.03.2022</v>
          </cell>
          <cell r="J1892" t="str">
            <v>18.03.2022</v>
          </cell>
          <cell r="K1892" t="str">
            <v>-</v>
          </cell>
          <cell r="L1892" t="str">
            <v>OK</v>
          </cell>
        </row>
        <row r="1893">
          <cell r="A1893" t="str">
            <v>AHW-40953I22</v>
          </cell>
          <cell r="B1893">
            <v>4006433</v>
          </cell>
          <cell r="C1893" t="str">
            <v>Original</v>
          </cell>
          <cell r="D1893" t="str">
            <v>CTS</v>
          </cell>
          <cell r="E1893" t="str">
            <v>JP</v>
          </cell>
          <cell r="F1893">
            <v>44635</v>
          </cell>
          <cell r="G1893">
            <v>44643</v>
          </cell>
          <cell r="H1893">
            <v>44645</v>
          </cell>
          <cell r="I1893" t="str">
            <v>24.03.2022</v>
          </cell>
          <cell r="J1893" t="str">
            <v>21.03.2022</v>
          </cell>
          <cell r="K1893" t="str">
            <v>-</v>
          </cell>
          <cell r="L1893" t="str">
            <v>OK</v>
          </cell>
        </row>
        <row r="1894">
          <cell r="A1894" t="str">
            <v>AHW-41025I22</v>
          </cell>
          <cell r="B1894">
            <v>4006788</v>
          </cell>
          <cell r="C1894" t="str">
            <v>Original</v>
          </cell>
          <cell r="D1894" t="str">
            <v>CTS</v>
          </cell>
          <cell r="E1894" t="str">
            <v>JP</v>
          </cell>
          <cell r="F1894">
            <v>44635</v>
          </cell>
          <cell r="G1894">
            <v>44643</v>
          </cell>
          <cell r="H1894">
            <v>44645</v>
          </cell>
          <cell r="I1894" t="str">
            <v>24.03.2022</v>
          </cell>
          <cell r="J1894" t="str">
            <v>21.03.2022</v>
          </cell>
          <cell r="K1894" t="str">
            <v>-</v>
          </cell>
          <cell r="L1894" t="str">
            <v>OK</v>
          </cell>
        </row>
        <row r="1895">
          <cell r="A1895" t="str">
            <v>AHW-41196I22</v>
          </cell>
          <cell r="B1895">
            <v>4006873</v>
          </cell>
          <cell r="C1895" t="str">
            <v>Original</v>
          </cell>
          <cell r="D1895" t="str">
            <v>CTS</v>
          </cell>
          <cell r="E1895" t="str">
            <v>JP</v>
          </cell>
          <cell r="F1895">
            <v>44635</v>
          </cell>
          <cell r="G1895">
            <v>44643</v>
          </cell>
          <cell r="H1895">
            <v>44645</v>
          </cell>
          <cell r="I1895" t="str">
            <v>24.03.2022</v>
          </cell>
          <cell r="J1895" t="str">
            <v>21.03.2022</v>
          </cell>
          <cell r="K1895" t="str">
            <v>-</v>
          </cell>
          <cell r="L1895" t="str">
            <v>OK</v>
          </cell>
        </row>
        <row r="1896">
          <cell r="A1896" t="str">
            <v>AHW-41197I22</v>
          </cell>
          <cell r="B1896">
            <v>4006870</v>
          </cell>
          <cell r="C1896" t="str">
            <v>Original</v>
          </cell>
          <cell r="D1896" t="str">
            <v>CTS</v>
          </cell>
          <cell r="E1896" t="str">
            <v>JP</v>
          </cell>
          <cell r="F1896">
            <v>44635</v>
          </cell>
          <cell r="G1896">
            <v>44643</v>
          </cell>
          <cell r="H1896">
            <v>44645</v>
          </cell>
          <cell r="I1896" t="str">
            <v>24.03.2022</v>
          </cell>
          <cell r="J1896" t="str">
            <v>21.03.2022</v>
          </cell>
          <cell r="K1896" t="str">
            <v>-</v>
          </cell>
          <cell r="L1896" t="str">
            <v>OK</v>
          </cell>
        </row>
        <row r="1897">
          <cell r="A1897" t="str">
            <v>AHW-41198I22</v>
          </cell>
          <cell r="B1897">
            <v>4006871</v>
          </cell>
          <cell r="C1897" t="str">
            <v>Original</v>
          </cell>
          <cell r="D1897" t="str">
            <v>CTS</v>
          </cell>
          <cell r="E1897" t="str">
            <v>JP</v>
          </cell>
          <cell r="F1897">
            <v>44635</v>
          </cell>
          <cell r="G1897">
            <v>44643</v>
          </cell>
          <cell r="H1897">
            <v>44645</v>
          </cell>
          <cell r="I1897" t="str">
            <v>24.03.2022</v>
          </cell>
          <cell r="J1897" t="str">
            <v>21.03.2022</v>
          </cell>
          <cell r="K1897" t="str">
            <v>-</v>
          </cell>
          <cell r="L1897" t="str">
            <v>OK</v>
          </cell>
        </row>
        <row r="1898">
          <cell r="A1898" t="str">
            <v>AHW-41022I22</v>
          </cell>
          <cell r="B1898">
            <v>4006779</v>
          </cell>
          <cell r="C1898" t="str">
            <v>Original</v>
          </cell>
          <cell r="D1898" t="str">
            <v>CTS</v>
          </cell>
          <cell r="E1898" t="str">
            <v>JP</v>
          </cell>
          <cell r="F1898">
            <v>44635</v>
          </cell>
          <cell r="G1898">
            <v>44643</v>
          </cell>
          <cell r="H1898">
            <v>44645</v>
          </cell>
          <cell r="I1898" t="str">
            <v>24.03.2022</v>
          </cell>
          <cell r="J1898" t="str">
            <v>18.03.2022</v>
          </cell>
          <cell r="K1898" t="str">
            <v>-</v>
          </cell>
          <cell r="L1898" t="str">
            <v>OK</v>
          </cell>
        </row>
        <row r="1899">
          <cell r="A1899" t="str">
            <v>AHW-41023I22</v>
          </cell>
          <cell r="B1899">
            <v>4006840</v>
          </cell>
          <cell r="C1899" t="str">
            <v>Original</v>
          </cell>
          <cell r="D1899" t="str">
            <v>CTS</v>
          </cell>
          <cell r="E1899" t="str">
            <v>JP</v>
          </cell>
          <cell r="F1899">
            <v>44635</v>
          </cell>
          <cell r="G1899">
            <v>44643</v>
          </cell>
          <cell r="H1899">
            <v>44645</v>
          </cell>
          <cell r="I1899" t="str">
            <v>24.03.2022</v>
          </cell>
          <cell r="J1899" t="str">
            <v>18.03.2022</v>
          </cell>
          <cell r="K1899" t="str">
            <v>-</v>
          </cell>
          <cell r="L1899" t="str">
            <v>OK</v>
          </cell>
        </row>
        <row r="1900">
          <cell r="A1900" t="str">
            <v>AMS-40603I22</v>
          </cell>
          <cell r="B1900" t="str">
            <v>1Z6469V00473490471</v>
          </cell>
          <cell r="C1900" t="str">
            <v>Brasiliense</v>
          </cell>
          <cell r="D1900" t="str">
            <v>UPS</v>
          </cell>
          <cell r="E1900" t="str">
            <v>Future</v>
          </cell>
          <cell r="F1900">
            <v>44631</v>
          </cell>
          <cell r="G1900">
            <v>44639</v>
          </cell>
          <cell r="H1900">
            <v>44641</v>
          </cell>
          <cell r="I1900" t="str">
            <v>15.03.2022</v>
          </cell>
          <cell r="J1900" t="str">
            <v>18.03.2022</v>
          </cell>
          <cell r="K1900" t="str">
            <v>15.03.2022</v>
          </cell>
          <cell r="L1900" t="str">
            <v>OK</v>
          </cell>
        </row>
        <row r="1901">
          <cell r="A1901" t="str">
            <v>AMS-41131I22</v>
          </cell>
          <cell r="B1901" t="str">
            <v>1Z6469V00475303713</v>
          </cell>
          <cell r="C1901" t="str">
            <v>Brasiliense</v>
          </cell>
          <cell r="D1901" t="str">
            <v>UPS</v>
          </cell>
          <cell r="E1901" t="str">
            <v>Future</v>
          </cell>
          <cell r="F1901">
            <v>44631</v>
          </cell>
          <cell r="G1901">
            <v>44639</v>
          </cell>
          <cell r="H1901">
            <v>44641</v>
          </cell>
          <cell r="I1901" t="str">
            <v>15.03.2022</v>
          </cell>
          <cell r="J1901" t="str">
            <v>18.03.2022</v>
          </cell>
          <cell r="K1901" t="str">
            <v>15.03.2022</v>
          </cell>
          <cell r="L1901" t="str">
            <v>OK</v>
          </cell>
        </row>
        <row r="1902">
          <cell r="A1902" t="str">
            <v>AMS-41132I22</v>
          </cell>
          <cell r="B1902" t="str">
            <v>1Z6469V00475799804</v>
          </cell>
          <cell r="C1902" t="str">
            <v>Brasiliense</v>
          </cell>
          <cell r="D1902" t="str">
            <v>UPS</v>
          </cell>
          <cell r="E1902" t="str">
            <v>Future</v>
          </cell>
          <cell r="F1902">
            <v>44634</v>
          </cell>
          <cell r="G1902">
            <v>44642</v>
          </cell>
          <cell r="H1902">
            <v>44644</v>
          </cell>
          <cell r="I1902" t="str">
            <v>21.03.2022</v>
          </cell>
          <cell r="J1902" t="str">
            <v>18.03.2022</v>
          </cell>
          <cell r="K1902" t="str">
            <v>21.03.2022</v>
          </cell>
          <cell r="L1902" t="str">
            <v>OK</v>
          </cell>
        </row>
        <row r="1903">
          <cell r="A1903" t="str">
            <v>AMS-41133I22</v>
          </cell>
          <cell r="B1903" t="str">
            <v>1Z6469V00474674557</v>
          </cell>
          <cell r="C1903" t="str">
            <v>Brasiliense</v>
          </cell>
          <cell r="D1903" t="str">
            <v>UPS</v>
          </cell>
          <cell r="E1903" t="str">
            <v>Future</v>
          </cell>
          <cell r="F1903">
            <v>44631</v>
          </cell>
          <cell r="G1903">
            <v>44639</v>
          </cell>
          <cell r="H1903">
            <v>44641</v>
          </cell>
          <cell r="I1903" t="str">
            <v>15.03.2022</v>
          </cell>
          <cell r="J1903" t="str">
            <v>18.03.2022</v>
          </cell>
          <cell r="K1903" t="str">
            <v>15.03.2022</v>
          </cell>
          <cell r="L1903" t="str">
            <v>OK</v>
          </cell>
        </row>
        <row r="1904">
          <cell r="A1904" t="str">
            <v>AMS-41134I22</v>
          </cell>
          <cell r="B1904" t="str">
            <v>1Z6469V00475069343</v>
          </cell>
          <cell r="C1904" t="str">
            <v>Brasiliense</v>
          </cell>
          <cell r="D1904" t="str">
            <v>UPS</v>
          </cell>
          <cell r="E1904" t="str">
            <v>Future</v>
          </cell>
          <cell r="F1904">
            <v>44631</v>
          </cell>
          <cell r="G1904">
            <v>44639</v>
          </cell>
          <cell r="H1904">
            <v>44641</v>
          </cell>
          <cell r="I1904" t="str">
            <v>15.03.2022</v>
          </cell>
          <cell r="J1904" t="str">
            <v>18.03.2022</v>
          </cell>
          <cell r="K1904" t="str">
            <v>15.03.2022</v>
          </cell>
          <cell r="L1904" t="str">
            <v>OK</v>
          </cell>
        </row>
        <row r="1905">
          <cell r="A1905" t="str">
            <v>AMS-41135I22</v>
          </cell>
          <cell r="B1905" t="str">
            <v>1Z6469V00473856326</v>
          </cell>
          <cell r="C1905" t="str">
            <v>Brasiliense</v>
          </cell>
          <cell r="D1905" t="str">
            <v>UPS</v>
          </cell>
          <cell r="E1905" t="str">
            <v>Future</v>
          </cell>
          <cell r="F1905">
            <v>44631</v>
          </cell>
          <cell r="G1905">
            <v>44639</v>
          </cell>
          <cell r="H1905">
            <v>44641</v>
          </cell>
          <cell r="I1905" t="str">
            <v>15.03.2022</v>
          </cell>
          <cell r="J1905" t="str">
            <v>18.03.2022</v>
          </cell>
          <cell r="K1905" t="str">
            <v>15.03.2022</v>
          </cell>
          <cell r="L1905" t="str">
            <v>OK</v>
          </cell>
        </row>
        <row r="1906">
          <cell r="A1906" t="str">
            <v>AMS-41136I22</v>
          </cell>
          <cell r="B1906" t="str">
            <v>1Z6469V00474432335</v>
          </cell>
          <cell r="C1906" t="str">
            <v>Brasiliense</v>
          </cell>
          <cell r="D1906" t="str">
            <v>UPS</v>
          </cell>
          <cell r="E1906" t="str">
            <v>Future</v>
          </cell>
          <cell r="F1906">
            <v>44631</v>
          </cell>
          <cell r="G1906">
            <v>44639</v>
          </cell>
          <cell r="H1906">
            <v>44641</v>
          </cell>
          <cell r="I1906" t="str">
            <v>15.03.2022</v>
          </cell>
          <cell r="J1906" t="str">
            <v>22.03.2022</v>
          </cell>
          <cell r="K1906" t="str">
            <v>15.03.2022</v>
          </cell>
          <cell r="L1906" t="str">
            <v>OK</v>
          </cell>
        </row>
        <row r="1907">
          <cell r="A1907" t="str">
            <v>AMS-41137I22</v>
          </cell>
          <cell r="B1907" t="str">
            <v>1Z6469V00475992943</v>
          </cell>
          <cell r="C1907" t="str">
            <v>Brasiliense</v>
          </cell>
          <cell r="D1907" t="str">
            <v>UPS</v>
          </cell>
          <cell r="E1907" t="str">
            <v>Future</v>
          </cell>
          <cell r="F1907">
            <v>44631</v>
          </cell>
          <cell r="G1907">
            <v>44639</v>
          </cell>
          <cell r="H1907">
            <v>44641</v>
          </cell>
          <cell r="I1907" t="str">
            <v>15.03.2022</v>
          </cell>
          <cell r="J1907" t="str">
            <v>18.03.2022</v>
          </cell>
          <cell r="K1907" t="str">
            <v>15.03.2022</v>
          </cell>
          <cell r="L1907" t="str">
            <v>OK</v>
          </cell>
        </row>
        <row r="1908">
          <cell r="A1908" t="str">
            <v>AMS-41138I22</v>
          </cell>
          <cell r="B1908" t="str">
            <v>1Z6469V00475468680</v>
          </cell>
          <cell r="C1908" t="str">
            <v>Brasiliense</v>
          </cell>
          <cell r="D1908" t="str">
            <v>UPS</v>
          </cell>
          <cell r="E1908" t="str">
            <v>Future</v>
          </cell>
          <cell r="F1908">
            <v>44631</v>
          </cell>
          <cell r="G1908">
            <v>44639</v>
          </cell>
          <cell r="H1908">
            <v>44641</v>
          </cell>
          <cell r="I1908" t="str">
            <v>15.03.2022</v>
          </cell>
          <cell r="J1908" t="str">
            <v>18.03.2022</v>
          </cell>
          <cell r="K1908" t="str">
            <v>15.03.2022</v>
          </cell>
          <cell r="L1908" t="str">
            <v>OK</v>
          </cell>
        </row>
        <row r="1909">
          <cell r="A1909" t="str">
            <v>AMS-41077I22</v>
          </cell>
          <cell r="B1909" t="str">
            <v>41L0079379</v>
          </cell>
          <cell r="C1909" t="str">
            <v>Original</v>
          </cell>
          <cell r="D1909" t="str">
            <v>Expeditors</v>
          </cell>
          <cell r="E1909" t="str">
            <v>Technology</v>
          </cell>
          <cell r="F1909">
            <v>44634</v>
          </cell>
          <cell r="G1909">
            <v>44642</v>
          </cell>
          <cell r="H1909">
            <v>44644</v>
          </cell>
          <cell r="I1909" t="str">
            <v>24.03.2022</v>
          </cell>
          <cell r="J1909" t="str">
            <v>24.03.2022</v>
          </cell>
          <cell r="K1909" t="str">
            <v>-</v>
          </cell>
          <cell r="L1909" t="str">
            <v>OK</v>
          </cell>
        </row>
        <row r="1910">
          <cell r="A1910" t="str">
            <v>AMS-41078I22</v>
          </cell>
          <cell r="B1910" t="str">
            <v>41L0079380</v>
          </cell>
          <cell r="C1910" t="str">
            <v>Original</v>
          </cell>
          <cell r="D1910" t="str">
            <v>Expeditors</v>
          </cell>
          <cell r="E1910" t="str">
            <v>Technology</v>
          </cell>
          <cell r="F1910">
            <v>44634</v>
          </cell>
          <cell r="G1910">
            <v>44642</v>
          </cell>
          <cell r="H1910">
            <v>44644</v>
          </cell>
          <cell r="I1910" t="str">
            <v>24.03.2022</v>
          </cell>
          <cell r="J1910" t="str">
            <v>18.03.2022</v>
          </cell>
          <cell r="K1910" t="str">
            <v>-</v>
          </cell>
          <cell r="L1910" t="str">
            <v>OK</v>
          </cell>
        </row>
        <row r="1911">
          <cell r="A1911" t="str">
            <v>AMS-41079I22</v>
          </cell>
          <cell r="B1911" t="str">
            <v>41L0079381</v>
          </cell>
          <cell r="C1911" t="str">
            <v>Original</v>
          </cell>
          <cell r="D1911" t="str">
            <v>Expeditors</v>
          </cell>
          <cell r="E1911" t="str">
            <v>Technology</v>
          </cell>
          <cell r="F1911">
            <v>44634</v>
          </cell>
          <cell r="G1911">
            <v>44642</v>
          </cell>
          <cell r="H1911">
            <v>44644</v>
          </cell>
          <cell r="I1911" t="str">
            <v>24.03.2022</v>
          </cell>
          <cell r="J1911" t="str">
            <v>18.03.2022</v>
          </cell>
          <cell r="K1911" t="str">
            <v>-</v>
          </cell>
          <cell r="L1911" t="str">
            <v>OK</v>
          </cell>
        </row>
        <row r="1912">
          <cell r="A1912" t="str">
            <v>AMS-41080I22</v>
          </cell>
          <cell r="B1912" t="str">
            <v>41L0079382</v>
          </cell>
          <cell r="C1912" t="str">
            <v>Original</v>
          </cell>
          <cell r="D1912" t="str">
            <v>Expeditors</v>
          </cell>
          <cell r="E1912" t="str">
            <v>Technology</v>
          </cell>
          <cell r="F1912">
            <v>44634</v>
          </cell>
          <cell r="G1912">
            <v>44642</v>
          </cell>
          <cell r="H1912">
            <v>44644</v>
          </cell>
          <cell r="I1912" t="str">
            <v>24.03.2022</v>
          </cell>
          <cell r="J1912" t="str">
            <v>18.03.2022</v>
          </cell>
          <cell r="K1912" t="str">
            <v>-</v>
          </cell>
          <cell r="L1912" t="str">
            <v>OK</v>
          </cell>
        </row>
        <row r="1913">
          <cell r="A1913" t="str">
            <v>AMS-41081I22</v>
          </cell>
          <cell r="B1913" t="str">
            <v>41L0079383</v>
          </cell>
          <cell r="C1913" t="str">
            <v>Original</v>
          </cell>
          <cell r="D1913" t="str">
            <v>Expeditors</v>
          </cell>
          <cell r="E1913" t="str">
            <v>Technology</v>
          </cell>
          <cell r="F1913">
            <v>44634</v>
          </cell>
          <cell r="G1913">
            <v>44642</v>
          </cell>
          <cell r="H1913">
            <v>44644</v>
          </cell>
          <cell r="I1913" t="str">
            <v>24.03.2022</v>
          </cell>
          <cell r="J1913" t="str">
            <v>18.03.2022</v>
          </cell>
          <cell r="K1913" t="str">
            <v>-</v>
          </cell>
          <cell r="L1913" t="str">
            <v>OK</v>
          </cell>
        </row>
        <row r="1914">
          <cell r="A1914" t="str">
            <v>SHW-40601I22</v>
          </cell>
          <cell r="B1914" t="str">
            <v>EGLV149200858980</v>
          </cell>
          <cell r="C1914" t="str">
            <v>Original</v>
          </cell>
          <cell r="D1914" t="str">
            <v>Shenker</v>
          </cell>
          <cell r="E1914" t="str">
            <v>Unitrading</v>
          </cell>
          <cell r="F1914">
            <v>44638</v>
          </cell>
          <cell r="G1914">
            <v>44646</v>
          </cell>
          <cell r="H1914">
            <v>44648</v>
          </cell>
          <cell r="I1914" t="str">
            <v>21.03.2022</v>
          </cell>
          <cell r="J1914" t="str">
            <v>21.03.2022</v>
          </cell>
          <cell r="K1914" t="str">
            <v>-</v>
          </cell>
          <cell r="L1914" t="str">
            <v>OK</v>
          </cell>
        </row>
        <row r="1915">
          <cell r="A1915" t="str">
            <v>AHW-41195I22</v>
          </cell>
          <cell r="B1915">
            <v>4006875</v>
          </cell>
          <cell r="C1915" t="str">
            <v>Original</v>
          </cell>
          <cell r="D1915" t="str">
            <v>CTS</v>
          </cell>
          <cell r="E1915" t="str">
            <v>JP</v>
          </cell>
          <cell r="F1915">
            <v>44638</v>
          </cell>
          <cell r="G1915">
            <v>44646</v>
          </cell>
          <cell r="H1915">
            <v>44648</v>
          </cell>
          <cell r="I1915" t="str">
            <v>19.04.2022</v>
          </cell>
          <cell r="J1915" t="str">
            <v>11.04.2022</v>
          </cell>
          <cell r="K1915" t="str">
            <v>-</v>
          </cell>
          <cell r="L1915" t="str">
            <v>OK</v>
          </cell>
        </row>
        <row r="1916">
          <cell r="A1916" t="str">
            <v>AHW-41208I22</v>
          </cell>
          <cell r="B1916">
            <v>4007110</v>
          </cell>
          <cell r="C1916" t="str">
            <v>Original</v>
          </cell>
          <cell r="D1916" t="str">
            <v>CTS</v>
          </cell>
          <cell r="E1916" t="str">
            <v>JP</v>
          </cell>
          <cell r="F1916">
            <v>44641</v>
          </cell>
          <cell r="G1916">
            <v>44649</v>
          </cell>
          <cell r="H1916">
            <v>44651</v>
          </cell>
          <cell r="I1916" t="str">
            <v>25.03.2022</v>
          </cell>
          <cell r="J1916" t="str">
            <v>05.04.2022</v>
          </cell>
          <cell r="K1916" t="str">
            <v>-</v>
          </cell>
          <cell r="L1916" t="str">
            <v>OK</v>
          </cell>
        </row>
        <row r="1917">
          <cell r="A1917" t="str">
            <v>AHW-41209I22</v>
          </cell>
          <cell r="B1917">
            <v>4006895</v>
          </cell>
          <cell r="C1917" t="str">
            <v>Original</v>
          </cell>
          <cell r="D1917" t="str">
            <v>CTS</v>
          </cell>
          <cell r="E1917" t="str">
            <v>JP</v>
          </cell>
          <cell r="F1917">
            <v>44641</v>
          </cell>
          <cell r="G1917">
            <v>44649</v>
          </cell>
          <cell r="H1917">
            <v>44651</v>
          </cell>
          <cell r="I1917" t="str">
            <v>25.03.2022</v>
          </cell>
          <cell r="J1917" t="str">
            <v>05.04.2022</v>
          </cell>
          <cell r="K1917" t="str">
            <v>-</v>
          </cell>
          <cell r="L1917" t="str">
            <v>OK</v>
          </cell>
        </row>
        <row r="1918">
          <cell r="A1918" t="str">
            <v>AHW-41210I22</v>
          </cell>
          <cell r="B1918">
            <v>4007113</v>
          </cell>
          <cell r="C1918" t="str">
            <v>Original</v>
          </cell>
          <cell r="D1918" t="str">
            <v>CTS</v>
          </cell>
          <cell r="E1918" t="str">
            <v>JP</v>
          </cell>
          <cell r="F1918">
            <v>44641</v>
          </cell>
          <cell r="G1918">
            <v>44649</v>
          </cell>
          <cell r="H1918">
            <v>44651</v>
          </cell>
          <cell r="I1918" t="str">
            <v>25.03.2022</v>
          </cell>
          <cell r="J1918" t="str">
            <v>05.04.2022</v>
          </cell>
          <cell r="K1918" t="str">
            <v>-</v>
          </cell>
          <cell r="L1918" t="str">
            <v>OK</v>
          </cell>
        </row>
        <row r="1919">
          <cell r="A1919" t="str">
            <v>AHW-41215I22</v>
          </cell>
          <cell r="B1919">
            <v>4006898</v>
          </cell>
          <cell r="C1919" t="str">
            <v>Original</v>
          </cell>
          <cell r="D1919" t="str">
            <v>CTS</v>
          </cell>
          <cell r="E1919" t="str">
            <v>JP</v>
          </cell>
          <cell r="F1919">
            <v>44641</v>
          </cell>
          <cell r="G1919">
            <v>44649</v>
          </cell>
          <cell r="H1919">
            <v>44651</v>
          </cell>
          <cell r="I1919" t="str">
            <v>25.03.2022</v>
          </cell>
          <cell r="J1919" t="str">
            <v>05.04.2022</v>
          </cell>
          <cell r="K1919" t="str">
            <v>-</v>
          </cell>
          <cell r="L1919" t="str">
            <v>OK</v>
          </cell>
        </row>
        <row r="1920">
          <cell r="A1920" t="str">
            <v>AMS-41224I22</v>
          </cell>
          <cell r="B1920" t="str">
            <v>1Z6469V00473040082</v>
          </cell>
          <cell r="C1920" t="str">
            <v>Brasiliense</v>
          </cell>
          <cell r="D1920" t="str">
            <v>UPS</v>
          </cell>
          <cell r="E1920" t="str">
            <v>Future</v>
          </cell>
          <cell r="F1920">
            <v>44636</v>
          </cell>
          <cell r="G1920">
            <v>44644</v>
          </cell>
          <cell r="H1920">
            <v>44646</v>
          </cell>
          <cell r="I1920" t="str">
            <v>21.03.2022</v>
          </cell>
          <cell r="J1920" t="str">
            <v>22.03.2022</v>
          </cell>
          <cell r="K1920" t="str">
            <v>21.03.2022</v>
          </cell>
          <cell r="L1920" t="str">
            <v>OK</v>
          </cell>
        </row>
        <row r="1921">
          <cell r="A1921" t="str">
            <v>AMS-41227I22</v>
          </cell>
          <cell r="B1921" t="str">
            <v>1Z6469V00475665690</v>
          </cell>
          <cell r="C1921" t="str">
            <v>Brasiliense</v>
          </cell>
          <cell r="D1921" t="str">
            <v>UPS</v>
          </cell>
          <cell r="E1921" t="str">
            <v>Future</v>
          </cell>
          <cell r="F1921">
            <v>44636</v>
          </cell>
          <cell r="G1921">
            <v>44644</v>
          </cell>
          <cell r="H1921">
            <v>44646</v>
          </cell>
          <cell r="I1921" t="str">
            <v>21.03.2022</v>
          </cell>
          <cell r="J1921" t="str">
            <v>22.03.2022</v>
          </cell>
          <cell r="K1921" t="str">
            <v>21.03.2022</v>
          </cell>
          <cell r="L1921" t="str">
            <v>OK</v>
          </cell>
        </row>
        <row r="1922">
          <cell r="A1922" t="str">
            <v>AMS-41229I22</v>
          </cell>
          <cell r="B1922" t="str">
            <v>1Z6469V00473517764</v>
          </cell>
          <cell r="C1922" t="str">
            <v>Brasiliense</v>
          </cell>
          <cell r="D1922" t="str">
            <v>UPS</v>
          </cell>
          <cell r="E1922" t="str">
            <v>Future</v>
          </cell>
          <cell r="F1922">
            <v>44636</v>
          </cell>
          <cell r="G1922">
            <v>44644</v>
          </cell>
          <cell r="H1922">
            <v>44646</v>
          </cell>
          <cell r="I1922" t="str">
            <v>21.03.2022</v>
          </cell>
          <cell r="J1922" t="str">
            <v>22.03.2022</v>
          </cell>
          <cell r="K1922" t="str">
            <v>21.03.2022</v>
          </cell>
          <cell r="L1922" t="str">
            <v>OK</v>
          </cell>
        </row>
        <row r="1923">
          <cell r="A1923" t="str">
            <v>AMS-41230I22</v>
          </cell>
          <cell r="B1923" t="str">
            <v>1Z6469V00475299078</v>
          </cell>
          <cell r="C1923" t="str">
            <v>Brasiliense</v>
          </cell>
          <cell r="D1923" t="str">
            <v>UPS</v>
          </cell>
          <cell r="E1923" t="str">
            <v>Future</v>
          </cell>
          <cell r="F1923">
            <v>44636</v>
          </cell>
          <cell r="G1923">
            <v>44644</v>
          </cell>
          <cell r="H1923">
            <v>44646</v>
          </cell>
          <cell r="I1923" t="str">
            <v>21.03.2022</v>
          </cell>
          <cell r="J1923" t="str">
            <v>22.03.2022</v>
          </cell>
          <cell r="K1923" t="str">
            <v>21.03.2022</v>
          </cell>
          <cell r="L1923" t="str">
            <v>OK</v>
          </cell>
        </row>
        <row r="1924">
          <cell r="A1924" t="str">
            <v>AMS-41226I22</v>
          </cell>
          <cell r="B1924" t="str">
            <v>1Z6469V00473394718</v>
          </cell>
          <cell r="C1924" t="str">
            <v>Brasiliense</v>
          </cell>
          <cell r="D1924" t="str">
            <v>UPS</v>
          </cell>
          <cell r="E1924" t="str">
            <v>Future</v>
          </cell>
          <cell r="F1924">
            <v>44637</v>
          </cell>
          <cell r="G1924">
            <v>44645</v>
          </cell>
          <cell r="H1924">
            <v>44647</v>
          </cell>
          <cell r="I1924" t="str">
            <v>21.03.2022</v>
          </cell>
          <cell r="J1924" t="str">
            <v>22.03.2022</v>
          </cell>
          <cell r="K1924" t="str">
            <v>21.03.2022</v>
          </cell>
          <cell r="L1924" t="str">
            <v>OK</v>
          </cell>
        </row>
        <row r="1925">
          <cell r="A1925" t="str">
            <v>AMS-41225I22</v>
          </cell>
          <cell r="B1925" t="str">
            <v>1Z6469V00474681843</v>
          </cell>
          <cell r="C1925" t="str">
            <v>Brasiliense</v>
          </cell>
          <cell r="D1925" t="str">
            <v>UPS</v>
          </cell>
          <cell r="E1925" t="str">
            <v>Future</v>
          </cell>
          <cell r="F1925">
            <v>44637</v>
          </cell>
          <cell r="G1925">
            <v>44645</v>
          </cell>
          <cell r="H1925">
            <v>44647</v>
          </cell>
          <cell r="I1925" t="str">
            <v>21.03.2022</v>
          </cell>
          <cell r="J1925" t="str">
            <v>22.03.2022</v>
          </cell>
          <cell r="K1925" t="str">
            <v>21.03.2022</v>
          </cell>
          <cell r="L1925" t="str">
            <v>OK</v>
          </cell>
        </row>
        <row r="1926">
          <cell r="A1926" t="str">
            <v>AMS-41228I22</v>
          </cell>
          <cell r="B1926" t="str">
            <v>1Z6469V00475410124</v>
          </cell>
          <cell r="C1926" t="str">
            <v>Brasiliense</v>
          </cell>
          <cell r="D1926" t="str">
            <v>UPS</v>
          </cell>
          <cell r="E1926" t="str">
            <v>Future</v>
          </cell>
          <cell r="F1926">
            <v>44637</v>
          </cell>
          <cell r="G1926">
            <v>44645</v>
          </cell>
          <cell r="H1926">
            <v>44647</v>
          </cell>
          <cell r="I1926" t="str">
            <v>21.03.2022</v>
          </cell>
          <cell r="J1926" t="str">
            <v>22.03.2022</v>
          </cell>
          <cell r="K1926" t="str">
            <v>21.03.2022</v>
          </cell>
          <cell r="L1926" t="str">
            <v>OK</v>
          </cell>
        </row>
        <row r="1927">
          <cell r="A1927" t="str">
            <v>AMS-41231I22</v>
          </cell>
          <cell r="B1927" t="str">
            <v>1Z6469V00474707002</v>
          </cell>
          <cell r="C1927" t="str">
            <v>Brasiliense</v>
          </cell>
          <cell r="D1927" t="str">
            <v>UPS</v>
          </cell>
          <cell r="E1927" t="str">
            <v>Future</v>
          </cell>
          <cell r="F1927">
            <v>44637</v>
          </cell>
          <cell r="G1927">
            <v>44645</v>
          </cell>
          <cell r="H1927">
            <v>44647</v>
          </cell>
          <cell r="I1927" t="str">
            <v>11.04.2022</v>
          </cell>
          <cell r="J1927" t="str">
            <v>22.03.2022</v>
          </cell>
          <cell r="K1927" t="str">
            <v>01.04.2022</v>
          </cell>
          <cell r="L1927" t="str">
            <v>OK</v>
          </cell>
        </row>
        <row r="1928">
          <cell r="A1928" t="str">
            <v>AMS-41200I22</v>
          </cell>
          <cell r="B1928" t="str">
            <v>1Z6469V00473087792</v>
          </cell>
          <cell r="C1928" t="str">
            <v>Brasiliense</v>
          </cell>
          <cell r="D1928" t="str">
            <v>UPS</v>
          </cell>
          <cell r="E1928" t="str">
            <v>Future</v>
          </cell>
          <cell r="F1928">
            <v>44641</v>
          </cell>
          <cell r="G1928">
            <v>44649</v>
          </cell>
          <cell r="H1928">
            <v>44651</v>
          </cell>
          <cell r="I1928" t="str">
            <v>11.04.2022</v>
          </cell>
          <cell r="J1928" t="str">
            <v>05.04.2022</v>
          </cell>
          <cell r="K1928" t="str">
            <v>01.04.2022</v>
          </cell>
          <cell r="L1928" t="str">
            <v>OK</v>
          </cell>
        </row>
        <row r="1929">
          <cell r="A1929" t="str">
            <v>AMS-41201I22</v>
          </cell>
          <cell r="B1929" t="str">
            <v>1Z6469V00475703317</v>
          </cell>
          <cell r="C1929" t="str">
            <v>Brasiliense</v>
          </cell>
          <cell r="D1929" t="str">
            <v>UPS</v>
          </cell>
          <cell r="E1929" t="str">
            <v>Future</v>
          </cell>
          <cell r="F1929">
            <v>44641</v>
          </cell>
          <cell r="G1929">
            <v>44649</v>
          </cell>
          <cell r="H1929">
            <v>44651</v>
          </cell>
          <cell r="I1929" t="str">
            <v>18.04.2022</v>
          </cell>
          <cell r="J1929" t="str">
            <v>05.04.2022</v>
          </cell>
          <cell r="K1929" t="str">
            <v>01.04.2022</v>
          </cell>
          <cell r="L1929" t="str">
            <v>OK</v>
          </cell>
        </row>
        <row r="1930">
          <cell r="A1930" t="str">
            <v>AMS-41202I22</v>
          </cell>
          <cell r="B1930" t="str">
            <v>1Z6469V00474874724</v>
          </cell>
          <cell r="C1930" t="str">
            <v>Brasiliense</v>
          </cell>
          <cell r="D1930" t="str">
            <v>UPS</v>
          </cell>
          <cell r="E1930" t="str">
            <v>Future</v>
          </cell>
          <cell r="F1930">
            <v>44641</v>
          </cell>
          <cell r="G1930">
            <v>44649</v>
          </cell>
          <cell r="H1930">
            <v>44651</v>
          </cell>
          <cell r="I1930" t="str">
            <v>11.04.2022</v>
          </cell>
          <cell r="J1930" t="str">
            <v>05.04.2022</v>
          </cell>
          <cell r="K1930" t="str">
            <v>01.04.2022</v>
          </cell>
          <cell r="L1930" t="str">
            <v>OK</v>
          </cell>
        </row>
        <row r="1931">
          <cell r="A1931" t="str">
            <v>AMS-41277I22</v>
          </cell>
          <cell r="B1931" t="str">
            <v>1Z6469V00473421321</v>
          </cell>
          <cell r="C1931" t="str">
            <v>Brasiliense</v>
          </cell>
          <cell r="D1931" t="str">
            <v>UPS</v>
          </cell>
          <cell r="E1931" t="str">
            <v>Future</v>
          </cell>
          <cell r="F1931">
            <v>44641</v>
          </cell>
          <cell r="G1931">
            <v>44649</v>
          </cell>
          <cell r="H1931">
            <v>44651</v>
          </cell>
          <cell r="I1931" t="str">
            <v>11.04.2022</v>
          </cell>
          <cell r="J1931" t="str">
            <v>05.04.2022</v>
          </cell>
          <cell r="K1931" t="str">
            <v>01.04.2022</v>
          </cell>
          <cell r="L1931" t="str">
            <v>OK</v>
          </cell>
        </row>
        <row r="1932">
          <cell r="A1932" t="str">
            <v>AMS-41232I22</v>
          </cell>
          <cell r="B1932" t="str">
            <v>1Z6469V00473560805</v>
          </cell>
          <cell r="C1932" t="str">
            <v>Brasiliense</v>
          </cell>
          <cell r="D1932" t="str">
            <v>UPS</v>
          </cell>
          <cell r="E1932" t="str">
            <v>Future</v>
          </cell>
          <cell r="F1932">
            <v>44641</v>
          </cell>
          <cell r="G1932">
            <v>44649</v>
          </cell>
          <cell r="H1932">
            <v>44651</v>
          </cell>
          <cell r="I1932" t="str">
            <v>11.04.2022</v>
          </cell>
          <cell r="J1932" t="str">
            <v>05.04.2022</v>
          </cell>
          <cell r="K1932" t="str">
            <v>01.04.2022</v>
          </cell>
          <cell r="L1932" t="str">
            <v>OK</v>
          </cell>
        </row>
        <row r="1933">
          <cell r="A1933" t="str">
            <v>SHW-40600I22</v>
          </cell>
          <cell r="B1933" t="str">
            <v>EGLV149200486462</v>
          </cell>
          <cell r="C1933" t="str">
            <v>Original</v>
          </cell>
          <cell r="D1933" t="str">
            <v>Shenker</v>
          </cell>
          <cell r="E1933" t="str">
            <v>Unitrading</v>
          </cell>
          <cell r="F1933">
            <v>44649</v>
          </cell>
          <cell r="G1933">
            <v>44657</v>
          </cell>
          <cell r="H1933">
            <v>44659</v>
          </cell>
          <cell r="I1933" t="str">
            <v>08.04.2022</v>
          </cell>
          <cell r="J1933" t="str">
            <v>13.04.2022</v>
          </cell>
          <cell r="K1933" t="str">
            <v>-</v>
          </cell>
          <cell r="L1933" t="str">
            <v>OK</v>
          </cell>
        </row>
        <row r="1934">
          <cell r="A1934" t="str">
            <v>AHW-41211I22</v>
          </cell>
          <cell r="B1934">
            <v>4006884</v>
          </cell>
          <cell r="C1934" t="str">
            <v>Original</v>
          </cell>
          <cell r="D1934" t="str">
            <v>CTS</v>
          </cell>
          <cell r="E1934" t="str">
            <v>JP</v>
          </cell>
          <cell r="F1934">
            <v>44645</v>
          </cell>
          <cell r="G1934">
            <v>44653</v>
          </cell>
          <cell r="H1934">
            <v>44655</v>
          </cell>
          <cell r="I1934" t="str">
            <v>05.04.2022</v>
          </cell>
          <cell r="J1934" t="str">
            <v>05.04.2022</v>
          </cell>
          <cell r="K1934" t="str">
            <v>-</v>
          </cell>
          <cell r="L1934" t="str">
            <v>OK</v>
          </cell>
        </row>
        <row r="1935">
          <cell r="A1935" t="str">
            <v>AHW-41213I22</v>
          </cell>
          <cell r="B1935">
            <v>4006868</v>
          </cell>
          <cell r="C1935" t="str">
            <v>Original</v>
          </cell>
          <cell r="D1935" t="str">
            <v>CTS</v>
          </cell>
          <cell r="E1935" t="str">
            <v>JP</v>
          </cell>
          <cell r="F1935">
            <v>44645</v>
          </cell>
          <cell r="G1935">
            <v>44653</v>
          </cell>
          <cell r="H1935">
            <v>44655</v>
          </cell>
          <cell r="I1935" t="str">
            <v>06.04.2022</v>
          </cell>
          <cell r="J1935" t="str">
            <v>05.04.2022</v>
          </cell>
          <cell r="K1935" t="str">
            <v>-</v>
          </cell>
          <cell r="L1935" t="str">
            <v>OK</v>
          </cell>
        </row>
        <row r="1936">
          <cell r="A1936" t="str">
            <v>AHW-41193I22</v>
          </cell>
          <cell r="B1936">
            <v>4006876</v>
          </cell>
          <cell r="C1936" t="str">
            <v>Original</v>
          </cell>
          <cell r="D1936" t="str">
            <v>CTS</v>
          </cell>
          <cell r="E1936" t="str">
            <v>JP</v>
          </cell>
          <cell r="F1936">
            <v>44649</v>
          </cell>
          <cell r="G1936">
            <v>44657</v>
          </cell>
          <cell r="H1936">
            <v>44659</v>
          </cell>
          <cell r="I1936" t="str">
            <v>07.04.2022</v>
          </cell>
          <cell r="J1936" t="str">
            <v>11.04.2022</v>
          </cell>
          <cell r="K1936" t="str">
            <v>-</v>
          </cell>
          <cell r="L1936" t="str">
            <v>OK</v>
          </cell>
        </row>
        <row r="1937">
          <cell r="A1937" t="str">
            <v>AHW-41194I22</v>
          </cell>
          <cell r="B1937">
            <v>4006872</v>
          </cell>
          <cell r="C1937" t="str">
            <v>Original</v>
          </cell>
          <cell r="D1937" t="str">
            <v>CTS</v>
          </cell>
          <cell r="E1937" t="str">
            <v>JP</v>
          </cell>
          <cell r="F1937">
            <v>44649</v>
          </cell>
          <cell r="G1937">
            <v>44657</v>
          </cell>
          <cell r="H1937">
            <v>44659</v>
          </cell>
          <cell r="I1937" t="str">
            <v>06.04.2022</v>
          </cell>
          <cell r="J1937" t="str">
            <v>11.04.2022</v>
          </cell>
          <cell r="K1937" t="str">
            <v>-</v>
          </cell>
          <cell r="L1937" t="str">
            <v>OK</v>
          </cell>
        </row>
        <row r="1938">
          <cell r="A1938" t="str">
            <v>AHW-41212I22</v>
          </cell>
          <cell r="B1938">
            <v>4007129</v>
          </cell>
          <cell r="C1938" t="str">
            <v>Original</v>
          </cell>
          <cell r="D1938" t="str">
            <v>CTS</v>
          </cell>
          <cell r="E1938" t="str">
            <v>JP</v>
          </cell>
          <cell r="F1938">
            <v>44649</v>
          </cell>
          <cell r="G1938">
            <v>44657</v>
          </cell>
          <cell r="H1938">
            <v>44659</v>
          </cell>
          <cell r="I1938" t="str">
            <v>07.04.2022</v>
          </cell>
          <cell r="J1938" t="str">
            <v>11.04.2022</v>
          </cell>
          <cell r="K1938" t="str">
            <v>-</v>
          </cell>
          <cell r="L1938" t="str">
            <v>OK</v>
          </cell>
        </row>
        <row r="1939">
          <cell r="A1939" t="str">
            <v>AHW-41214I22</v>
          </cell>
          <cell r="B1939">
            <v>4006901</v>
          </cell>
          <cell r="C1939" t="str">
            <v>Original</v>
          </cell>
          <cell r="D1939" t="str">
            <v>CTS</v>
          </cell>
          <cell r="E1939" t="str">
            <v>JP</v>
          </cell>
          <cell r="F1939">
            <v>44649</v>
          </cell>
          <cell r="G1939">
            <v>44657</v>
          </cell>
          <cell r="H1939">
            <v>44659</v>
          </cell>
          <cell r="I1939" t="str">
            <v>06.04.2022</v>
          </cell>
          <cell r="J1939" t="str">
            <v>05.04.2022</v>
          </cell>
          <cell r="K1939" t="str">
            <v>-</v>
          </cell>
          <cell r="L1939" t="str">
            <v>OK</v>
          </cell>
        </row>
        <row r="1940">
          <cell r="A1940" t="str">
            <v>AHW-41216I22</v>
          </cell>
          <cell r="B1940">
            <v>4007130</v>
          </cell>
          <cell r="C1940" t="str">
            <v>Original</v>
          </cell>
          <cell r="D1940" t="str">
            <v>CTS</v>
          </cell>
          <cell r="E1940" t="str">
            <v>JP</v>
          </cell>
          <cell r="F1940">
            <v>44649</v>
          </cell>
          <cell r="G1940">
            <v>44657</v>
          </cell>
          <cell r="H1940">
            <v>44659</v>
          </cell>
          <cell r="I1940" t="str">
            <v>07.04.2022</v>
          </cell>
          <cell r="J1940" t="str">
            <v>11.04.2022</v>
          </cell>
          <cell r="K1940" t="str">
            <v>-</v>
          </cell>
          <cell r="L1940" t="str">
            <v>OK</v>
          </cell>
        </row>
        <row r="1941">
          <cell r="A1941" t="str">
            <v>AHW-41217I22</v>
          </cell>
          <cell r="B1941">
            <v>4007132</v>
          </cell>
          <cell r="C1941" t="str">
            <v>Original</v>
          </cell>
          <cell r="D1941" t="str">
            <v>CTS</v>
          </cell>
          <cell r="E1941" t="str">
            <v>JP</v>
          </cell>
          <cell r="F1941">
            <v>44649</v>
          </cell>
          <cell r="G1941">
            <v>44657</v>
          </cell>
          <cell r="H1941">
            <v>44659</v>
          </cell>
          <cell r="I1941" t="str">
            <v>07.04.2022</v>
          </cell>
          <cell r="J1941" t="str">
            <v>11.04.2022</v>
          </cell>
          <cell r="K1941" t="str">
            <v>-</v>
          </cell>
          <cell r="L1941" t="str">
            <v>OK</v>
          </cell>
        </row>
        <row r="1942">
          <cell r="A1942" t="str">
            <v>AHW-41233I22</v>
          </cell>
          <cell r="B1942">
            <v>4007173</v>
          </cell>
          <cell r="C1942" t="str">
            <v>Original</v>
          </cell>
          <cell r="D1942" t="str">
            <v>CTS</v>
          </cell>
          <cell r="E1942" t="str">
            <v>JP</v>
          </cell>
          <cell r="F1942">
            <v>44649</v>
          </cell>
          <cell r="G1942">
            <v>44657</v>
          </cell>
          <cell r="H1942">
            <v>44659</v>
          </cell>
          <cell r="I1942" t="str">
            <v>07.04.2022</v>
          </cell>
          <cell r="J1942" t="str">
            <v>11.04.2022</v>
          </cell>
          <cell r="K1942" t="str">
            <v>-</v>
          </cell>
          <cell r="L1942" t="str">
            <v>OK</v>
          </cell>
        </row>
        <row r="1943">
          <cell r="A1943" t="str">
            <v>AHW-41234I22</v>
          </cell>
          <cell r="B1943">
            <v>4007150</v>
          </cell>
          <cell r="C1943" t="str">
            <v>Original</v>
          </cell>
          <cell r="D1943" t="str">
            <v>CTS</v>
          </cell>
          <cell r="E1943" t="str">
            <v>JP</v>
          </cell>
          <cell r="F1943">
            <v>44649</v>
          </cell>
          <cell r="G1943">
            <v>44657</v>
          </cell>
          <cell r="H1943">
            <v>44659</v>
          </cell>
          <cell r="I1943" t="str">
            <v>07.04.2022</v>
          </cell>
          <cell r="J1943" t="str">
            <v>11.04.2022</v>
          </cell>
          <cell r="K1943" t="str">
            <v>-</v>
          </cell>
          <cell r="L1943" t="str">
            <v>OK</v>
          </cell>
        </row>
        <row r="1944">
          <cell r="A1944" t="str">
            <v>AHW-41235I22</v>
          </cell>
          <cell r="B1944">
            <v>4007174</v>
          </cell>
          <cell r="C1944" t="str">
            <v>Original</v>
          </cell>
          <cell r="D1944" t="str">
            <v>CTS</v>
          </cell>
          <cell r="E1944" t="str">
            <v>JP</v>
          </cell>
          <cell r="F1944">
            <v>44649</v>
          </cell>
          <cell r="G1944">
            <v>44657</v>
          </cell>
          <cell r="H1944">
            <v>44659</v>
          </cell>
          <cell r="I1944" t="str">
            <v>07.04.2022</v>
          </cell>
          <cell r="J1944" t="str">
            <v>11.04.2022</v>
          </cell>
          <cell r="K1944" t="str">
            <v>-</v>
          </cell>
          <cell r="L1944" t="str">
            <v>OK</v>
          </cell>
        </row>
        <row r="1945">
          <cell r="A1945" t="str">
            <v>AHW-41280I22</v>
          </cell>
          <cell r="B1945">
            <v>4007175</v>
          </cell>
          <cell r="C1945" t="str">
            <v>Original</v>
          </cell>
          <cell r="D1945" t="str">
            <v>CTS</v>
          </cell>
          <cell r="E1945" t="str">
            <v>JP</v>
          </cell>
          <cell r="F1945">
            <v>44649</v>
          </cell>
          <cell r="G1945">
            <v>44657</v>
          </cell>
          <cell r="H1945">
            <v>44659</v>
          </cell>
          <cell r="I1945" t="str">
            <v>07.04.2022</v>
          </cell>
          <cell r="J1945" t="str">
            <v>11.04.2022</v>
          </cell>
          <cell r="K1945" t="str">
            <v>-</v>
          </cell>
          <cell r="L1945" t="str">
            <v>OK</v>
          </cell>
        </row>
        <row r="1946">
          <cell r="A1946" t="str">
            <v>AMS-41376I22</v>
          </cell>
          <cell r="B1946" t="str">
            <v>1Z6469V00475791606</v>
          </cell>
          <cell r="C1946" t="str">
            <v>Brasiliense</v>
          </cell>
          <cell r="D1946" t="str">
            <v>UPS</v>
          </cell>
          <cell r="E1946" t="str">
            <v>Future</v>
          </cell>
          <cell r="F1946">
            <v>44650</v>
          </cell>
          <cell r="G1946">
            <v>44658</v>
          </cell>
          <cell r="H1946">
            <v>44660</v>
          </cell>
          <cell r="I1946" t="str">
            <v>11.04.2022</v>
          </cell>
          <cell r="J1946" t="str">
            <v>05.04.2022</v>
          </cell>
          <cell r="K1946" t="str">
            <v>04.04.2022</v>
          </cell>
          <cell r="L1946" t="str">
            <v>OK</v>
          </cell>
        </row>
        <row r="1947">
          <cell r="A1947" t="str">
            <v>AMS-41377I22</v>
          </cell>
          <cell r="B1947" t="str">
            <v>1Z6469V00475363597</v>
          </cell>
          <cell r="C1947" t="str">
            <v>Brasiliense</v>
          </cell>
          <cell r="D1947" t="str">
            <v>UPS</v>
          </cell>
          <cell r="E1947" t="str">
            <v>Future</v>
          </cell>
          <cell r="F1947">
            <v>44650</v>
          </cell>
          <cell r="G1947">
            <v>44658</v>
          </cell>
          <cell r="H1947">
            <v>44660</v>
          </cell>
          <cell r="I1947" t="str">
            <v>11.04.2022</v>
          </cell>
          <cell r="J1947" t="str">
            <v>05.04.2022</v>
          </cell>
          <cell r="K1947" t="str">
            <v>04.04.2022</v>
          </cell>
          <cell r="L1947" t="str">
            <v>OK</v>
          </cell>
        </row>
        <row r="1948">
          <cell r="A1948" t="str">
            <v>AMS-41378I22</v>
          </cell>
          <cell r="B1948" t="str">
            <v>1Z6469V00473016500</v>
          </cell>
          <cell r="C1948" t="str">
            <v>Brasiliense</v>
          </cell>
          <cell r="D1948" t="str">
            <v>UPS</v>
          </cell>
          <cell r="E1948" t="str">
            <v>Future</v>
          </cell>
          <cell r="F1948">
            <v>44650</v>
          </cell>
          <cell r="G1948">
            <v>44658</v>
          </cell>
          <cell r="H1948">
            <v>44660</v>
          </cell>
          <cell r="I1948" t="str">
            <v>11.04.2022</v>
          </cell>
          <cell r="J1948" t="str">
            <v>05.04.2022</v>
          </cell>
          <cell r="K1948" t="str">
            <v>04.04.2022</v>
          </cell>
          <cell r="L1948" t="str">
            <v>OK</v>
          </cell>
        </row>
        <row r="1949">
          <cell r="A1949" t="str">
            <v>AMS-41379I22</v>
          </cell>
          <cell r="B1949" t="str">
            <v>1Z6469V00473122565</v>
          </cell>
          <cell r="C1949" t="str">
            <v>Brasiliense</v>
          </cell>
          <cell r="D1949" t="str">
            <v>UPS</v>
          </cell>
          <cell r="E1949" t="str">
            <v>Future</v>
          </cell>
          <cell r="F1949">
            <v>44650</v>
          </cell>
          <cell r="G1949">
            <v>44658</v>
          </cell>
          <cell r="H1949">
            <v>44660</v>
          </cell>
          <cell r="I1949" t="str">
            <v>11.04.2022</v>
          </cell>
          <cell r="J1949" t="str">
            <v>05.04.2022</v>
          </cell>
          <cell r="K1949" t="str">
            <v>04.04.2022</v>
          </cell>
          <cell r="L1949" t="str">
            <v>OK</v>
          </cell>
        </row>
        <row r="1950">
          <cell r="A1950" t="str">
            <v>SHW-45466I21</v>
          </cell>
          <cell r="B1950" t="str">
            <v>EGLV149114223849</v>
          </cell>
          <cell r="C1950" t="str">
            <v>Original</v>
          </cell>
          <cell r="D1950" t="str">
            <v>Shenker</v>
          </cell>
          <cell r="E1950" t="str">
            <v>Unitrading</v>
          </cell>
          <cell r="F1950">
            <v>44546</v>
          </cell>
          <cell r="G1950">
            <v>44554</v>
          </cell>
          <cell r="H1950">
            <v>44556</v>
          </cell>
          <cell r="I1950" t="str">
            <v>06.01.2022</v>
          </cell>
          <cell r="J1950" t="str">
            <v>17.12.2021</v>
          </cell>
          <cell r="K1950" t="str">
            <v>-</v>
          </cell>
          <cell r="L1950" t="str">
            <v>OK</v>
          </cell>
        </row>
        <row r="1951">
          <cell r="A1951" t="str">
            <v>SHW-45470I21</v>
          </cell>
          <cell r="B1951" t="str">
            <v>EGLV149114149665</v>
          </cell>
          <cell r="C1951" t="str">
            <v>Original</v>
          </cell>
          <cell r="D1951" t="str">
            <v>Shenker</v>
          </cell>
          <cell r="E1951" t="str">
            <v>Unitrading</v>
          </cell>
          <cell r="F1951">
            <v>44551</v>
          </cell>
          <cell r="G1951">
            <v>44559</v>
          </cell>
          <cell r="H1951">
            <v>44561</v>
          </cell>
          <cell r="I1951" t="str">
            <v>06.01.2022</v>
          </cell>
          <cell r="J1951" t="str">
            <v>03.01.2022</v>
          </cell>
          <cell r="K1951" t="str">
            <v>-</v>
          </cell>
          <cell r="L1951" t="str">
            <v>OK</v>
          </cell>
        </row>
        <row r="1952">
          <cell r="A1952" t="str">
            <v>SHW-45471I21</v>
          </cell>
          <cell r="B1952" t="str">
            <v>EGLV149114247721</v>
          </cell>
          <cell r="C1952" t="str">
            <v>Original</v>
          </cell>
          <cell r="D1952" t="str">
            <v>Shenker</v>
          </cell>
          <cell r="E1952" t="str">
            <v>Unitrading</v>
          </cell>
          <cell r="F1952">
            <v>44551</v>
          </cell>
          <cell r="G1952">
            <v>44559</v>
          </cell>
          <cell r="H1952">
            <v>44561</v>
          </cell>
          <cell r="I1952" t="str">
            <v>06.01.2022</v>
          </cell>
          <cell r="J1952" t="str">
            <v>03.01.2022</v>
          </cell>
          <cell r="K1952" t="str">
            <v>-</v>
          </cell>
          <cell r="L1952" t="str">
            <v>OK</v>
          </cell>
        </row>
        <row r="1953">
          <cell r="A1953" t="str">
            <v>SHW-45472I21</v>
          </cell>
          <cell r="B1953" t="str">
            <v>EGLV149114318793</v>
          </cell>
          <cell r="C1953" t="str">
            <v>Original</v>
          </cell>
          <cell r="D1953" t="str">
            <v>Shenker</v>
          </cell>
          <cell r="E1953" t="str">
            <v>Unitrading</v>
          </cell>
          <cell r="F1953">
            <v>44551</v>
          </cell>
          <cell r="G1953">
            <v>44559</v>
          </cell>
          <cell r="H1953">
            <v>44561</v>
          </cell>
          <cell r="I1953" t="str">
            <v>06.01.2022</v>
          </cell>
          <cell r="J1953" t="str">
            <v>03.01.2022</v>
          </cell>
          <cell r="K1953" t="str">
            <v>-</v>
          </cell>
          <cell r="L1953" t="str">
            <v>OK</v>
          </cell>
        </row>
        <row r="1954">
          <cell r="A1954" t="str">
            <v>SHW-45474I21</v>
          </cell>
          <cell r="B1954" t="str">
            <v>EGLV149114272041</v>
          </cell>
          <cell r="C1954" t="str">
            <v>Original</v>
          </cell>
          <cell r="D1954" t="str">
            <v>Shenker</v>
          </cell>
          <cell r="E1954" t="str">
            <v>Unitrading</v>
          </cell>
          <cell r="F1954">
            <v>44551</v>
          </cell>
          <cell r="G1954">
            <v>44559</v>
          </cell>
          <cell r="H1954">
            <v>44561</v>
          </cell>
          <cell r="I1954" t="str">
            <v>06.01.2022</v>
          </cell>
          <cell r="J1954" t="str">
            <v>03.01.2022</v>
          </cell>
          <cell r="K1954" t="str">
            <v>-</v>
          </cell>
          <cell r="L1954" t="str">
            <v>OK</v>
          </cell>
        </row>
        <row r="1955">
          <cell r="A1955" t="str">
            <v>SHW-45475I21</v>
          </cell>
          <cell r="B1955" t="str">
            <v>EGLV149114344867</v>
          </cell>
          <cell r="C1955" t="str">
            <v>Original</v>
          </cell>
          <cell r="D1955" t="str">
            <v>Shenker</v>
          </cell>
          <cell r="E1955" t="str">
            <v>Unitrading</v>
          </cell>
          <cell r="F1955">
            <v>44552</v>
          </cell>
          <cell r="G1955">
            <v>44560</v>
          </cell>
          <cell r="H1955">
            <v>44562</v>
          </cell>
          <cell r="I1955" t="str">
            <v>06.01.2022</v>
          </cell>
          <cell r="J1955" t="str">
            <v>03.01.2022</v>
          </cell>
          <cell r="K1955" t="str">
            <v>-</v>
          </cell>
          <cell r="L1955" t="str">
            <v>OK</v>
          </cell>
        </row>
        <row r="1956">
          <cell r="A1956" t="str">
            <v>SHW-45564I21</v>
          </cell>
          <cell r="B1956" t="str">
            <v>EGLV149114362148</v>
          </cell>
          <cell r="C1956" t="str">
            <v>Original</v>
          </cell>
          <cell r="D1956" t="str">
            <v>Shenker</v>
          </cell>
          <cell r="E1956" t="str">
            <v>Unitrading</v>
          </cell>
          <cell r="F1956">
            <v>44552</v>
          </cell>
          <cell r="G1956">
            <v>44560</v>
          </cell>
          <cell r="H1956">
            <v>44562</v>
          </cell>
          <cell r="I1956" t="str">
            <v>06.01.2022</v>
          </cell>
          <cell r="J1956" t="str">
            <v>03.01.2022</v>
          </cell>
          <cell r="K1956" t="str">
            <v>-</v>
          </cell>
          <cell r="L1956" t="str">
            <v>OK</v>
          </cell>
        </row>
        <row r="1957">
          <cell r="A1957" t="str">
            <v>SHW-45567I21</v>
          </cell>
          <cell r="B1957" t="str">
            <v>EGLV149114160987</v>
          </cell>
          <cell r="C1957" t="str">
            <v>Original</v>
          </cell>
          <cell r="D1957" t="str">
            <v>Shenker</v>
          </cell>
          <cell r="E1957" t="str">
            <v>Unitrading</v>
          </cell>
          <cell r="F1957">
            <v>44550</v>
          </cell>
          <cell r="G1957">
            <v>44558</v>
          </cell>
          <cell r="H1957">
            <v>44560</v>
          </cell>
          <cell r="I1957" t="str">
            <v>06.01.2022</v>
          </cell>
          <cell r="J1957" t="str">
            <v>20.12.2022</v>
          </cell>
          <cell r="K1957" t="str">
            <v>-</v>
          </cell>
          <cell r="L1957" t="str">
            <v>OK</v>
          </cell>
        </row>
        <row r="1958">
          <cell r="A1958" t="str">
            <v>AMS-41415I22</v>
          </cell>
          <cell r="B1958">
            <v>391482477</v>
          </cell>
          <cell r="C1958" t="str">
            <v>Original</v>
          </cell>
          <cell r="D1958" t="str">
            <v>PGL</v>
          </cell>
          <cell r="E1958" t="str">
            <v>Technology</v>
          </cell>
          <cell r="F1958">
            <v>44657</v>
          </cell>
          <cell r="G1958">
            <v>44665</v>
          </cell>
          <cell r="H1958">
            <v>44667</v>
          </cell>
          <cell r="I1958" t="str">
            <v>14.04.2022</v>
          </cell>
          <cell r="J1958" t="str">
            <v>12.04.2022</v>
          </cell>
          <cell r="K1958" t="str">
            <v>-</v>
          </cell>
          <cell r="L1958" t="str">
            <v>OK</v>
          </cell>
        </row>
        <row r="1959">
          <cell r="A1959" t="str">
            <v>AMS-41418I22</v>
          </cell>
          <cell r="B1959">
            <v>391482480</v>
          </cell>
          <cell r="C1959" t="str">
            <v>Original</v>
          </cell>
          <cell r="D1959" t="str">
            <v>PGL</v>
          </cell>
          <cell r="E1959" t="str">
            <v>Technology</v>
          </cell>
          <cell r="F1959">
            <v>44657</v>
          </cell>
          <cell r="G1959">
            <v>44665</v>
          </cell>
          <cell r="H1959">
            <v>44667</v>
          </cell>
          <cell r="I1959" t="str">
            <v>14.04.2022</v>
          </cell>
          <cell r="J1959" t="str">
            <v>12.04.2022</v>
          </cell>
          <cell r="K1959" t="str">
            <v>-</v>
          </cell>
          <cell r="L1959" t="str">
            <v>OK</v>
          </cell>
        </row>
        <row r="1960">
          <cell r="A1960" t="str">
            <v>AMS-41419I22</v>
          </cell>
          <cell r="B1960">
            <v>391655619</v>
          </cell>
          <cell r="C1960" t="str">
            <v>Original</v>
          </cell>
          <cell r="D1960" t="str">
            <v>PGL</v>
          </cell>
          <cell r="E1960" t="str">
            <v>Buick</v>
          </cell>
          <cell r="F1960">
            <v>44657</v>
          </cell>
          <cell r="G1960">
            <v>44665</v>
          </cell>
          <cell r="H1960">
            <v>44667</v>
          </cell>
          <cell r="I1960" t="str">
            <v>18.04.2022</v>
          </cell>
          <cell r="J1960" t="str">
            <v>02.05.2022</v>
          </cell>
          <cell r="K1960" t="str">
            <v>-</v>
          </cell>
          <cell r="L1960" t="str">
            <v>OK</v>
          </cell>
        </row>
        <row r="1961">
          <cell r="A1961" t="str">
            <v>AMS-41420I22</v>
          </cell>
          <cell r="B1961">
            <v>391656140</v>
          </cell>
          <cell r="C1961" t="str">
            <v>Original</v>
          </cell>
          <cell r="D1961" t="str">
            <v>PGL</v>
          </cell>
          <cell r="E1961" t="str">
            <v>Buick</v>
          </cell>
          <cell r="F1961">
            <v>44657</v>
          </cell>
          <cell r="G1961">
            <v>44665</v>
          </cell>
          <cell r="H1961">
            <v>44667</v>
          </cell>
          <cell r="I1961" t="str">
            <v>14.04.2022</v>
          </cell>
          <cell r="J1961" t="str">
            <v>11.04.2022</v>
          </cell>
          <cell r="K1961" t="str">
            <v>-</v>
          </cell>
          <cell r="L1961" t="str">
            <v>OK</v>
          </cell>
        </row>
        <row r="1962">
          <cell r="A1962" t="str">
            <v>SHW-40950I22</v>
          </cell>
          <cell r="B1962" t="str">
            <v>EGLV149200486471</v>
          </cell>
          <cell r="C1962" t="str">
            <v>Original</v>
          </cell>
          <cell r="D1962" t="str">
            <v>Shenker</v>
          </cell>
          <cell r="E1962" t="str">
            <v>Unitrading</v>
          </cell>
          <cell r="F1962">
            <v>44659</v>
          </cell>
          <cell r="G1962">
            <v>44667</v>
          </cell>
          <cell r="H1962">
            <v>44669</v>
          </cell>
          <cell r="I1962" t="str">
            <v>14.04.2022</v>
          </cell>
          <cell r="J1962" t="str">
            <v>27.04.2022</v>
          </cell>
          <cell r="K1962" t="str">
            <v>-</v>
          </cell>
          <cell r="L1962" t="str">
            <v>OK</v>
          </cell>
        </row>
        <row r="1963">
          <cell r="A1963" t="str">
            <v>AHW-41281I22</v>
          </cell>
          <cell r="B1963">
            <v>4007270</v>
          </cell>
          <cell r="C1963" t="str">
            <v>Original</v>
          </cell>
          <cell r="D1963" t="str">
            <v>CTS</v>
          </cell>
          <cell r="E1963" t="str">
            <v>JP</v>
          </cell>
          <cell r="F1963">
            <v>44651</v>
          </cell>
          <cell r="G1963">
            <v>44659</v>
          </cell>
          <cell r="H1963">
            <v>44661</v>
          </cell>
          <cell r="I1963" t="str">
            <v>07.04.2022</v>
          </cell>
          <cell r="J1963" t="str">
            <v>11.04.2022</v>
          </cell>
          <cell r="K1963" t="str">
            <v>-</v>
          </cell>
          <cell r="L1963" t="str">
            <v>OK</v>
          </cell>
        </row>
        <row r="1964">
          <cell r="A1964" t="str">
            <v>AHW-41592I22</v>
          </cell>
          <cell r="B1964">
            <v>4007496</v>
          </cell>
          <cell r="C1964" t="str">
            <v>Original</v>
          </cell>
          <cell r="D1964" t="str">
            <v>CTS</v>
          </cell>
          <cell r="E1964" t="str">
            <v>JP</v>
          </cell>
          <cell r="F1964">
            <v>44659</v>
          </cell>
          <cell r="G1964">
            <v>44667</v>
          </cell>
          <cell r="H1964">
            <v>44669</v>
          </cell>
          <cell r="I1964" t="str">
            <v>18.04.2022</v>
          </cell>
          <cell r="J1964" t="str">
            <v>20.04.2022</v>
          </cell>
          <cell r="K1964" t="str">
            <v>-</v>
          </cell>
          <cell r="L1964" t="str">
            <v>OK</v>
          </cell>
        </row>
        <row r="1965">
          <cell r="A1965" t="str">
            <v>AHW-41380I22</v>
          </cell>
          <cell r="B1965">
            <v>4007355</v>
          </cell>
          <cell r="C1965" t="str">
            <v>Original</v>
          </cell>
          <cell r="D1965" t="str">
            <v>CTS</v>
          </cell>
          <cell r="E1965" t="str">
            <v>JP</v>
          </cell>
          <cell r="F1965">
            <v>44662</v>
          </cell>
          <cell r="G1965">
            <v>44670</v>
          </cell>
          <cell r="H1965">
            <v>44672</v>
          </cell>
          <cell r="I1965" t="str">
            <v>20.04.2022</v>
          </cell>
          <cell r="J1965" t="str">
            <v>20.04.2022</v>
          </cell>
          <cell r="K1965" t="str">
            <v>-</v>
          </cell>
          <cell r="L1965" t="str">
            <v>OK</v>
          </cell>
        </row>
        <row r="1966">
          <cell r="A1966" t="str">
            <v>AHW-41388I22</v>
          </cell>
          <cell r="B1966">
            <v>4007454</v>
          </cell>
          <cell r="C1966" t="str">
            <v>Original</v>
          </cell>
          <cell r="D1966" t="str">
            <v>CTS</v>
          </cell>
          <cell r="E1966" t="str">
            <v>JP</v>
          </cell>
          <cell r="F1966">
            <v>44662</v>
          </cell>
          <cell r="G1966">
            <v>44670</v>
          </cell>
          <cell r="H1966">
            <v>44672</v>
          </cell>
          <cell r="I1966" t="str">
            <v>14.04.2022</v>
          </cell>
          <cell r="J1966" t="str">
            <v>20.04.2022</v>
          </cell>
          <cell r="K1966" t="str">
            <v>-</v>
          </cell>
          <cell r="L1966" t="str">
            <v>OK</v>
          </cell>
        </row>
        <row r="1967">
          <cell r="A1967" t="str">
            <v>AHW-41390I22</v>
          </cell>
          <cell r="B1967">
            <v>4007438</v>
          </cell>
          <cell r="C1967" t="str">
            <v>Original</v>
          </cell>
          <cell r="D1967" t="str">
            <v>CTS</v>
          </cell>
          <cell r="E1967" t="str">
            <v>JP</v>
          </cell>
          <cell r="F1967">
            <v>44659</v>
          </cell>
          <cell r="G1967">
            <v>44667</v>
          </cell>
          <cell r="H1967">
            <v>44669</v>
          </cell>
          <cell r="I1967" t="str">
            <v>18.04.2022</v>
          </cell>
          <cell r="J1967" t="str">
            <v>12.04.2022</v>
          </cell>
          <cell r="K1967" t="str">
            <v>-</v>
          </cell>
          <cell r="L1967" t="str">
            <v>OK</v>
          </cell>
        </row>
        <row r="1968">
          <cell r="A1968" t="str">
            <v>AHW-41595I22</v>
          </cell>
          <cell r="B1968">
            <v>4007778</v>
          </cell>
          <cell r="C1968" t="str">
            <v>Original</v>
          </cell>
          <cell r="D1968" t="str">
            <v>CTS</v>
          </cell>
          <cell r="E1968" t="str">
            <v>JP</v>
          </cell>
          <cell r="F1968">
            <v>44659</v>
          </cell>
          <cell r="G1968">
            <v>44667</v>
          </cell>
          <cell r="H1968">
            <v>44669</v>
          </cell>
          <cell r="I1968" t="str">
            <v>18.04.2022</v>
          </cell>
          <cell r="J1968" t="str">
            <v>12.04.2022</v>
          </cell>
          <cell r="K1968" t="str">
            <v>-</v>
          </cell>
          <cell r="L1968" t="str">
            <v>OK</v>
          </cell>
        </row>
        <row r="1969">
          <cell r="A1969" t="str">
            <v>AHW-41391I22</v>
          </cell>
          <cell r="B1969">
            <v>4007357</v>
          </cell>
          <cell r="C1969" t="str">
            <v>Original</v>
          </cell>
          <cell r="D1969" t="str">
            <v>CTS</v>
          </cell>
          <cell r="E1969" t="str">
            <v>JP</v>
          </cell>
          <cell r="F1969">
            <v>44662</v>
          </cell>
          <cell r="G1969">
            <v>44670</v>
          </cell>
          <cell r="H1969">
            <v>44672</v>
          </cell>
          <cell r="I1969" t="str">
            <v>18.04.2022</v>
          </cell>
          <cell r="J1969" t="str">
            <v>20.04.2022</v>
          </cell>
          <cell r="K1969" t="str">
            <v>-</v>
          </cell>
          <cell r="L1969" t="str">
            <v>OK</v>
          </cell>
        </row>
        <row r="1970">
          <cell r="A1970" t="str">
            <v>AHW-41593I22</v>
          </cell>
          <cell r="B1970">
            <v>4007517</v>
          </cell>
          <cell r="C1970" t="str">
            <v>Original</v>
          </cell>
          <cell r="D1970" t="str">
            <v>CTS</v>
          </cell>
          <cell r="E1970" t="str">
            <v>JP</v>
          </cell>
          <cell r="F1970">
            <v>44659</v>
          </cell>
          <cell r="G1970">
            <v>44667</v>
          </cell>
          <cell r="H1970">
            <v>44669</v>
          </cell>
          <cell r="I1970" t="str">
            <v>18.04.2022</v>
          </cell>
          <cell r="J1970" t="str">
            <v>12.04.2022</v>
          </cell>
          <cell r="K1970" t="str">
            <v>-</v>
          </cell>
          <cell r="L1970" t="str">
            <v>OK</v>
          </cell>
        </row>
        <row r="1971">
          <cell r="A1971" t="str">
            <v>AHW-41489I22</v>
          </cell>
          <cell r="B1971">
            <v>4007470</v>
          </cell>
          <cell r="C1971" t="str">
            <v>Original</v>
          </cell>
          <cell r="D1971" t="str">
            <v>CTS</v>
          </cell>
          <cell r="E1971" t="str">
            <v>JP</v>
          </cell>
          <cell r="F1971">
            <v>44662</v>
          </cell>
          <cell r="G1971">
            <v>44670</v>
          </cell>
          <cell r="H1971">
            <v>44672</v>
          </cell>
          <cell r="I1971" t="str">
            <v>18.04.2022</v>
          </cell>
          <cell r="J1971" t="str">
            <v>20.04.2022</v>
          </cell>
          <cell r="K1971" t="str">
            <v>-</v>
          </cell>
          <cell r="L1971" t="str">
            <v>OK</v>
          </cell>
        </row>
        <row r="1972">
          <cell r="A1972" t="str">
            <v>AHW-41382I22</v>
          </cell>
          <cell r="B1972">
            <v>4007353</v>
          </cell>
          <cell r="C1972" t="str">
            <v>Original</v>
          </cell>
          <cell r="D1972" t="str">
            <v>CTS</v>
          </cell>
          <cell r="E1972" t="str">
            <v>JP</v>
          </cell>
          <cell r="F1972">
            <v>44664</v>
          </cell>
          <cell r="G1972">
            <v>44672</v>
          </cell>
          <cell r="H1972">
            <v>44674</v>
          </cell>
          <cell r="I1972" t="str">
            <v>19.04.2022</v>
          </cell>
          <cell r="J1972" t="str">
            <v>20.04.2022</v>
          </cell>
          <cell r="K1972" t="str">
            <v>-</v>
          </cell>
          <cell r="L1972" t="str">
            <v>OK</v>
          </cell>
        </row>
        <row r="1973">
          <cell r="A1973" t="str">
            <v>AHW-41386I22</v>
          </cell>
          <cell r="B1973">
            <v>4007269</v>
          </cell>
          <cell r="C1973" t="str">
            <v>Original</v>
          </cell>
          <cell r="D1973" t="str">
            <v>CTS</v>
          </cell>
          <cell r="E1973" t="str">
            <v>JP</v>
          </cell>
          <cell r="F1973">
            <v>44664</v>
          </cell>
          <cell r="G1973">
            <v>44672</v>
          </cell>
          <cell r="H1973">
            <v>44674</v>
          </cell>
          <cell r="I1973" t="str">
            <v>19.04.2022</v>
          </cell>
          <cell r="J1973" t="str">
            <v>20.04.2022</v>
          </cell>
          <cell r="K1973" t="str">
            <v>-</v>
          </cell>
          <cell r="L1973" t="str">
            <v>OK</v>
          </cell>
        </row>
        <row r="1974">
          <cell r="A1974" t="str">
            <v>AHW-41389I22</v>
          </cell>
          <cell r="B1974">
            <v>4007469</v>
          </cell>
          <cell r="C1974" t="str">
            <v>Original</v>
          </cell>
          <cell r="D1974" t="str">
            <v>CTS</v>
          </cell>
          <cell r="E1974" t="str">
            <v>JP</v>
          </cell>
          <cell r="F1974">
            <v>44664</v>
          </cell>
          <cell r="G1974">
            <v>44672</v>
          </cell>
          <cell r="H1974">
            <v>44674</v>
          </cell>
          <cell r="I1974" t="str">
            <v>19.04.2022</v>
          </cell>
          <cell r="J1974" t="str">
            <v>20.04.2022</v>
          </cell>
          <cell r="K1974" t="str">
            <v>-</v>
          </cell>
          <cell r="L1974" t="str">
            <v>OK</v>
          </cell>
        </row>
        <row r="1975">
          <cell r="A1975" t="str">
            <v>AHW-41282I22</v>
          </cell>
          <cell r="B1975">
            <v>4007345</v>
          </cell>
          <cell r="C1975" t="str">
            <v>Original</v>
          </cell>
          <cell r="D1975" t="str">
            <v>CTS</v>
          </cell>
          <cell r="E1975" t="str">
            <v>JP</v>
          </cell>
          <cell r="F1975">
            <v>44664</v>
          </cell>
          <cell r="G1975">
            <v>44672</v>
          </cell>
          <cell r="H1975">
            <v>44674</v>
          </cell>
          <cell r="I1975" t="str">
            <v>19.04.2022</v>
          </cell>
          <cell r="J1975" t="str">
            <v>20.04.2022</v>
          </cell>
          <cell r="K1975" t="str">
            <v>-</v>
          </cell>
          <cell r="L1975" t="str">
            <v>OK</v>
          </cell>
        </row>
        <row r="1976">
          <cell r="A1976" t="str">
            <v>AHW-41492I22</v>
          </cell>
          <cell r="B1976">
            <v>4007494</v>
          </cell>
          <cell r="C1976" t="str">
            <v>Original</v>
          </cell>
          <cell r="D1976" t="str">
            <v>CTS</v>
          </cell>
          <cell r="E1976" t="str">
            <v>JP</v>
          </cell>
          <cell r="F1976">
            <v>44664</v>
          </cell>
          <cell r="G1976">
            <v>44672</v>
          </cell>
          <cell r="H1976">
            <v>44674</v>
          </cell>
          <cell r="I1976" t="str">
            <v>19.04.2022</v>
          </cell>
          <cell r="J1976" t="str">
            <v>20.04.2022</v>
          </cell>
          <cell r="K1976" t="str">
            <v>-</v>
          </cell>
          <cell r="L1976" t="str">
            <v>OK</v>
          </cell>
        </row>
        <row r="1977">
          <cell r="A1977" t="str">
            <v>AHW-41283I22</v>
          </cell>
          <cell r="B1977">
            <v>4007347</v>
          </cell>
          <cell r="C1977" t="str">
            <v>Original</v>
          </cell>
          <cell r="D1977" t="str">
            <v>CTS</v>
          </cell>
          <cell r="E1977" t="str">
            <v>JP</v>
          </cell>
          <cell r="F1977">
            <v>44665</v>
          </cell>
          <cell r="G1977">
            <v>44673</v>
          </cell>
          <cell r="H1977">
            <v>44675</v>
          </cell>
          <cell r="I1977" t="str">
            <v>20.04.2022</v>
          </cell>
          <cell r="J1977" t="str">
            <v>20.04.2022</v>
          </cell>
          <cell r="K1977" t="str">
            <v>-</v>
          </cell>
          <cell r="L1977" t="str">
            <v>OK</v>
          </cell>
        </row>
        <row r="1978">
          <cell r="A1978" t="str">
            <v>AHW-41381I22</v>
          </cell>
          <cell r="B1978">
            <v>4007354</v>
          </cell>
          <cell r="C1978" t="str">
            <v>Original</v>
          </cell>
          <cell r="D1978" t="str">
            <v>CTS</v>
          </cell>
          <cell r="E1978" t="str">
            <v>JP</v>
          </cell>
          <cell r="F1978">
            <v>44665</v>
          </cell>
          <cell r="G1978">
            <v>44673</v>
          </cell>
          <cell r="H1978">
            <v>44675</v>
          </cell>
          <cell r="I1978" t="str">
            <v>19.04.2022</v>
          </cell>
          <cell r="J1978" t="str">
            <v>20.04.2022</v>
          </cell>
          <cell r="K1978" t="str">
            <v>-</v>
          </cell>
          <cell r="L1978" t="str">
            <v>OK</v>
          </cell>
        </row>
        <row r="1979">
          <cell r="A1979" t="str">
            <v>AHW-41383I22</v>
          </cell>
          <cell r="B1979">
            <v>4007352</v>
          </cell>
          <cell r="C1979" t="str">
            <v>Original</v>
          </cell>
          <cell r="D1979" t="str">
            <v>CTS</v>
          </cell>
          <cell r="E1979" t="str">
            <v>JP</v>
          </cell>
          <cell r="F1979">
            <v>44665</v>
          </cell>
          <cell r="G1979">
            <v>44673</v>
          </cell>
          <cell r="H1979">
            <v>44675</v>
          </cell>
          <cell r="I1979" t="str">
            <v>20.04.2022</v>
          </cell>
          <cell r="J1979" t="str">
            <v>20.04.2022</v>
          </cell>
          <cell r="K1979" t="str">
            <v>-</v>
          </cell>
          <cell r="L1979" t="str">
            <v>OK</v>
          </cell>
        </row>
        <row r="1980">
          <cell r="A1980" t="str">
            <v>AHW-41384I22</v>
          </cell>
          <cell r="B1980">
            <v>4007351</v>
          </cell>
          <cell r="C1980" t="str">
            <v>Original</v>
          </cell>
          <cell r="D1980" t="str">
            <v>CTS</v>
          </cell>
          <cell r="E1980" t="str">
            <v>JP</v>
          </cell>
          <cell r="F1980">
            <v>44665</v>
          </cell>
          <cell r="G1980">
            <v>44673</v>
          </cell>
          <cell r="H1980">
            <v>44675</v>
          </cell>
          <cell r="I1980" t="str">
            <v>19.04.2022</v>
          </cell>
          <cell r="J1980" t="str">
            <v>20.04.2022</v>
          </cell>
          <cell r="K1980" t="str">
            <v>-</v>
          </cell>
          <cell r="L1980" t="str">
            <v>OK</v>
          </cell>
        </row>
        <row r="1981">
          <cell r="A1981" t="str">
            <v>AHW-41385I22</v>
          </cell>
          <cell r="B1981">
            <v>4007358</v>
          </cell>
          <cell r="C1981" t="str">
            <v>Original</v>
          </cell>
          <cell r="D1981" t="str">
            <v>CTS</v>
          </cell>
          <cell r="E1981" t="str">
            <v>JP</v>
          </cell>
          <cell r="F1981">
            <v>44665</v>
          </cell>
          <cell r="G1981">
            <v>44673</v>
          </cell>
          <cell r="H1981">
            <v>44675</v>
          </cell>
          <cell r="I1981" t="str">
            <v>20.04.2022</v>
          </cell>
          <cell r="J1981" t="str">
            <v>20.04.2022</v>
          </cell>
          <cell r="K1981" t="str">
            <v>-</v>
          </cell>
          <cell r="L1981" t="str">
            <v>OK</v>
          </cell>
        </row>
        <row r="1982">
          <cell r="A1982" t="str">
            <v>AHW-41387I22</v>
          </cell>
          <cell r="B1982">
            <v>4007350</v>
          </cell>
          <cell r="C1982" t="str">
            <v>Original</v>
          </cell>
          <cell r="D1982" t="str">
            <v>CTS</v>
          </cell>
          <cell r="E1982" t="str">
            <v>JP</v>
          </cell>
          <cell r="F1982">
            <v>44665</v>
          </cell>
          <cell r="G1982">
            <v>44673</v>
          </cell>
          <cell r="H1982">
            <v>44675</v>
          </cell>
          <cell r="I1982" t="str">
            <v>19.04.2022</v>
          </cell>
          <cell r="J1982" t="str">
            <v>20.04.2022</v>
          </cell>
          <cell r="K1982" t="str">
            <v>-</v>
          </cell>
          <cell r="L1982" t="str">
            <v>OK</v>
          </cell>
        </row>
        <row r="1983">
          <cell r="A1983" t="str">
            <v>AHW-41392I22</v>
          </cell>
          <cell r="B1983">
            <v>4007436</v>
          </cell>
          <cell r="C1983" t="str">
            <v>Original</v>
          </cell>
          <cell r="D1983" t="str">
            <v>CTS</v>
          </cell>
          <cell r="E1983" t="str">
            <v>JP</v>
          </cell>
          <cell r="F1983">
            <v>44665</v>
          </cell>
          <cell r="G1983">
            <v>44673</v>
          </cell>
          <cell r="H1983">
            <v>44675</v>
          </cell>
          <cell r="I1983" t="str">
            <v>19.04.2022</v>
          </cell>
          <cell r="J1983" t="str">
            <v>20.04.2022</v>
          </cell>
          <cell r="K1983" t="str">
            <v>-</v>
          </cell>
          <cell r="L1983" t="str">
            <v>OK</v>
          </cell>
        </row>
        <row r="1984">
          <cell r="A1984" t="str">
            <v>AHW-41424I22</v>
          </cell>
          <cell r="B1984">
            <v>4007437</v>
          </cell>
          <cell r="C1984" t="str">
            <v>Original</v>
          </cell>
          <cell r="D1984" t="str">
            <v>CTS</v>
          </cell>
          <cell r="E1984" t="str">
            <v>JP</v>
          </cell>
          <cell r="F1984">
            <v>44665</v>
          </cell>
          <cell r="G1984">
            <v>44673</v>
          </cell>
          <cell r="H1984">
            <v>44675</v>
          </cell>
          <cell r="I1984" t="str">
            <v>19.04.2022</v>
          </cell>
          <cell r="J1984" t="str">
            <v>20.04.2022</v>
          </cell>
          <cell r="K1984" t="str">
            <v>-</v>
          </cell>
          <cell r="L1984" t="str">
            <v>OK</v>
          </cell>
        </row>
        <row r="1985">
          <cell r="A1985" t="str">
            <v>AHW-41491I22</v>
          </cell>
          <cell r="B1985">
            <v>4007491</v>
          </cell>
          <cell r="C1985" t="str">
            <v>Original</v>
          </cell>
          <cell r="D1985" t="str">
            <v>CTS</v>
          </cell>
          <cell r="E1985" t="str">
            <v>JP</v>
          </cell>
          <cell r="F1985">
            <v>44665</v>
          </cell>
          <cell r="G1985">
            <v>44673</v>
          </cell>
          <cell r="H1985">
            <v>44675</v>
          </cell>
          <cell r="I1985" t="str">
            <v>19.04.2022</v>
          </cell>
          <cell r="J1985" t="str">
            <v>20.04.2022</v>
          </cell>
          <cell r="K1985" t="str">
            <v>-</v>
          </cell>
          <cell r="L1985" t="str">
            <v>OK</v>
          </cell>
        </row>
        <row r="1986">
          <cell r="A1986" t="str">
            <v>AHW-41594I22</v>
          </cell>
          <cell r="B1986">
            <v>4007495</v>
          </cell>
          <cell r="C1986" t="str">
            <v>Original</v>
          </cell>
          <cell r="D1986" t="str">
            <v>CTS</v>
          </cell>
          <cell r="E1986" t="str">
            <v>JP</v>
          </cell>
          <cell r="F1986">
            <v>44665</v>
          </cell>
          <cell r="G1986">
            <v>44673</v>
          </cell>
          <cell r="H1986">
            <v>44675</v>
          </cell>
          <cell r="I1986" t="str">
            <v>19.04.2022</v>
          </cell>
          <cell r="J1986" t="str">
            <v>20.04.2022</v>
          </cell>
          <cell r="K1986" t="str">
            <v>-</v>
          </cell>
          <cell r="L1986" t="str">
            <v>OK</v>
          </cell>
        </row>
        <row r="1987">
          <cell r="A1987" t="str">
            <v>AHW-41596I22</v>
          </cell>
          <cell r="B1987">
            <v>4007551</v>
          </cell>
          <cell r="C1987" t="str">
            <v>Original</v>
          </cell>
          <cell r="D1987" t="str">
            <v>CTS</v>
          </cell>
          <cell r="E1987" t="str">
            <v>JP</v>
          </cell>
          <cell r="F1987">
            <v>44665</v>
          </cell>
          <cell r="G1987">
            <v>44673</v>
          </cell>
          <cell r="H1987">
            <v>44675</v>
          </cell>
          <cell r="I1987" t="str">
            <v>19.04.2022</v>
          </cell>
          <cell r="J1987" t="str">
            <v>20.04.2022</v>
          </cell>
          <cell r="K1987" t="str">
            <v>-</v>
          </cell>
          <cell r="L1987" t="str">
            <v>OK</v>
          </cell>
        </row>
        <row r="1988">
          <cell r="A1988" t="str">
            <v>AHW-41712I22</v>
          </cell>
          <cell r="B1988">
            <v>4007552</v>
          </cell>
          <cell r="C1988" t="str">
            <v>Original</v>
          </cell>
          <cell r="D1988" t="str">
            <v>CTS</v>
          </cell>
          <cell r="E1988" t="str">
            <v>JP</v>
          </cell>
          <cell r="F1988">
            <v>44665</v>
          </cell>
          <cell r="G1988">
            <v>44673</v>
          </cell>
          <cell r="H1988">
            <v>44675</v>
          </cell>
          <cell r="I1988" t="str">
            <v>19.04.2022</v>
          </cell>
          <cell r="J1988" t="str">
            <v>20.04.2022</v>
          </cell>
          <cell r="K1988" t="str">
            <v>-</v>
          </cell>
          <cell r="L1988" t="str">
            <v>OK</v>
          </cell>
        </row>
        <row r="1989">
          <cell r="A1989" t="str">
            <v>AHW-41714I22</v>
          </cell>
          <cell r="B1989">
            <v>4007848</v>
          </cell>
          <cell r="C1989" t="str">
            <v>Original</v>
          </cell>
          <cell r="D1989" t="str">
            <v>CTS</v>
          </cell>
          <cell r="E1989" t="str">
            <v>JP</v>
          </cell>
          <cell r="F1989">
            <v>44669</v>
          </cell>
          <cell r="G1989">
            <v>44677</v>
          </cell>
          <cell r="H1989">
            <v>44679</v>
          </cell>
          <cell r="I1989" t="str">
            <v>20.04.2022</v>
          </cell>
          <cell r="J1989" t="str">
            <v>27.04.2022</v>
          </cell>
          <cell r="K1989" t="str">
            <v>-</v>
          </cell>
          <cell r="L1989" t="str">
            <v>OK</v>
          </cell>
        </row>
        <row r="1990">
          <cell r="A1990" t="str">
            <v>AMS-41393I22</v>
          </cell>
          <cell r="B1990" t="str">
            <v>1Z6469V00474450851</v>
          </cell>
          <cell r="C1990" t="str">
            <v>Brasiliense</v>
          </cell>
          <cell r="D1990" t="str">
            <v>UPS</v>
          </cell>
          <cell r="E1990" t="str">
            <v>Future</v>
          </cell>
          <cell r="F1990">
            <v>44652</v>
          </cell>
          <cell r="G1990">
            <v>44660</v>
          </cell>
          <cell r="H1990">
            <v>44662</v>
          </cell>
          <cell r="I1990" t="str">
            <v>11.04.2022</v>
          </cell>
          <cell r="J1990" t="str">
            <v>12.04.2022</v>
          </cell>
          <cell r="K1990" t="str">
            <v>04.04.2022</v>
          </cell>
          <cell r="L1990" t="str">
            <v>OK</v>
          </cell>
        </row>
        <row r="1991">
          <cell r="A1991" t="str">
            <v>AMS-41394I22</v>
          </cell>
          <cell r="B1991" t="str">
            <v>1Z6469V00473570661</v>
          </cell>
          <cell r="C1991" t="str">
            <v>Brasiliense</v>
          </cell>
          <cell r="D1991" t="str">
            <v>UPS</v>
          </cell>
          <cell r="E1991" t="str">
            <v>Future</v>
          </cell>
          <cell r="F1991">
            <v>44652</v>
          </cell>
          <cell r="G1991">
            <v>44660</v>
          </cell>
          <cell r="H1991">
            <v>44662</v>
          </cell>
          <cell r="I1991" t="str">
            <v>11.04.2022</v>
          </cell>
          <cell r="J1991" t="str">
            <v>12.04.2022</v>
          </cell>
          <cell r="K1991" t="str">
            <v>04.04.2022</v>
          </cell>
          <cell r="L1991" t="str">
            <v>OK</v>
          </cell>
        </row>
        <row r="1992">
          <cell r="A1992" t="str">
            <v>AMS-41395I22</v>
          </cell>
          <cell r="B1992" t="str">
            <v>1Z6469V00475908347</v>
          </cell>
          <cell r="C1992" t="str">
            <v>Brasiliense</v>
          </cell>
          <cell r="D1992" t="str">
            <v>UPS</v>
          </cell>
          <cell r="E1992" t="str">
            <v>Future</v>
          </cell>
          <cell r="F1992">
            <v>44652</v>
          </cell>
          <cell r="G1992">
            <v>44660</v>
          </cell>
          <cell r="H1992">
            <v>44662</v>
          </cell>
          <cell r="I1992" t="str">
            <v>11.04.2022</v>
          </cell>
          <cell r="J1992" t="str">
            <v>12.04.2022</v>
          </cell>
          <cell r="K1992" t="str">
            <v>04.04.2022</v>
          </cell>
          <cell r="L1992" t="str">
            <v>OK</v>
          </cell>
        </row>
        <row r="1993">
          <cell r="A1993" t="str">
            <v>AMS-41645I22</v>
          </cell>
          <cell r="B1993" t="str">
            <v>1Z6469V00474728347</v>
          </cell>
          <cell r="C1993" t="str">
            <v>Brasiliense</v>
          </cell>
          <cell r="D1993" t="str">
            <v>UPS</v>
          </cell>
          <cell r="E1993" t="str">
            <v>Future</v>
          </cell>
          <cell r="F1993">
            <v>44662</v>
          </cell>
          <cell r="G1993">
            <v>44670</v>
          </cell>
          <cell r="H1993">
            <v>44672</v>
          </cell>
          <cell r="I1993" t="str">
            <v>18.04.2022</v>
          </cell>
          <cell r="J1993" t="str">
            <v>20.04.2022</v>
          </cell>
          <cell r="K1993" t="str">
            <v>18.04.2022</v>
          </cell>
          <cell r="L1993" t="str">
            <v>OK</v>
          </cell>
        </row>
        <row r="1994">
          <cell r="A1994" t="str">
            <v>AMS-41646I22</v>
          </cell>
          <cell r="B1994" t="str">
            <v>1Z6469V00473323731</v>
          </cell>
          <cell r="C1994" t="str">
            <v>Brasiliense</v>
          </cell>
          <cell r="D1994" t="str">
            <v>UPS</v>
          </cell>
          <cell r="E1994" t="str">
            <v>Future</v>
          </cell>
          <cell r="F1994">
            <v>44662</v>
          </cell>
          <cell r="G1994">
            <v>44670</v>
          </cell>
          <cell r="H1994">
            <v>44672</v>
          </cell>
          <cell r="I1994" t="str">
            <v>18.04.2022</v>
          </cell>
          <cell r="J1994" t="str">
            <v>20.04.2022</v>
          </cell>
          <cell r="K1994" t="str">
            <v>18.04.2022</v>
          </cell>
          <cell r="L1994" t="str">
            <v>OK</v>
          </cell>
        </row>
        <row r="1995">
          <cell r="A1995" t="str">
            <v>AMS-41647I22</v>
          </cell>
          <cell r="B1995" t="str">
            <v>1Z6469V00474615816</v>
          </cell>
          <cell r="C1995" t="str">
            <v>Brasiliense</v>
          </cell>
          <cell r="D1995" t="str">
            <v>UPS</v>
          </cell>
          <cell r="E1995" t="str">
            <v>Future</v>
          </cell>
          <cell r="F1995">
            <v>44662</v>
          </cell>
          <cell r="G1995">
            <v>44670</v>
          </cell>
          <cell r="H1995">
            <v>44672</v>
          </cell>
          <cell r="I1995" t="str">
            <v>18.04.2022</v>
          </cell>
          <cell r="J1995" t="str">
            <v>20.04.2022</v>
          </cell>
          <cell r="K1995" t="str">
            <v>18.04.2022</v>
          </cell>
          <cell r="L1995" t="str">
            <v>OK</v>
          </cell>
        </row>
        <row r="1996">
          <cell r="A1996" t="str">
            <v>AMS-41814I22</v>
          </cell>
          <cell r="B1996" t="str">
            <v>1Z6469V00474371893</v>
          </cell>
          <cell r="C1996" t="str">
            <v>Brasiliense</v>
          </cell>
          <cell r="D1996" t="str">
            <v>UPS</v>
          </cell>
          <cell r="E1996" t="str">
            <v>Future</v>
          </cell>
          <cell r="F1996">
            <v>44665</v>
          </cell>
          <cell r="G1996">
            <v>44673</v>
          </cell>
          <cell r="H1996">
            <v>44675</v>
          </cell>
          <cell r="I1996" t="str">
            <v>25.04.2022</v>
          </cell>
          <cell r="J1996" t="str">
            <v>20.04.2022</v>
          </cell>
          <cell r="K1996" t="str">
            <v>04.05.2022</v>
          </cell>
          <cell r="L1996" t="str">
            <v>OK</v>
          </cell>
        </row>
        <row r="1997">
          <cell r="A1997" t="str">
            <v>AMS-41279I22</v>
          </cell>
          <cell r="B1997" t="str">
            <v>MIA2201218</v>
          </cell>
          <cell r="C1997" t="str">
            <v>Brasiliense</v>
          </cell>
          <cell r="D1997" t="str">
            <v>Asia Shipping</v>
          </cell>
          <cell r="E1997" t="str">
            <v>Future</v>
          </cell>
          <cell r="F1997">
            <v>44665</v>
          </cell>
          <cell r="G1997">
            <v>44673</v>
          </cell>
          <cell r="H1997">
            <v>44675</v>
          </cell>
          <cell r="I1997" t="str">
            <v>25.04.2022</v>
          </cell>
          <cell r="J1997" t="str">
            <v>20.04.2022</v>
          </cell>
          <cell r="K1997" t="str">
            <v>04.05.2022</v>
          </cell>
          <cell r="L1997" t="str">
            <v>OK</v>
          </cell>
        </row>
        <row r="1998">
          <cell r="A1998" t="str">
            <v>SHW-40951I22</v>
          </cell>
          <cell r="B1998" t="str">
            <v>EGLV149201439107</v>
          </cell>
          <cell r="C1998" t="str">
            <v>Original</v>
          </cell>
          <cell r="D1998" t="str">
            <v>Shenker</v>
          </cell>
          <cell r="E1998" t="str">
            <v>Unitrading</v>
          </cell>
          <cell r="F1998">
            <v>44670</v>
          </cell>
          <cell r="G1998">
            <v>44678</v>
          </cell>
          <cell r="H1998">
            <v>44680</v>
          </cell>
          <cell r="I1998" t="str">
            <v>27.04.2022</v>
          </cell>
          <cell r="J1998" t="str">
            <v>19.04.2022</v>
          </cell>
          <cell r="K1998" t="str">
            <v>-</v>
          </cell>
          <cell r="L1998" t="str">
            <v>OK</v>
          </cell>
        </row>
        <row r="1999">
          <cell r="A1999" t="str">
            <v>SHW-41027I22</v>
          </cell>
          <cell r="B1999" t="str">
            <v>EGLV149201076624</v>
          </cell>
          <cell r="C1999" t="str">
            <v>Original</v>
          </cell>
          <cell r="D1999" t="str">
            <v>Shenker</v>
          </cell>
          <cell r="E1999" t="str">
            <v>Unitrading</v>
          </cell>
          <cell r="F1999">
            <v>44671</v>
          </cell>
          <cell r="G1999">
            <v>44679</v>
          </cell>
          <cell r="H1999">
            <v>44681</v>
          </cell>
          <cell r="I1999" t="str">
            <v>27.04.2022</v>
          </cell>
          <cell r="J1999" t="str">
            <v>20.04.2022</v>
          </cell>
          <cell r="K1999" t="str">
            <v>-</v>
          </cell>
          <cell r="L1999" t="str">
            <v>OK</v>
          </cell>
        </row>
        <row r="2000">
          <cell r="A2000" t="str">
            <v>SHW-41218I22</v>
          </cell>
          <cell r="B2000" t="str">
            <v>EGLV149201678829</v>
          </cell>
          <cell r="C2000" t="str">
            <v>Original</v>
          </cell>
          <cell r="D2000" t="str">
            <v>Shenker</v>
          </cell>
          <cell r="E2000" t="str">
            <v>Unitrading</v>
          </cell>
          <cell r="F2000">
            <v>44665</v>
          </cell>
          <cell r="G2000">
            <v>44673</v>
          </cell>
          <cell r="H2000">
            <v>44675</v>
          </cell>
          <cell r="I2000" t="str">
            <v>27.04.2022</v>
          </cell>
          <cell r="J2000" t="str">
            <v>20.04.2022</v>
          </cell>
          <cell r="K2000" t="str">
            <v>-</v>
          </cell>
          <cell r="L2000" t="str">
            <v>OK</v>
          </cell>
        </row>
        <row r="2001">
          <cell r="A2001" t="str">
            <v>SHW-41219I22</v>
          </cell>
          <cell r="B2001" t="str">
            <v>EGLV149201076811</v>
          </cell>
          <cell r="C2001" t="str">
            <v>Original</v>
          </cell>
          <cell r="D2001" t="str">
            <v>Shenker</v>
          </cell>
          <cell r="E2001" t="str">
            <v>Unitrading</v>
          </cell>
          <cell r="F2001">
            <v>44669</v>
          </cell>
          <cell r="G2001">
            <v>44677</v>
          </cell>
          <cell r="H2001">
            <v>44679</v>
          </cell>
          <cell r="I2001" t="str">
            <v>27.04.2022</v>
          </cell>
          <cell r="J2001" t="str">
            <v>20.04.2022</v>
          </cell>
          <cell r="K2001" t="str">
            <v>-</v>
          </cell>
          <cell r="L2001" t="str">
            <v>OK</v>
          </cell>
        </row>
        <row r="2002">
          <cell r="A2002" t="str">
            <v>AHW-41722I22</v>
          </cell>
          <cell r="B2002">
            <v>4007543</v>
          </cell>
          <cell r="C2002" t="str">
            <v>Original</v>
          </cell>
          <cell r="D2002" t="str">
            <v>CTS</v>
          </cell>
          <cell r="E2002" t="str">
            <v>JP</v>
          </cell>
          <cell r="F2002">
            <v>44671</v>
          </cell>
          <cell r="G2002">
            <v>44679</v>
          </cell>
          <cell r="H2002">
            <v>44681</v>
          </cell>
          <cell r="I2002" t="str">
            <v>05.05.2022</v>
          </cell>
          <cell r="J2002" t="str">
            <v>27.04.2022</v>
          </cell>
          <cell r="K2002" t="str">
            <v>-</v>
          </cell>
          <cell r="L2002" t="str">
            <v>OK</v>
          </cell>
        </row>
        <row r="2003">
          <cell r="A2003" t="str">
            <v>AHW-41713I22</v>
          </cell>
          <cell r="B2003">
            <v>4007562</v>
          </cell>
          <cell r="C2003" t="str">
            <v>Original</v>
          </cell>
          <cell r="D2003" t="str">
            <v>CTS</v>
          </cell>
          <cell r="E2003" t="str">
            <v>JP</v>
          </cell>
          <cell r="F2003">
            <v>44676</v>
          </cell>
          <cell r="G2003">
            <v>44684</v>
          </cell>
          <cell r="H2003">
            <v>44686</v>
          </cell>
          <cell r="I2003" t="str">
            <v>04.05.2022</v>
          </cell>
          <cell r="J2003" t="str">
            <v>04.05.2022</v>
          </cell>
          <cell r="K2003" t="str">
            <v>-</v>
          </cell>
          <cell r="L2003" t="str">
            <v>OK</v>
          </cell>
        </row>
        <row r="2004">
          <cell r="A2004" t="str">
            <v>AHW-41723I22</v>
          </cell>
          <cell r="B2004">
            <v>4007546</v>
          </cell>
          <cell r="C2004" t="str">
            <v>Original</v>
          </cell>
          <cell r="D2004" t="str">
            <v>CTS</v>
          </cell>
          <cell r="E2004" t="str">
            <v>JP</v>
          </cell>
          <cell r="F2004">
            <v>44676</v>
          </cell>
          <cell r="G2004">
            <v>44684</v>
          </cell>
          <cell r="H2004">
            <v>44686</v>
          </cell>
          <cell r="I2004" t="str">
            <v>05.05.2022</v>
          </cell>
          <cell r="J2004" t="str">
            <v>04.05.2022</v>
          </cell>
          <cell r="K2004" t="str">
            <v>-</v>
          </cell>
          <cell r="L2004" t="str">
            <v>OK</v>
          </cell>
        </row>
        <row r="2005">
          <cell r="A2005" t="str">
            <v>AHW-41724I22</v>
          </cell>
          <cell r="B2005">
            <v>4007584</v>
          </cell>
          <cell r="C2005" t="str">
            <v>Original</v>
          </cell>
          <cell r="D2005" t="str">
            <v>CTS</v>
          </cell>
          <cell r="E2005" t="str">
            <v>JP</v>
          </cell>
          <cell r="F2005">
            <v>44676</v>
          </cell>
          <cell r="G2005">
            <v>44684</v>
          </cell>
          <cell r="H2005">
            <v>44686</v>
          </cell>
          <cell r="I2005" t="str">
            <v>04.05.2022</v>
          </cell>
          <cell r="J2005" t="str">
            <v>04.05.2022</v>
          </cell>
          <cell r="K2005" t="str">
            <v>-</v>
          </cell>
          <cell r="L2005" t="str">
            <v>OK</v>
          </cell>
        </row>
        <row r="2006">
          <cell r="A2006" t="str">
            <v>AHW-41813I22</v>
          </cell>
          <cell r="B2006">
            <v>4007547</v>
          </cell>
          <cell r="C2006" t="str">
            <v>Original</v>
          </cell>
          <cell r="D2006" t="str">
            <v>CTS</v>
          </cell>
          <cell r="E2006" t="str">
            <v>JP</v>
          </cell>
          <cell r="F2006">
            <v>44676</v>
          </cell>
          <cell r="G2006">
            <v>44684</v>
          </cell>
          <cell r="H2006">
            <v>44686</v>
          </cell>
          <cell r="I2006" t="str">
            <v>05.05.2022</v>
          </cell>
          <cell r="J2006" t="str">
            <v>04.05.2022</v>
          </cell>
          <cell r="K2006" t="str">
            <v>-</v>
          </cell>
          <cell r="L2006" t="str">
            <v>OK</v>
          </cell>
        </row>
        <row r="2007">
          <cell r="A2007" t="str">
            <v>AMS-41416I22</v>
          </cell>
          <cell r="B2007">
            <v>391482478</v>
          </cell>
          <cell r="C2007" t="str">
            <v>Original</v>
          </cell>
          <cell r="D2007" t="str">
            <v>PGL</v>
          </cell>
          <cell r="E2007" t="str">
            <v>Technology</v>
          </cell>
          <cell r="F2007">
            <v>44676</v>
          </cell>
          <cell r="G2007">
            <v>44684</v>
          </cell>
          <cell r="H2007">
            <v>44686</v>
          </cell>
          <cell r="I2007" t="str">
            <v>20.04.2022</v>
          </cell>
          <cell r="J2007" t="str">
            <v>20.04.2022</v>
          </cell>
          <cell r="K2007" t="str">
            <v>-</v>
          </cell>
          <cell r="L2007" t="str">
            <v>OK</v>
          </cell>
        </row>
        <row r="2008">
          <cell r="A2008" t="str">
            <v>AMS-41417I22</v>
          </cell>
          <cell r="B2008">
            <v>391482479</v>
          </cell>
          <cell r="C2008" t="str">
            <v>Original</v>
          </cell>
          <cell r="D2008" t="str">
            <v>PGL</v>
          </cell>
          <cell r="E2008" t="str">
            <v>Technology</v>
          </cell>
          <cell r="F2008">
            <v>44676</v>
          </cell>
          <cell r="G2008">
            <v>44684</v>
          </cell>
          <cell r="H2008">
            <v>44686</v>
          </cell>
          <cell r="I2008" t="str">
            <v>20.04.2022</v>
          </cell>
          <cell r="J2008" t="str">
            <v>20.04.2022</v>
          </cell>
          <cell r="K2008" t="str">
            <v>-</v>
          </cell>
          <cell r="L2008" t="str">
            <v>OK</v>
          </cell>
        </row>
        <row r="2009">
          <cell r="A2009" t="str">
            <v>AMS-41834I22</v>
          </cell>
          <cell r="B2009">
            <v>393346574</v>
          </cell>
          <cell r="C2009" t="str">
            <v>Original</v>
          </cell>
          <cell r="D2009" t="str">
            <v>PGL</v>
          </cell>
          <cell r="E2009" t="str">
            <v>Technology</v>
          </cell>
          <cell r="F2009">
            <v>44676</v>
          </cell>
          <cell r="G2009">
            <v>44684</v>
          </cell>
          <cell r="H2009">
            <v>44686</v>
          </cell>
          <cell r="I2009" t="str">
            <v>04.05.2022</v>
          </cell>
          <cell r="J2009" t="str">
            <v>26.04.2022</v>
          </cell>
          <cell r="K2009" t="str">
            <v>-</v>
          </cell>
          <cell r="L2009" t="str">
            <v>OK</v>
          </cell>
        </row>
        <row r="2010">
          <cell r="A2010" t="str">
            <v>AMS-41835I22</v>
          </cell>
          <cell r="B2010">
            <v>393346575</v>
          </cell>
          <cell r="C2010" t="str">
            <v>Original</v>
          </cell>
          <cell r="D2010" t="str">
            <v>PGL</v>
          </cell>
          <cell r="E2010" t="str">
            <v>Technology</v>
          </cell>
          <cell r="F2010">
            <v>44676</v>
          </cell>
          <cell r="G2010">
            <v>44684</v>
          </cell>
          <cell r="H2010">
            <v>44686</v>
          </cell>
          <cell r="I2010" t="str">
            <v>04.05.2022</v>
          </cell>
          <cell r="J2010" t="str">
            <v>25.04.2022</v>
          </cell>
          <cell r="K2010" t="str">
            <v>-</v>
          </cell>
          <cell r="L2010" t="str">
            <v>OK</v>
          </cell>
        </row>
        <row r="2011">
          <cell r="A2011" t="str">
            <v>AMS-41836I22</v>
          </cell>
          <cell r="B2011">
            <v>393346576</v>
          </cell>
          <cell r="C2011" t="str">
            <v>Original</v>
          </cell>
          <cell r="D2011" t="str">
            <v>PGL</v>
          </cell>
          <cell r="E2011" t="str">
            <v>Technology</v>
          </cell>
          <cell r="F2011">
            <v>44676</v>
          </cell>
          <cell r="G2011">
            <v>44684</v>
          </cell>
          <cell r="H2011">
            <v>44686</v>
          </cell>
          <cell r="I2011" t="str">
            <v>04.05.2022</v>
          </cell>
          <cell r="J2011" t="str">
            <v>25.04.2022</v>
          </cell>
          <cell r="K2011" t="str">
            <v>-</v>
          </cell>
          <cell r="L2011" t="str">
            <v>OK</v>
          </cell>
        </row>
        <row r="2012">
          <cell r="A2012" t="str">
            <v>AMS-41837I22</v>
          </cell>
          <cell r="B2012">
            <v>393113275</v>
          </cell>
          <cell r="C2012" t="str">
            <v>Original</v>
          </cell>
          <cell r="D2012" t="str">
            <v>PGL</v>
          </cell>
          <cell r="E2012" t="str">
            <v>Technology</v>
          </cell>
          <cell r="F2012">
            <v>44676</v>
          </cell>
          <cell r="G2012">
            <v>44684</v>
          </cell>
          <cell r="H2012">
            <v>44686</v>
          </cell>
          <cell r="I2012" t="str">
            <v>04.05.2022</v>
          </cell>
          <cell r="J2012" t="str">
            <v>26.04.2022</v>
          </cell>
          <cell r="K2012" t="str">
            <v>-</v>
          </cell>
          <cell r="L2012" t="str">
            <v>OK</v>
          </cell>
        </row>
        <row r="2013">
          <cell r="A2013" t="str">
            <v>AMS-41838I22</v>
          </cell>
          <cell r="B2013">
            <v>393113276</v>
          </cell>
          <cell r="C2013" t="str">
            <v>Original</v>
          </cell>
          <cell r="D2013" t="str">
            <v>PGL</v>
          </cell>
          <cell r="E2013" t="str">
            <v>Technology</v>
          </cell>
          <cell r="F2013">
            <v>44676</v>
          </cell>
          <cell r="G2013">
            <v>44684</v>
          </cell>
          <cell r="H2013">
            <v>44686</v>
          </cell>
          <cell r="I2013" t="str">
            <v>04.05.2022</v>
          </cell>
          <cell r="J2013" t="str">
            <v>26.04.2022</v>
          </cell>
          <cell r="K2013" t="str">
            <v>-</v>
          </cell>
          <cell r="L2013" t="str">
            <v>OK</v>
          </cell>
        </row>
        <row r="2014">
          <cell r="A2014" t="str">
            <v>AMS-41839I22</v>
          </cell>
          <cell r="B2014">
            <v>393346577</v>
          </cell>
          <cell r="C2014" t="str">
            <v>Original</v>
          </cell>
          <cell r="D2014" t="str">
            <v>PGL</v>
          </cell>
          <cell r="E2014" t="str">
            <v>Technology</v>
          </cell>
          <cell r="F2014">
            <v>44676</v>
          </cell>
          <cell r="G2014">
            <v>44684</v>
          </cell>
          <cell r="H2014">
            <v>44686</v>
          </cell>
          <cell r="I2014" t="str">
            <v>04.05.2022</v>
          </cell>
          <cell r="J2014" t="str">
            <v>26.04.2022</v>
          </cell>
          <cell r="K2014" t="str">
            <v>-</v>
          </cell>
          <cell r="L2014" t="str">
            <v>OK</v>
          </cell>
        </row>
        <row r="2015">
          <cell r="A2015" t="str">
            <v>AMS-41925I22</v>
          </cell>
          <cell r="B2015" t="str">
            <v>1Z6469V00473676762</v>
          </cell>
          <cell r="C2015" t="str">
            <v>Brasiliense</v>
          </cell>
          <cell r="D2015" t="str">
            <v>UPS</v>
          </cell>
          <cell r="E2015" t="str">
            <v>Future</v>
          </cell>
          <cell r="F2015">
            <v>44677</v>
          </cell>
          <cell r="G2015">
            <v>44685</v>
          </cell>
          <cell r="H2015">
            <v>44687</v>
          </cell>
          <cell r="I2015" t="str">
            <v>05.05.2022</v>
          </cell>
          <cell r="J2015" t="str">
            <v>04.05.2022</v>
          </cell>
          <cell r="K2015" t="str">
            <v>04.05.2022</v>
          </cell>
          <cell r="L2015" t="str">
            <v>OK</v>
          </cell>
        </row>
        <row r="2016">
          <cell r="A2016" t="str">
            <v>AMS-41926I22</v>
          </cell>
          <cell r="B2016" t="str">
            <v>1Z6469V00475401741</v>
          </cell>
          <cell r="C2016" t="str">
            <v>Brasiliense</v>
          </cell>
          <cell r="D2016" t="str">
            <v>UPS</v>
          </cell>
          <cell r="E2016" t="str">
            <v>Future</v>
          </cell>
          <cell r="F2016">
            <v>44677</v>
          </cell>
          <cell r="G2016">
            <v>44685</v>
          </cell>
          <cell r="H2016">
            <v>44687</v>
          </cell>
          <cell r="I2016" t="str">
            <v>05.05.2022</v>
          </cell>
          <cell r="J2016" t="str">
            <v>04.05.2022</v>
          </cell>
          <cell r="K2016" t="str">
            <v>04.05.2022</v>
          </cell>
          <cell r="L2016" t="str">
            <v>OK</v>
          </cell>
        </row>
        <row r="2017">
          <cell r="A2017" t="str">
            <v>AMS-41927I22</v>
          </cell>
          <cell r="B2017" t="str">
            <v>1Z6469V00475473138</v>
          </cell>
          <cell r="C2017" t="str">
            <v>Brasiliense</v>
          </cell>
          <cell r="D2017" t="str">
            <v>UPS</v>
          </cell>
          <cell r="E2017" t="str">
            <v>Future</v>
          </cell>
          <cell r="F2017">
            <v>44677</v>
          </cell>
          <cell r="G2017">
            <v>44685</v>
          </cell>
          <cell r="H2017">
            <v>44687</v>
          </cell>
          <cell r="I2017" t="str">
            <v>05.05.2022</v>
          </cell>
          <cell r="J2017" t="str">
            <v>04.05.2022</v>
          </cell>
          <cell r="K2017" t="str">
            <v>04.05.2022</v>
          </cell>
          <cell r="L2017" t="str">
            <v>OK</v>
          </cell>
        </row>
        <row r="2018">
          <cell r="A2018" t="str">
            <v>AMS-41928I22</v>
          </cell>
          <cell r="B2018" t="str">
            <v>1Z6469V00475767866
1Z6469V00474732270</v>
          </cell>
          <cell r="C2018" t="str">
            <v>Brasiliense</v>
          </cell>
          <cell r="D2018" t="str">
            <v>UPS</v>
          </cell>
          <cell r="E2018" t="str">
            <v>Future</v>
          </cell>
          <cell r="F2018">
            <v>44676</v>
          </cell>
          <cell r="G2018">
            <v>44684</v>
          </cell>
          <cell r="H2018">
            <v>44686</v>
          </cell>
          <cell r="I2018" t="str">
            <v>05.05.2022</v>
          </cell>
          <cell r="J2018" t="str">
            <v>04.05.2022</v>
          </cell>
          <cell r="K2018" t="str">
            <v>04.05.2022</v>
          </cell>
          <cell r="L2018" t="str">
            <v>OK</v>
          </cell>
        </row>
        <row r="2019">
          <cell r="A2019" t="str">
            <v>AMS-41929I22</v>
          </cell>
          <cell r="B2019" t="str">
            <v>1Z6469V00475826006 1Z6469V00473814817</v>
          </cell>
          <cell r="C2019" t="str">
            <v>Brasiliense</v>
          </cell>
          <cell r="D2019" t="str">
            <v>UPS</v>
          </cell>
          <cell r="E2019" t="str">
            <v>Future</v>
          </cell>
          <cell r="F2019">
            <v>44676</v>
          </cell>
          <cell r="G2019">
            <v>44684</v>
          </cell>
          <cell r="H2019">
            <v>44686</v>
          </cell>
          <cell r="I2019" t="str">
            <v>05.05.2022</v>
          </cell>
          <cell r="J2019" t="str">
            <v>04.05.2022</v>
          </cell>
          <cell r="K2019" t="str">
            <v>04.05.2022</v>
          </cell>
          <cell r="L2019" t="str">
            <v>OK</v>
          </cell>
        </row>
        <row r="2020">
          <cell r="A2020" t="str">
            <v>AMS-41935I22</v>
          </cell>
          <cell r="B2020" t="str">
            <v>1Z6469V00475436204
1Z6469V00474859045
1Z6469V00474852435
1Z6469V00474517011
1Z6469V00474390425
1Z6469V00473126258</v>
          </cell>
          <cell r="C2020" t="str">
            <v>Brasiliense</v>
          </cell>
          <cell r="D2020" t="str">
            <v>UPS</v>
          </cell>
          <cell r="E2020" t="str">
            <v>Future</v>
          </cell>
          <cell r="F2020">
            <v>44677</v>
          </cell>
          <cell r="G2020">
            <v>44685</v>
          </cell>
          <cell r="H2020">
            <v>44687</v>
          </cell>
          <cell r="I2020" t="str">
            <v>05.05.2022</v>
          </cell>
          <cell r="J2020" t="str">
            <v>04.05.2022</v>
          </cell>
          <cell r="K2020" t="str">
            <v>04.05.2022</v>
          </cell>
          <cell r="L2020" t="str">
            <v>OK</v>
          </cell>
        </row>
        <row r="2021">
          <cell r="A2021" t="str">
            <v>AMS-41932I22</v>
          </cell>
          <cell r="B2021" t="str">
            <v>1Z6469V00475599333
1Z6469V00475661158
1Z6469V00473979944</v>
          </cell>
          <cell r="C2021" t="str">
            <v>Brasiliense</v>
          </cell>
          <cell r="D2021" t="str">
            <v>UPS</v>
          </cell>
          <cell r="E2021" t="str">
            <v>Future</v>
          </cell>
          <cell r="F2021">
            <v>44676</v>
          </cell>
          <cell r="G2021">
            <v>44684</v>
          </cell>
          <cell r="H2021">
            <v>44686</v>
          </cell>
          <cell r="I2021" t="str">
            <v>05.05.2022</v>
          </cell>
          <cell r="J2021" t="str">
            <v>04.05.2022</v>
          </cell>
          <cell r="K2021" t="str">
            <v>04.05.2022</v>
          </cell>
          <cell r="L2021" t="str">
            <v>OK</v>
          </cell>
        </row>
        <row r="2022">
          <cell r="A2022" t="str">
            <v>AMS-41933I22</v>
          </cell>
          <cell r="B2022" t="str">
            <v>1Z6469V00473710956</v>
          </cell>
          <cell r="C2022" t="str">
            <v>Brasiliense</v>
          </cell>
          <cell r="D2022" t="str">
            <v>UPS</v>
          </cell>
          <cell r="E2022" t="str">
            <v>Future</v>
          </cell>
          <cell r="F2022">
            <v>44676</v>
          </cell>
          <cell r="G2022">
            <v>44684</v>
          </cell>
          <cell r="H2022">
            <v>44686</v>
          </cell>
          <cell r="I2022" t="str">
            <v>05.05.2022</v>
          </cell>
          <cell r="J2022" t="str">
            <v>04.05.2022</v>
          </cell>
          <cell r="K2022" t="str">
            <v>04.05.2022</v>
          </cell>
          <cell r="L2022" t="str">
            <v>OK</v>
          </cell>
        </row>
        <row r="2023">
          <cell r="A2023" t="str">
            <v>AMS-41934I22</v>
          </cell>
          <cell r="B2023" t="str">
            <v>1Z6469V00473082180
1Z6469V00474273794</v>
          </cell>
          <cell r="C2023" t="str">
            <v>Brasiliense</v>
          </cell>
          <cell r="D2023" t="str">
            <v>UPS</v>
          </cell>
          <cell r="E2023" t="str">
            <v>Future</v>
          </cell>
          <cell r="F2023">
            <v>44676</v>
          </cell>
          <cell r="G2023">
            <v>44684</v>
          </cell>
          <cell r="H2023">
            <v>44686</v>
          </cell>
          <cell r="I2023" t="str">
            <v>05.05.2022</v>
          </cell>
          <cell r="J2023" t="str">
            <v>04.05.2022</v>
          </cell>
          <cell r="K2023" t="str">
            <v>04.05.2022</v>
          </cell>
          <cell r="L2023" t="str">
            <v>OK</v>
          </cell>
        </row>
        <row r="2024">
          <cell r="A2024" t="str">
            <v>AMS-41815I22</v>
          </cell>
          <cell r="B2024" t="str">
            <v>1Z6469V00474250102</v>
          </cell>
          <cell r="C2024" t="str">
            <v>Brasiliense</v>
          </cell>
          <cell r="D2024" t="str">
            <v>UPS</v>
          </cell>
          <cell r="E2024" t="str">
            <v>Future</v>
          </cell>
          <cell r="F2024">
            <v>44670</v>
          </cell>
          <cell r="G2024">
            <v>44678</v>
          </cell>
          <cell r="H2024">
            <v>44680</v>
          </cell>
          <cell r="I2024" t="str">
            <v>25.04.2022</v>
          </cell>
          <cell r="J2024" t="str">
            <v>27.04.2022</v>
          </cell>
          <cell r="K2024" t="str">
            <v>04.05.2022</v>
          </cell>
          <cell r="L2024" t="str">
            <v>OK</v>
          </cell>
        </row>
        <row r="2025">
          <cell r="A2025" t="str">
            <v>AMS-41816I22</v>
          </cell>
          <cell r="B2025" t="str">
            <v>1Z6469V00474524914</v>
          </cell>
          <cell r="C2025" t="str">
            <v>Brasiliense</v>
          </cell>
          <cell r="D2025" t="str">
            <v>UPS</v>
          </cell>
          <cell r="E2025" t="str">
            <v>Future</v>
          </cell>
          <cell r="F2025">
            <v>44670</v>
          </cell>
          <cell r="G2025">
            <v>44678</v>
          </cell>
          <cell r="H2025">
            <v>44680</v>
          </cell>
          <cell r="I2025" t="str">
            <v>25.04.2022</v>
          </cell>
          <cell r="J2025" t="str">
            <v>27.04.2022</v>
          </cell>
          <cell r="K2025" t="str">
            <v>04.05.2022</v>
          </cell>
          <cell r="L2025" t="str">
            <v>OK</v>
          </cell>
        </row>
        <row r="2026">
          <cell r="A2026" t="str">
            <v>AMS-41936I22</v>
          </cell>
          <cell r="B2026">
            <v>2201293</v>
          </cell>
          <cell r="C2026" t="str">
            <v>Brasiliense</v>
          </cell>
          <cell r="D2026" t="str">
            <v>Asia Shipping</v>
          </cell>
          <cell r="E2026" t="str">
            <v>Future</v>
          </cell>
          <cell r="F2026">
            <v>44679</v>
          </cell>
          <cell r="G2026">
            <v>44687</v>
          </cell>
          <cell r="H2026">
            <v>44689</v>
          </cell>
          <cell r="I2026" t="str">
            <v>05.05.2022</v>
          </cell>
          <cell r="J2026" t="str">
            <v>04.05.2022</v>
          </cell>
          <cell r="K2026" t="str">
            <v>04.05.2022</v>
          </cell>
          <cell r="L2026" t="str">
            <v>OK</v>
          </cell>
        </row>
        <row r="2027">
          <cell r="A2027" t="str">
            <v>AHW-41938I22</v>
          </cell>
          <cell r="B2027">
            <v>4007926</v>
          </cell>
          <cell r="C2027" t="str">
            <v>Original</v>
          </cell>
          <cell r="D2027" t="str">
            <v>CTS</v>
          </cell>
          <cell r="E2027" t="str">
            <v>JP</v>
          </cell>
          <cell r="F2027">
            <v>44677</v>
          </cell>
          <cell r="G2027">
            <v>44685</v>
          </cell>
          <cell r="H2027">
            <v>44687</v>
          </cell>
          <cell r="I2027" t="str">
            <v>04.05.2022</v>
          </cell>
          <cell r="J2027" t="str">
            <v>04.05.2022</v>
          </cell>
          <cell r="K2027" t="str">
            <v>-</v>
          </cell>
          <cell r="L2027" t="str">
            <v>OK</v>
          </cell>
        </row>
        <row r="2028">
          <cell r="A2028" t="str">
            <v>AHW-41937I22</v>
          </cell>
          <cell r="B2028">
            <v>4007925</v>
          </cell>
          <cell r="C2028" t="str">
            <v>Original</v>
          </cell>
          <cell r="D2028" t="str">
            <v>CTS</v>
          </cell>
          <cell r="E2028" t="str">
            <v>JP</v>
          </cell>
          <cell r="F2028">
            <v>44678</v>
          </cell>
          <cell r="G2028">
            <v>44686</v>
          </cell>
          <cell r="H2028">
            <v>44688</v>
          </cell>
          <cell r="I2028" t="str">
            <v>05.05.2022</v>
          </cell>
          <cell r="J2028" t="str">
            <v>04.05.2022</v>
          </cell>
          <cell r="K2028" t="str">
            <v>-</v>
          </cell>
          <cell r="L2028" t="str">
            <v>OK</v>
          </cell>
        </row>
        <row r="2029">
          <cell r="A2029" t="str">
            <v>SHW-41421I22</v>
          </cell>
          <cell r="B2029" t="str">
            <v>EGLV149201522748</v>
          </cell>
          <cell r="C2029" t="str">
            <v>Original</v>
          </cell>
          <cell r="D2029" t="str">
            <v>Shenker</v>
          </cell>
          <cell r="E2029" t="str">
            <v>Unitrading</v>
          </cell>
          <cell r="F2029">
            <v>44685</v>
          </cell>
          <cell r="G2029">
            <v>44693</v>
          </cell>
          <cell r="H2029">
            <v>44695</v>
          </cell>
          <cell r="I2029" t="str">
            <v>09.05.2022</v>
          </cell>
          <cell r="J2029" t="str">
            <v>04.05.2022</v>
          </cell>
          <cell r="K2029" t="str">
            <v>-</v>
          </cell>
          <cell r="L2029" t="str">
            <v>OK</v>
          </cell>
        </row>
        <row r="2030">
          <cell r="A2030" t="str">
            <v>SHW-41493I22</v>
          </cell>
          <cell r="B2030" t="str">
            <v>EGLV149202319202</v>
          </cell>
          <cell r="C2030" t="str">
            <v>Original</v>
          </cell>
          <cell r="D2030" t="str">
            <v>Shenker</v>
          </cell>
          <cell r="E2030" t="str">
            <v>Unitrading</v>
          </cell>
          <cell r="F2030">
            <v>44685</v>
          </cell>
          <cell r="G2030">
            <v>44693</v>
          </cell>
          <cell r="H2030">
            <v>44695</v>
          </cell>
          <cell r="I2030" t="str">
            <v>09.05.2022</v>
          </cell>
          <cell r="J2030" t="str">
            <v>04.05.2022</v>
          </cell>
          <cell r="K2030" t="str">
            <v>-</v>
          </cell>
          <cell r="L2030" t="str">
            <v>OK</v>
          </cell>
        </row>
        <row r="2031">
          <cell r="A2031" t="str">
            <v>SHW-41597I22</v>
          </cell>
          <cell r="B2031" t="str">
            <v>EGLV149202362493</v>
          </cell>
          <cell r="C2031" t="str">
            <v>Original</v>
          </cell>
          <cell r="D2031" t="str">
            <v>Shenker</v>
          </cell>
          <cell r="E2031" t="str">
            <v>Unitrading</v>
          </cell>
          <cell r="F2031">
            <v>44685</v>
          </cell>
          <cell r="G2031">
            <v>44693</v>
          </cell>
          <cell r="H2031">
            <v>44695</v>
          </cell>
          <cell r="I2031" t="str">
            <v>09.05.2022</v>
          </cell>
          <cell r="J2031" t="str">
            <v>06.05.2022</v>
          </cell>
          <cell r="K2031" t="str">
            <v>-</v>
          </cell>
          <cell r="L2031" t="str">
            <v>OK</v>
          </cell>
        </row>
        <row r="2032">
          <cell r="A2032" t="str">
            <v>AHW-42028I22</v>
          </cell>
          <cell r="B2032">
            <v>4007633</v>
          </cell>
          <cell r="C2032" t="str">
            <v>Original</v>
          </cell>
          <cell r="D2032" t="str">
            <v>CTS</v>
          </cell>
          <cell r="E2032" t="str">
            <v>JP</v>
          </cell>
          <cell r="F2032">
            <v>44687</v>
          </cell>
          <cell r="G2032">
            <v>44695</v>
          </cell>
          <cell r="H2032">
            <v>44697</v>
          </cell>
          <cell r="I2032" t="str">
            <v>19.05.2022</v>
          </cell>
          <cell r="J2032" t="str">
            <v>20.05.2022</v>
          </cell>
          <cell r="K2032" t="str">
            <v>-</v>
          </cell>
          <cell r="L2032" t="str">
            <v>OK</v>
          </cell>
        </row>
        <row r="2033">
          <cell r="A2033" t="str">
            <v>AHW-42030I22</v>
          </cell>
          <cell r="B2033">
            <v>4007640</v>
          </cell>
          <cell r="C2033" t="str">
            <v>Original</v>
          </cell>
          <cell r="D2033" t="str">
            <v>CTS</v>
          </cell>
          <cell r="E2033" t="str">
            <v>JP</v>
          </cell>
          <cell r="F2033">
            <v>44687</v>
          </cell>
          <cell r="G2033">
            <v>44695</v>
          </cell>
          <cell r="H2033">
            <v>44697</v>
          </cell>
          <cell r="I2033" t="str">
            <v>19.05.2022</v>
          </cell>
          <cell r="J2033" t="str">
            <v>20.05.2022</v>
          </cell>
          <cell r="K2033" t="str">
            <v>-</v>
          </cell>
          <cell r="L2033" t="str">
            <v>OK</v>
          </cell>
        </row>
        <row r="2034">
          <cell r="A2034" t="str">
            <v>AHW-42027I22</v>
          </cell>
          <cell r="B2034">
            <v>4007928</v>
          </cell>
          <cell r="C2034" t="str">
            <v>Original</v>
          </cell>
          <cell r="D2034" t="str">
            <v>CTS</v>
          </cell>
          <cell r="E2034" t="str">
            <v>JP</v>
          </cell>
          <cell r="F2034">
            <v>44691</v>
          </cell>
          <cell r="G2034">
            <v>44699</v>
          </cell>
          <cell r="H2034">
            <v>44701</v>
          </cell>
          <cell r="I2034" t="str">
            <v>19.05.2022</v>
          </cell>
          <cell r="J2034" t="str">
            <v>20.05.2022</v>
          </cell>
          <cell r="K2034" t="str">
            <v>-</v>
          </cell>
          <cell r="L2034" t="str">
            <v>OK</v>
          </cell>
        </row>
        <row r="2035">
          <cell r="A2035" t="str">
            <v>AHW-42029I22</v>
          </cell>
          <cell r="B2035">
            <v>4007636</v>
          </cell>
          <cell r="C2035" t="str">
            <v>Original</v>
          </cell>
          <cell r="D2035" t="str">
            <v>CTS</v>
          </cell>
          <cell r="E2035" t="str">
            <v>JP</v>
          </cell>
          <cell r="F2035">
            <v>44691</v>
          </cell>
          <cell r="G2035">
            <v>44699</v>
          </cell>
          <cell r="H2035">
            <v>44701</v>
          </cell>
          <cell r="I2035" t="str">
            <v>19.05.2022</v>
          </cell>
          <cell r="J2035" t="str">
            <v>20.05.2022</v>
          </cell>
          <cell r="K2035" t="str">
            <v>-</v>
          </cell>
          <cell r="L2035" t="str">
            <v>OK</v>
          </cell>
        </row>
        <row r="2036">
          <cell r="A2036" t="str">
            <v>AHW-42033I22</v>
          </cell>
          <cell r="B2036">
            <v>4007927</v>
          </cell>
          <cell r="C2036" t="str">
            <v>Original</v>
          </cell>
          <cell r="D2036" t="str">
            <v>CTS</v>
          </cell>
          <cell r="E2036" t="str">
            <v>JP</v>
          </cell>
          <cell r="F2036">
            <v>44691</v>
          </cell>
          <cell r="G2036">
            <v>44699</v>
          </cell>
          <cell r="H2036">
            <v>44701</v>
          </cell>
          <cell r="I2036" t="str">
            <v>19.05.2022</v>
          </cell>
          <cell r="J2036" t="str">
            <v>20.05.2022</v>
          </cell>
          <cell r="K2036" t="str">
            <v>-</v>
          </cell>
          <cell r="L2036" t="str">
            <v>OK</v>
          </cell>
        </row>
        <row r="2037">
          <cell r="A2037" t="str">
            <v>AHW-42034I22</v>
          </cell>
          <cell r="B2037">
            <v>4007671</v>
          </cell>
          <cell r="C2037" t="str">
            <v>Original</v>
          </cell>
          <cell r="D2037" t="str">
            <v>CTS</v>
          </cell>
          <cell r="E2037" t="str">
            <v>JP</v>
          </cell>
          <cell r="F2037">
            <v>44691</v>
          </cell>
          <cell r="G2037">
            <v>44699</v>
          </cell>
          <cell r="H2037">
            <v>44701</v>
          </cell>
          <cell r="I2037" t="str">
            <v>18.05.2022</v>
          </cell>
          <cell r="J2037" t="str">
            <v>20.05.2022</v>
          </cell>
          <cell r="K2037" t="str">
            <v>-</v>
          </cell>
          <cell r="L2037" t="str">
            <v>OK</v>
          </cell>
        </row>
        <row r="2038">
          <cell r="A2038" t="str">
            <v>AHW-42035I22</v>
          </cell>
          <cell r="B2038">
            <v>4007648</v>
          </cell>
          <cell r="C2038" t="str">
            <v>Original</v>
          </cell>
          <cell r="D2038" t="str">
            <v>CTS</v>
          </cell>
          <cell r="E2038" t="str">
            <v>JP</v>
          </cell>
          <cell r="F2038">
            <v>44691</v>
          </cell>
          <cell r="G2038">
            <v>44699</v>
          </cell>
          <cell r="H2038">
            <v>44701</v>
          </cell>
          <cell r="I2038" t="str">
            <v>18.05.2022</v>
          </cell>
          <cell r="J2038" t="str">
            <v>20.05.2022</v>
          </cell>
          <cell r="K2038" t="str">
            <v>-</v>
          </cell>
          <cell r="L2038" t="str">
            <v>OK</v>
          </cell>
        </row>
        <row r="2039">
          <cell r="A2039" t="str">
            <v>AHW-42036I22</v>
          </cell>
          <cell r="B2039">
            <v>4007646</v>
          </cell>
          <cell r="C2039" t="str">
            <v>Original</v>
          </cell>
          <cell r="D2039" t="str">
            <v>CTS</v>
          </cell>
          <cell r="E2039" t="str">
            <v>JP</v>
          </cell>
          <cell r="F2039">
            <v>44691</v>
          </cell>
          <cell r="G2039">
            <v>44699</v>
          </cell>
          <cell r="H2039">
            <v>44701</v>
          </cell>
          <cell r="I2039" t="str">
            <v>19.05.2022</v>
          </cell>
          <cell r="J2039" t="str">
            <v>20.05.2022</v>
          </cell>
          <cell r="K2039" t="str">
            <v>-</v>
          </cell>
          <cell r="L2039" t="str">
            <v>OK</v>
          </cell>
        </row>
        <row r="2040">
          <cell r="A2040" t="str">
            <v>SHW-41598I22</v>
          </cell>
          <cell r="B2040" t="str">
            <v>EGLV149201522853</v>
          </cell>
          <cell r="C2040" t="str">
            <v>Original</v>
          </cell>
          <cell r="D2040" t="str">
            <v>Shenker</v>
          </cell>
          <cell r="E2040" t="str">
            <v>Unitrading</v>
          </cell>
          <cell r="F2040">
            <v>44691</v>
          </cell>
          <cell r="G2040">
            <v>44699</v>
          </cell>
          <cell r="H2040">
            <v>44701</v>
          </cell>
          <cell r="I2040" t="str">
            <v>20.05.2022</v>
          </cell>
          <cell r="J2040" t="str">
            <v>13.05.2022</v>
          </cell>
          <cell r="K2040" t="str">
            <v>-</v>
          </cell>
          <cell r="L2040" t="str">
            <v>OK</v>
          </cell>
        </row>
        <row r="2041">
          <cell r="A2041" t="str">
            <v>SHW-41715I22</v>
          </cell>
          <cell r="B2041" t="str">
            <v>EGLV149202556514</v>
          </cell>
          <cell r="C2041" t="str">
            <v>Original</v>
          </cell>
          <cell r="D2041" t="str">
            <v>Shenker</v>
          </cell>
          <cell r="E2041" t="str">
            <v>Unitrading</v>
          </cell>
          <cell r="F2041">
            <v>44691</v>
          </cell>
          <cell r="G2041">
            <v>44699</v>
          </cell>
          <cell r="H2041">
            <v>44701</v>
          </cell>
          <cell r="I2041" t="str">
            <v>20.05.2022</v>
          </cell>
          <cell r="J2041" t="str">
            <v>13.05.2022</v>
          </cell>
          <cell r="K2041" t="str">
            <v>-</v>
          </cell>
          <cell r="L2041" t="str">
            <v>OK</v>
          </cell>
        </row>
        <row r="2042">
          <cell r="A2042" t="str">
            <v>SHW-41236I22</v>
          </cell>
          <cell r="B2042" t="str">
            <v>EGLV149201870312</v>
          </cell>
          <cell r="C2042" t="str">
            <v>Original</v>
          </cell>
          <cell r="D2042" t="str">
            <v>Shenker</v>
          </cell>
          <cell r="E2042" t="str">
            <v>Unitrading</v>
          </cell>
          <cell r="F2042">
            <v>44693</v>
          </cell>
          <cell r="G2042">
            <v>44701</v>
          </cell>
          <cell r="H2042">
            <v>44703</v>
          </cell>
          <cell r="I2042" t="str">
            <v>20.05.2022</v>
          </cell>
          <cell r="J2042" t="str">
            <v>18.05.2022</v>
          </cell>
          <cell r="K2042" t="str">
            <v>-</v>
          </cell>
          <cell r="L2042" t="str">
            <v>OK</v>
          </cell>
        </row>
        <row r="2043">
          <cell r="A2043" t="str">
            <v>SHW-41221I22</v>
          </cell>
          <cell r="B2043" t="str">
            <v>EGLV149201870266</v>
          </cell>
          <cell r="C2043" t="str">
            <v>Original</v>
          </cell>
          <cell r="D2043" t="str">
            <v>Shenker</v>
          </cell>
          <cell r="E2043" t="str">
            <v>Unitrading</v>
          </cell>
          <cell r="F2043">
            <v>44693</v>
          </cell>
          <cell r="G2043">
            <v>44701</v>
          </cell>
          <cell r="H2043">
            <v>44703</v>
          </cell>
          <cell r="I2043" t="str">
            <v>20.05.2022</v>
          </cell>
          <cell r="J2043" t="str">
            <v>13.05.2022</v>
          </cell>
          <cell r="K2043" t="str">
            <v>-</v>
          </cell>
          <cell r="L2043" t="str">
            <v>OK</v>
          </cell>
        </row>
        <row r="2044">
          <cell r="A2044" t="str">
            <v>AHW-42037I22</v>
          </cell>
          <cell r="B2044">
            <v>4007690</v>
          </cell>
          <cell r="C2044" t="str">
            <v>Original</v>
          </cell>
          <cell r="D2044" t="str">
            <v>CTS</v>
          </cell>
          <cell r="E2044" t="str">
            <v>JP</v>
          </cell>
          <cell r="F2044">
            <v>44694</v>
          </cell>
          <cell r="G2044">
            <v>44702</v>
          </cell>
          <cell r="H2044">
            <v>44704</v>
          </cell>
          <cell r="I2044" t="str">
            <v>20.05.2022</v>
          </cell>
          <cell r="J2044" t="str">
            <v>20.05.2022</v>
          </cell>
          <cell r="K2044" t="str">
            <v>-</v>
          </cell>
          <cell r="L2044" t="str">
            <v>OK</v>
          </cell>
        </row>
        <row r="2045">
          <cell r="A2045" t="str">
            <v>AHW-42038I22</v>
          </cell>
          <cell r="B2045">
            <v>4007643</v>
          </cell>
          <cell r="C2045" t="str">
            <v>Original</v>
          </cell>
          <cell r="D2045" t="str">
            <v>CTS</v>
          </cell>
          <cell r="E2045" t="str">
            <v>JP</v>
          </cell>
          <cell r="F2045">
            <v>44697</v>
          </cell>
          <cell r="G2045">
            <v>44705</v>
          </cell>
          <cell r="H2045">
            <v>44707</v>
          </cell>
          <cell r="I2045" t="str">
            <v>20.05.2022</v>
          </cell>
          <cell r="J2045" t="str">
            <v>07.06.2022</v>
          </cell>
          <cell r="K2045" t="str">
            <v>-</v>
          </cell>
          <cell r="L2045" t="str">
            <v>OK</v>
          </cell>
        </row>
        <row r="2046">
          <cell r="A2046" t="str">
            <v>AHW-42354I22</v>
          </cell>
          <cell r="B2046">
            <v>4008249</v>
          </cell>
          <cell r="C2046" t="str">
            <v>Original</v>
          </cell>
          <cell r="D2046" t="str">
            <v>CTS</v>
          </cell>
          <cell r="E2046" t="str">
            <v>JP</v>
          </cell>
          <cell r="F2046">
            <v>44694</v>
          </cell>
          <cell r="G2046">
            <v>44702</v>
          </cell>
          <cell r="H2046">
            <v>44704</v>
          </cell>
          <cell r="I2046" t="str">
            <v>20.05.2022</v>
          </cell>
          <cell r="J2046" t="str">
            <v>20.05.2022</v>
          </cell>
          <cell r="K2046" t="str">
            <v>-</v>
          </cell>
          <cell r="L2046" t="str">
            <v>OK</v>
          </cell>
        </row>
        <row r="2047">
          <cell r="A2047" t="str">
            <v>AHW-42355I22</v>
          </cell>
          <cell r="B2047">
            <v>4008255</v>
          </cell>
          <cell r="C2047" t="str">
            <v>Original</v>
          </cell>
          <cell r="D2047" t="str">
            <v>CTS</v>
          </cell>
          <cell r="E2047" t="str">
            <v>JP</v>
          </cell>
          <cell r="F2047">
            <v>44694</v>
          </cell>
          <cell r="G2047">
            <v>44702</v>
          </cell>
          <cell r="H2047">
            <v>44704</v>
          </cell>
          <cell r="I2047" t="str">
            <v>18.05.2022</v>
          </cell>
          <cell r="J2047" t="str">
            <v>20.05.2022</v>
          </cell>
          <cell r="K2047" t="str">
            <v>-</v>
          </cell>
          <cell r="L2047" t="str">
            <v>OK</v>
          </cell>
        </row>
        <row r="2048">
          <cell r="A2048" t="str">
            <v>AHW-42357I22</v>
          </cell>
          <cell r="B2048">
            <v>4008256</v>
          </cell>
          <cell r="C2048" t="str">
            <v>Original</v>
          </cell>
          <cell r="D2048" t="str">
            <v>CTS</v>
          </cell>
          <cell r="E2048" t="str">
            <v>JP</v>
          </cell>
          <cell r="F2048">
            <v>44694</v>
          </cell>
          <cell r="G2048">
            <v>44702</v>
          </cell>
          <cell r="H2048">
            <v>44704</v>
          </cell>
          <cell r="I2048" t="str">
            <v>18.05.2022</v>
          </cell>
          <cell r="J2048" t="str">
            <v>20.05.2022</v>
          </cell>
          <cell r="K2048" t="str">
            <v>-</v>
          </cell>
          <cell r="L2048" t="str">
            <v>OK</v>
          </cell>
        </row>
        <row r="2049">
          <cell r="A2049" t="str">
            <v>AHW-42358I22</v>
          </cell>
          <cell r="B2049">
            <v>4007687</v>
          </cell>
          <cell r="C2049" t="str">
            <v>Original</v>
          </cell>
          <cell r="D2049" t="str">
            <v>CTS</v>
          </cell>
          <cell r="E2049" t="str">
            <v>JP</v>
          </cell>
          <cell r="F2049">
            <v>44694</v>
          </cell>
          <cell r="G2049">
            <v>44702</v>
          </cell>
          <cell r="H2049">
            <v>44704</v>
          </cell>
          <cell r="I2049" t="str">
            <v>20.05.2022</v>
          </cell>
          <cell r="J2049" t="str">
            <v>20.05.2022</v>
          </cell>
          <cell r="K2049" t="str">
            <v>-</v>
          </cell>
          <cell r="L2049" t="str">
            <v>OK</v>
          </cell>
        </row>
        <row r="2050">
          <cell r="A2050" t="str">
            <v>AHW-42359I22</v>
          </cell>
          <cell r="B2050">
            <v>4008253</v>
          </cell>
          <cell r="C2050" t="str">
            <v>Original</v>
          </cell>
          <cell r="D2050" t="str">
            <v>CTS</v>
          </cell>
          <cell r="E2050" t="str">
            <v>JP</v>
          </cell>
          <cell r="F2050">
            <v>44694</v>
          </cell>
          <cell r="G2050">
            <v>44702</v>
          </cell>
          <cell r="H2050">
            <v>44704</v>
          </cell>
          <cell r="I2050" t="str">
            <v>20.05.2022</v>
          </cell>
          <cell r="J2050" t="str">
            <v>20.05.2022</v>
          </cell>
          <cell r="K2050" t="str">
            <v>-</v>
          </cell>
          <cell r="L2050" t="str">
            <v>OK</v>
          </cell>
        </row>
        <row r="2051">
          <cell r="A2051" t="str">
            <v>AHW-42360I22</v>
          </cell>
          <cell r="B2051">
            <v>4008252</v>
          </cell>
          <cell r="C2051" t="str">
            <v>Original</v>
          </cell>
          <cell r="D2051" t="str">
            <v>CTS</v>
          </cell>
          <cell r="E2051" t="str">
            <v>JP</v>
          </cell>
          <cell r="F2051">
            <v>44694</v>
          </cell>
          <cell r="G2051">
            <v>44702</v>
          </cell>
          <cell r="H2051">
            <v>44704</v>
          </cell>
          <cell r="I2051" t="str">
            <v>18.05.2022</v>
          </cell>
          <cell r="J2051" t="str">
            <v>20.05.2022</v>
          </cell>
          <cell r="K2051" t="str">
            <v>-</v>
          </cell>
          <cell r="L2051" t="str">
            <v>OK</v>
          </cell>
        </row>
        <row r="2052">
          <cell r="A2052" t="str">
            <v>AHW-42362I22</v>
          </cell>
          <cell r="B2052">
            <v>4007685</v>
          </cell>
          <cell r="C2052" t="str">
            <v>Original</v>
          </cell>
          <cell r="D2052" t="str">
            <v>CTS</v>
          </cell>
          <cell r="E2052" t="str">
            <v>JP</v>
          </cell>
          <cell r="F2052">
            <v>44694</v>
          </cell>
          <cell r="G2052">
            <v>44702</v>
          </cell>
          <cell r="H2052">
            <v>44704</v>
          </cell>
          <cell r="I2052" t="str">
            <v>20.05.2022</v>
          </cell>
          <cell r="J2052" t="str">
            <v>20.05.2022</v>
          </cell>
          <cell r="K2052" t="str">
            <v>-</v>
          </cell>
          <cell r="L2052" t="str">
            <v>OK</v>
          </cell>
        </row>
        <row r="2053">
          <cell r="A2053" t="str">
            <v>AHW-42364I22</v>
          </cell>
          <cell r="B2053">
            <v>4007695</v>
          </cell>
          <cell r="C2053" t="str">
            <v>Original</v>
          </cell>
          <cell r="D2053" t="str">
            <v>CTS</v>
          </cell>
          <cell r="E2053" t="str">
            <v>JP</v>
          </cell>
          <cell r="F2053">
            <v>44694</v>
          </cell>
          <cell r="G2053">
            <v>44702</v>
          </cell>
          <cell r="H2053">
            <v>44704</v>
          </cell>
          <cell r="I2053" t="str">
            <v>18.05.2022</v>
          </cell>
          <cell r="J2053" t="str">
            <v>20.05.2022</v>
          </cell>
          <cell r="K2053" t="str">
            <v>-</v>
          </cell>
          <cell r="L2053" t="str">
            <v>OK</v>
          </cell>
        </row>
        <row r="2054">
          <cell r="A2054" t="str">
            <v>AHW-42375I22</v>
          </cell>
          <cell r="B2054">
            <v>4008305</v>
          </cell>
          <cell r="C2054" t="str">
            <v>Original</v>
          </cell>
          <cell r="D2054" t="str">
            <v>CTS</v>
          </cell>
          <cell r="E2054" t="str">
            <v>JP</v>
          </cell>
          <cell r="F2054">
            <v>44694</v>
          </cell>
          <cell r="G2054">
            <v>44702</v>
          </cell>
          <cell r="H2054">
            <v>44704</v>
          </cell>
          <cell r="I2054" t="str">
            <v>18.05.2022</v>
          </cell>
          <cell r="J2054" t="str">
            <v>20.05.2022</v>
          </cell>
          <cell r="K2054" t="str">
            <v>-</v>
          </cell>
          <cell r="L2054" t="str">
            <v>OK</v>
          </cell>
        </row>
        <row r="2055">
          <cell r="A2055" t="str">
            <v>AMS-41930I22</v>
          </cell>
          <cell r="B2055" t="str">
            <v>1Z6469V00475367824
1Z6469V00475652882
1Z6469V00475360705
1Z6469V00475103877
1Z6469V00474963468
1Z6469V00474711515
1Z6469V00474235656
1Z6469V00474233836
1Z6469V00473766496
1Z6469V00473484442
1Z6469V00473054924</v>
          </cell>
          <cell r="C2055" t="str">
            <v>Brasiliense</v>
          </cell>
          <cell r="D2055" t="str">
            <v>UPS</v>
          </cell>
          <cell r="E2055" t="str">
            <v>Future</v>
          </cell>
          <cell r="F2055">
            <v>44697</v>
          </cell>
          <cell r="G2055">
            <v>44705</v>
          </cell>
          <cell r="H2055">
            <v>44707</v>
          </cell>
          <cell r="I2055" t="str">
            <v>25.05.2022</v>
          </cell>
          <cell r="J2055" t="str">
            <v>20.05.2022</v>
          </cell>
          <cell r="K2055" t="str">
            <v>25.05.2022</v>
          </cell>
          <cell r="L2055" t="str">
            <v>OK</v>
          </cell>
        </row>
        <row r="2056">
          <cell r="A2056" t="str">
            <v>AMS-41931I22</v>
          </cell>
          <cell r="B2056" t="str">
            <v>1Z6469V00473799193
1Z6469V00475885452
1Z6469V00475728292
1Z6469V00475506245
1Z6469V00474948216
1Z6469V00474835409
1Z6469V00474707637
1Z6469V00474449676
1Z6469V00473666684
1Z6469V00473573622
1Z6469V00473121262</v>
          </cell>
          <cell r="C2056" t="str">
            <v>Brasiliense</v>
          </cell>
          <cell r="D2056" t="str">
            <v>UPS</v>
          </cell>
          <cell r="E2056" t="str">
            <v>Future</v>
          </cell>
          <cell r="F2056">
            <v>44697</v>
          </cell>
          <cell r="G2056">
            <v>44705</v>
          </cell>
          <cell r="H2056">
            <v>44707</v>
          </cell>
          <cell r="I2056" t="str">
            <v>25.05.2022</v>
          </cell>
          <cell r="J2056" t="str">
            <v>20.05.2022</v>
          </cell>
          <cell r="K2056" t="str">
            <v>25.05.2022</v>
          </cell>
          <cell r="L2056" t="str">
            <v>OK</v>
          </cell>
        </row>
        <row r="2057">
          <cell r="A2057" t="str">
            <v>AMS-42342I22</v>
          </cell>
          <cell r="B2057" t="str">
            <v xml:space="preserve">1Z6469V00473818653
1Z6469V00475869498
1Z6469V00475843701
1Z6469V00475783759
1Z6469V00475697923
1Z6469V00475658984
1Z6469V00475374512
1Z6469V00475175880
1Z6469V00474837569
1Z6469V00474726465
1Z6469V00474263974
1Z6469V00474066544
1Z6469V00473846873
1Z6469V00473778590
1Z6469V00473609932 </v>
          </cell>
          <cell r="C2057" t="str">
            <v>Brasiliense</v>
          </cell>
          <cell r="D2057" t="str">
            <v>UPS</v>
          </cell>
          <cell r="E2057" t="str">
            <v>Future</v>
          </cell>
          <cell r="F2057">
            <v>44698</v>
          </cell>
          <cell r="G2057">
            <v>44706</v>
          </cell>
          <cell r="H2057">
            <v>44708</v>
          </cell>
          <cell r="I2057" t="str">
            <v>25.05.2022</v>
          </cell>
          <cell r="J2057" t="str">
            <v>07.06.2022</v>
          </cell>
          <cell r="K2057" t="str">
            <v>25.05.2022</v>
          </cell>
          <cell r="L2057" t="str">
            <v>OK</v>
          </cell>
        </row>
        <row r="2058">
          <cell r="A2058" t="str">
            <v>AMS-42344I22</v>
          </cell>
          <cell r="B2058" t="str">
            <v>1Z6469V00474135504
1Z6469V00475825730
1Z6469V00475525724
1Z6469V00474494313</v>
          </cell>
          <cell r="C2058" t="str">
            <v>Brasiliense</v>
          </cell>
          <cell r="D2058" t="str">
            <v>UPS</v>
          </cell>
          <cell r="E2058" t="str">
            <v>Future</v>
          </cell>
          <cell r="F2058">
            <v>44697</v>
          </cell>
          <cell r="G2058">
            <v>44705</v>
          </cell>
          <cell r="H2058">
            <v>44707</v>
          </cell>
          <cell r="I2058" t="str">
            <v>25.05.2022</v>
          </cell>
          <cell r="J2058" t="str">
            <v>06.06.2022</v>
          </cell>
          <cell r="K2058" t="str">
            <v>25.05.2022</v>
          </cell>
          <cell r="L2058" t="str">
            <v>OK</v>
          </cell>
        </row>
        <row r="2059">
          <cell r="A2059" t="str">
            <v>AMS-42345I22</v>
          </cell>
          <cell r="B2059" t="str">
            <v>1Z6469V00473348465
1Z6469V00475588872
1Z6469V00475451492
1Z6469V00475237885
1Z6469V00475039929
1Z6469V00474596516
1Z6469V00474271938
1Z6469V00474248544
1Z6469V00473145700</v>
          </cell>
          <cell r="C2059" t="str">
            <v>Brasiliense</v>
          </cell>
          <cell r="D2059" t="str">
            <v>UPS</v>
          </cell>
          <cell r="E2059" t="str">
            <v>Future</v>
          </cell>
          <cell r="F2059">
            <v>44697</v>
          </cell>
          <cell r="G2059">
            <v>44705</v>
          </cell>
          <cell r="H2059">
            <v>44707</v>
          </cell>
          <cell r="I2059" t="str">
            <v>25.05.2022</v>
          </cell>
          <cell r="J2059" t="str">
            <v>06.06.2022</v>
          </cell>
          <cell r="K2059" t="str">
            <v>25.05.2022</v>
          </cell>
          <cell r="L2059" t="str">
            <v>OK</v>
          </cell>
        </row>
        <row r="2060">
          <cell r="A2060" t="str">
            <v>AMS-42347I22</v>
          </cell>
          <cell r="B2060" t="str">
            <v>1Z6469V00473150347
1Z6469V00475831778
1Z6469V00474015554
1Z6469V00473297369</v>
          </cell>
          <cell r="C2060" t="str">
            <v>Brasiliense</v>
          </cell>
          <cell r="D2060" t="str">
            <v>UPS</v>
          </cell>
          <cell r="E2060" t="str">
            <v>Future</v>
          </cell>
          <cell r="F2060">
            <v>44697</v>
          </cell>
          <cell r="G2060">
            <v>44705</v>
          </cell>
          <cell r="H2060">
            <v>44707</v>
          </cell>
          <cell r="I2060" t="str">
            <v>25.05.2022</v>
          </cell>
          <cell r="J2060" t="str">
            <v>06.06.2022</v>
          </cell>
          <cell r="K2060" t="str">
            <v>25.05.2022</v>
          </cell>
          <cell r="L2060" t="str">
            <v>OK</v>
          </cell>
        </row>
        <row r="2061">
          <cell r="A2061" t="str">
            <v>AMS-42331I22</v>
          </cell>
          <cell r="B2061">
            <v>395914282</v>
          </cell>
          <cell r="C2061" t="str">
            <v>Original</v>
          </cell>
          <cell r="D2061" t="str">
            <v>PGL</v>
          </cell>
          <cell r="E2061" t="str">
            <v>Technology</v>
          </cell>
          <cell r="F2061">
            <v>44697</v>
          </cell>
          <cell r="G2061">
            <v>44705</v>
          </cell>
          <cell r="H2061">
            <v>44707</v>
          </cell>
          <cell r="I2061" t="str">
            <v>20.05.2022</v>
          </cell>
          <cell r="J2061" t="str">
            <v>18.05.2022</v>
          </cell>
          <cell r="K2061" t="str">
            <v>-</v>
          </cell>
          <cell r="L2061" t="str">
            <v>OK</v>
          </cell>
        </row>
        <row r="2062">
          <cell r="A2062" t="str">
            <v>AMS-42332I22</v>
          </cell>
          <cell r="B2062">
            <v>395914395</v>
          </cell>
          <cell r="C2062" t="str">
            <v>Original</v>
          </cell>
          <cell r="D2062" t="str">
            <v>PGL</v>
          </cell>
          <cell r="E2062" t="str">
            <v>Technology</v>
          </cell>
          <cell r="F2062">
            <v>44697</v>
          </cell>
          <cell r="G2062">
            <v>44705</v>
          </cell>
          <cell r="H2062">
            <v>44707</v>
          </cell>
          <cell r="I2062" t="str">
            <v>20.05.2022</v>
          </cell>
          <cell r="J2062" t="str">
            <v>18.05.2022</v>
          </cell>
          <cell r="K2062" t="str">
            <v>-</v>
          </cell>
          <cell r="L2062" t="str">
            <v>OK</v>
          </cell>
        </row>
        <row r="2063">
          <cell r="A2063" t="str">
            <v>AMS-42333I22</v>
          </cell>
          <cell r="B2063">
            <v>395914418</v>
          </cell>
          <cell r="C2063" t="str">
            <v>Original</v>
          </cell>
          <cell r="D2063" t="str">
            <v>PGL</v>
          </cell>
          <cell r="E2063" t="str">
            <v>Technology</v>
          </cell>
          <cell r="F2063">
            <v>44697</v>
          </cell>
          <cell r="G2063">
            <v>44705</v>
          </cell>
          <cell r="H2063">
            <v>44707</v>
          </cell>
          <cell r="I2063" t="str">
            <v>20.05.2022</v>
          </cell>
          <cell r="J2063" t="str">
            <v>18.05.2022</v>
          </cell>
          <cell r="K2063" t="str">
            <v>-</v>
          </cell>
          <cell r="L2063" t="str">
            <v>OK</v>
          </cell>
        </row>
        <row r="2064">
          <cell r="A2064" t="str">
            <v>AMS-42334I22</v>
          </cell>
          <cell r="B2064">
            <v>395914446</v>
          </cell>
          <cell r="C2064" t="str">
            <v>Original</v>
          </cell>
          <cell r="D2064" t="str">
            <v>PGL</v>
          </cell>
          <cell r="E2064" t="str">
            <v>Technology</v>
          </cell>
          <cell r="F2064">
            <v>44697</v>
          </cell>
          <cell r="G2064">
            <v>44705</v>
          </cell>
          <cell r="H2064">
            <v>44707</v>
          </cell>
          <cell r="I2064" t="str">
            <v>20.05.2022</v>
          </cell>
          <cell r="J2064" t="str">
            <v>18.05.2022</v>
          </cell>
          <cell r="K2064" t="str">
            <v>-</v>
          </cell>
          <cell r="L2064" t="str">
            <v>OK</v>
          </cell>
        </row>
        <row r="2065">
          <cell r="A2065" t="str">
            <v>AMS-42335I22</v>
          </cell>
          <cell r="B2065" t="str">
            <v>1Z6469V00474885543</v>
          </cell>
          <cell r="C2065" t="str">
            <v>Brasiliense</v>
          </cell>
          <cell r="D2065" t="str">
            <v>UPS</v>
          </cell>
          <cell r="E2065" t="str">
            <v>Future</v>
          </cell>
          <cell r="F2065">
            <v>44697</v>
          </cell>
          <cell r="G2065">
            <v>44705</v>
          </cell>
          <cell r="H2065">
            <v>44707</v>
          </cell>
          <cell r="I2065" t="str">
            <v>25.05.2022</v>
          </cell>
          <cell r="J2065" t="str">
            <v>06.06.2022</v>
          </cell>
          <cell r="K2065" t="str">
            <v>25.05.2022</v>
          </cell>
          <cell r="L2065" t="str">
            <v>OK</v>
          </cell>
        </row>
        <row r="2066">
          <cell r="A2066" t="str">
            <v>AMS-42336I22</v>
          </cell>
          <cell r="B2066" t="str">
            <v>1Z6469V00475342752</v>
          </cell>
          <cell r="C2066" t="str">
            <v>Brasiliense</v>
          </cell>
          <cell r="D2066" t="str">
            <v>UPS</v>
          </cell>
          <cell r="E2066" t="str">
            <v>Future</v>
          </cell>
          <cell r="F2066">
            <v>44697</v>
          </cell>
          <cell r="G2066">
            <v>44705</v>
          </cell>
          <cell r="H2066">
            <v>44707</v>
          </cell>
          <cell r="I2066" t="str">
            <v>25.05.2022</v>
          </cell>
          <cell r="J2066" t="str">
            <v>06.06.2022</v>
          </cell>
          <cell r="K2066" t="str">
            <v>25.05.2022</v>
          </cell>
          <cell r="L2066" t="str">
            <v>OK</v>
          </cell>
        </row>
        <row r="2067">
          <cell r="A2067" t="str">
            <v>AMS-42339I22</v>
          </cell>
          <cell r="B2067" t="str">
            <v>1Z6469V00473357535</v>
          </cell>
          <cell r="C2067" t="str">
            <v>Brasiliense</v>
          </cell>
          <cell r="D2067" t="str">
            <v>UPS</v>
          </cell>
          <cell r="E2067" t="str">
            <v>Future</v>
          </cell>
          <cell r="F2067">
            <v>44697</v>
          </cell>
          <cell r="G2067">
            <v>44705</v>
          </cell>
          <cell r="H2067">
            <v>44707</v>
          </cell>
          <cell r="I2067" t="str">
            <v>25.05.2022</v>
          </cell>
          <cell r="J2067" t="str">
            <v>06.06.2022</v>
          </cell>
          <cell r="K2067" t="str">
            <v>25.05.2022</v>
          </cell>
          <cell r="L2067" t="str">
            <v>OK</v>
          </cell>
        </row>
        <row r="2068">
          <cell r="A2068" t="str">
            <v>AMS-42341I22</v>
          </cell>
          <cell r="B2068" t="str">
            <v>1Z6469V00474672317</v>
          </cell>
          <cell r="C2068" t="str">
            <v>Brasiliense</v>
          </cell>
          <cell r="D2068" t="str">
            <v>UPS</v>
          </cell>
          <cell r="E2068" t="str">
            <v>Future</v>
          </cell>
          <cell r="F2068">
            <v>44697</v>
          </cell>
          <cell r="G2068">
            <v>44705</v>
          </cell>
          <cell r="H2068">
            <v>44707</v>
          </cell>
          <cell r="I2068" t="str">
            <v>25.05.2022</v>
          </cell>
          <cell r="J2068" t="str">
            <v>06.06.2022</v>
          </cell>
          <cell r="K2068" t="str">
            <v>25.05.2022</v>
          </cell>
          <cell r="L2068" t="str">
            <v>OK</v>
          </cell>
        </row>
        <row r="2069">
          <cell r="A2069" t="str">
            <v>AMS-41936I22</v>
          </cell>
          <cell r="B2069">
            <v>2201293</v>
          </cell>
          <cell r="C2069" t="str">
            <v>Brasiliense</v>
          </cell>
          <cell r="D2069" t="str">
            <v>Asia Shipping</v>
          </cell>
          <cell r="E2069" t="str">
            <v>Future</v>
          </cell>
          <cell r="F2069">
            <v>44679</v>
          </cell>
          <cell r="G2069">
            <v>44687</v>
          </cell>
          <cell r="H2069">
            <v>44689</v>
          </cell>
          <cell r="I2069" t="str">
            <v>05.05.2022</v>
          </cell>
          <cell r="J2069" t="str">
            <v>04.05.2022</v>
          </cell>
          <cell r="K2069" t="str">
            <v>04.05.2022</v>
          </cell>
          <cell r="L2069" t="str">
            <v>OK</v>
          </cell>
        </row>
        <row r="2070">
          <cell r="A2070" t="str">
            <v>AMS-42340I22</v>
          </cell>
          <cell r="B2070" t="str">
            <v>1Z6469V00475240951</v>
          </cell>
          <cell r="C2070" t="str">
            <v>Brasiliense</v>
          </cell>
          <cell r="D2070" t="str">
            <v>UPS</v>
          </cell>
          <cell r="E2070" t="str">
            <v>Future</v>
          </cell>
          <cell r="F2070">
            <v>44691</v>
          </cell>
          <cell r="G2070">
            <v>44699</v>
          </cell>
          <cell r="H2070">
            <v>44701</v>
          </cell>
          <cell r="I2070" t="str">
            <v>16.05.2022</v>
          </cell>
          <cell r="J2070" t="str">
            <v>20.05.2022</v>
          </cell>
          <cell r="K2070" t="str">
            <v>20.05.2022</v>
          </cell>
          <cell r="L2070" t="str">
            <v>OK</v>
          </cell>
        </row>
        <row r="2071">
          <cell r="A2071" t="str">
            <v>AMS-42338I22</v>
          </cell>
          <cell r="B2071" t="str">
            <v>1Z6469V00473019169</v>
          </cell>
          <cell r="C2071" t="str">
            <v>Brasiliense</v>
          </cell>
          <cell r="D2071" t="str">
            <v>UPS</v>
          </cell>
          <cell r="E2071" t="str">
            <v>Future</v>
          </cell>
          <cell r="F2071">
            <v>44692</v>
          </cell>
          <cell r="G2071">
            <v>44700</v>
          </cell>
          <cell r="H2071">
            <v>44702</v>
          </cell>
          <cell r="I2071" t="str">
            <v>25.05.2022</v>
          </cell>
          <cell r="J2071" t="str">
            <v>20.05.2022</v>
          </cell>
          <cell r="K2071" t="str">
            <v>20.05.2022</v>
          </cell>
          <cell r="L2071" t="str">
            <v>OK</v>
          </cell>
        </row>
        <row r="2072">
          <cell r="A2072" t="str">
            <v>AHW-42376I22</v>
          </cell>
          <cell r="B2072">
            <v>4008316</v>
          </cell>
          <cell r="C2072" t="str">
            <v>Original</v>
          </cell>
          <cell r="D2072" t="str">
            <v>CTS</v>
          </cell>
          <cell r="E2072" t="str">
            <v>JP</v>
          </cell>
          <cell r="F2072">
            <v>44700</v>
          </cell>
          <cell r="G2072">
            <v>44708</v>
          </cell>
          <cell r="H2072">
            <v>44710</v>
          </cell>
          <cell r="I2072" t="str">
            <v>24.05.2022</v>
          </cell>
          <cell r="J2072" t="str">
            <v>11.07.2022</v>
          </cell>
          <cell r="K2072" t="str">
            <v>-</v>
          </cell>
          <cell r="L2072" t="str">
            <v>OK</v>
          </cell>
        </row>
        <row r="2073">
          <cell r="A2073" t="str">
            <v>AHW-42377I22</v>
          </cell>
          <cell r="B2073">
            <v>4008312</v>
          </cell>
          <cell r="C2073" t="str">
            <v>Original</v>
          </cell>
          <cell r="D2073" t="str">
            <v>CTS</v>
          </cell>
          <cell r="E2073" t="str">
            <v>JP</v>
          </cell>
          <cell r="F2073">
            <v>44700</v>
          </cell>
          <cell r="G2073">
            <v>44708</v>
          </cell>
          <cell r="H2073">
            <v>44710</v>
          </cell>
          <cell r="I2073" t="str">
            <v>24.05.2022</v>
          </cell>
          <cell r="J2073" t="str">
            <v>11.07.2022</v>
          </cell>
          <cell r="K2073" t="str">
            <v>-</v>
          </cell>
          <cell r="L2073" t="str">
            <v>OK</v>
          </cell>
        </row>
        <row r="2074">
          <cell r="A2074" t="str">
            <v>AHW-42378I22</v>
          </cell>
          <cell r="B2074">
            <v>4008320</v>
          </cell>
          <cell r="C2074" t="str">
            <v>Original</v>
          </cell>
          <cell r="D2074" t="str">
            <v>CTS</v>
          </cell>
          <cell r="E2074" t="str">
            <v>JP</v>
          </cell>
          <cell r="F2074">
            <v>44700</v>
          </cell>
          <cell r="G2074">
            <v>44708</v>
          </cell>
          <cell r="H2074">
            <v>44710</v>
          </cell>
          <cell r="I2074" t="str">
            <v>24.05.2022</v>
          </cell>
          <cell r="J2074" t="str">
            <v>11.07.2022</v>
          </cell>
          <cell r="K2074" t="str">
            <v>-</v>
          </cell>
          <cell r="L2074" t="str">
            <v>OK</v>
          </cell>
        </row>
        <row r="2075">
          <cell r="A2075" t="str">
            <v>AHW-42382I22</v>
          </cell>
          <cell r="B2075">
            <v>4008314</v>
          </cell>
          <cell r="C2075" t="str">
            <v>Original</v>
          </cell>
          <cell r="D2075" t="str">
            <v>CTS</v>
          </cell>
          <cell r="E2075" t="str">
            <v>JP</v>
          </cell>
          <cell r="F2075">
            <v>44700</v>
          </cell>
          <cell r="G2075">
            <v>44708</v>
          </cell>
          <cell r="H2075">
            <v>44710</v>
          </cell>
          <cell r="I2075" t="str">
            <v>24.05.2022</v>
          </cell>
          <cell r="J2075" t="str">
            <v>11.07.2022</v>
          </cell>
          <cell r="K2075" t="str">
            <v>-</v>
          </cell>
          <cell r="L2075" t="str">
            <v>OK</v>
          </cell>
        </row>
        <row r="2076">
          <cell r="A2076" t="str">
            <v>SHW-41220I22</v>
          </cell>
          <cell r="B2076" t="str">
            <v>EGLV149201773384</v>
          </cell>
          <cell r="C2076" t="str">
            <v>Original</v>
          </cell>
          <cell r="D2076" t="str">
            <v>Shenker</v>
          </cell>
          <cell r="E2076" t="str">
            <v>Unitrading</v>
          </cell>
          <cell r="F2076">
            <v>44698</v>
          </cell>
          <cell r="G2076">
            <v>44706</v>
          </cell>
          <cell r="H2076">
            <v>44708</v>
          </cell>
          <cell r="I2076" t="str">
            <v>20.05.2022</v>
          </cell>
          <cell r="J2076" t="str">
            <v>18.05.2022</v>
          </cell>
          <cell r="K2076" t="str">
            <v>-</v>
          </cell>
          <cell r="L2076" t="str">
            <v>OK</v>
          </cell>
        </row>
        <row r="2077">
          <cell r="A2077" t="str">
            <v>SHW-41278I22</v>
          </cell>
          <cell r="B2077" t="str">
            <v>EGLV149201872072</v>
          </cell>
          <cell r="C2077" t="str">
            <v>Original</v>
          </cell>
          <cell r="D2077" t="str">
            <v>Shenker</v>
          </cell>
          <cell r="E2077" t="str">
            <v>Unitrading</v>
          </cell>
          <cell r="F2077">
            <v>44698</v>
          </cell>
          <cell r="G2077">
            <v>44706</v>
          </cell>
          <cell r="H2077">
            <v>44708</v>
          </cell>
          <cell r="I2077" t="str">
            <v>20.05.2022</v>
          </cell>
          <cell r="J2077" t="str">
            <v>19.05.2022</v>
          </cell>
          <cell r="K2077" t="str">
            <v>-</v>
          </cell>
          <cell r="L2077" t="str">
            <v>OK</v>
          </cell>
        </row>
        <row r="2078">
          <cell r="A2078" t="str">
            <v>AMS-42368I22</v>
          </cell>
          <cell r="B2078" t="str">
            <v>1Z6469V00474353706</v>
          </cell>
          <cell r="C2078" t="str">
            <v>Brasiliense</v>
          </cell>
          <cell r="D2078" t="str">
            <v>UPS</v>
          </cell>
          <cell r="E2078" t="str">
            <v>Future</v>
          </cell>
          <cell r="F2078">
            <v>44701</v>
          </cell>
          <cell r="G2078">
            <v>44709</v>
          </cell>
          <cell r="H2078">
            <v>44711</v>
          </cell>
          <cell r="I2078" t="str">
            <v>03.06.2022</v>
          </cell>
          <cell r="J2078" t="str">
            <v>07.06.2022</v>
          </cell>
          <cell r="K2078" t="str">
            <v>07.06.2022</v>
          </cell>
          <cell r="L2078" t="str">
            <v>OK</v>
          </cell>
        </row>
        <row r="2079">
          <cell r="A2079" t="str">
            <v>AMS-42370I22</v>
          </cell>
          <cell r="B2079" t="str">
            <v>1Z6469V00475393788</v>
          </cell>
          <cell r="C2079" t="str">
            <v>Brasiliense</v>
          </cell>
          <cell r="D2079" t="str">
            <v>UPS</v>
          </cell>
          <cell r="E2079" t="str">
            <v>Future</v>
          </cell>
          <cell r="F2079">
            <v>44701</v>
          </cell>
          <cell r="G2079">
            <v>44709</v>
          </cell>
          <cell r="H2079">
            <v>44711</v>
          </cell>
          <cell r="I2079" t="str">
            <v>03.06.2022</v>
          </cell>
          <cell r="J2079" t="str">
            <v>07.06.2022</v>
          </cell>
          <cell r="K2079" t="str">
            <v>07.06.2022</v>
          </cell>
          <cell r="L2079" t="str">
            <v>OK</v>
          </cell>
        </row>
        <row r="2080">
          <cell r="A2080" t="str">
            <v>AMS-42439I22</v>
          </cell>
          <cell r="B2080" t="str">
            <v>1Z6469V00475620844</v>
          </cell>
          <cell r="C2080" t="str">
            <v>Brasiliense</v>
          </cell>
          <cell r="D2080" t="str">
            <v>UPS</v>
          </cell>
          <cell r="E2080" t="str">
            <v>Future</v>
          </cell>
          <cell r="F2080">
            <v>44701</v>
          </cell>
          <cell r="G2080">
            <v>44709</v>
          </cell>
          <cell r="H2080">
            <v>44711</v>
          </cell>
          <cell r="I2080" t="str">
            <v>20.05.2022</v>
          </cell>
          <cell r="J2080" t="str">
            <v>07.06.2022</v>
          </cell>
          <cell r="K2080" t="str">
            <v>07.06.2022</v>
          </cell>
          <cell r="L2080" t="str">
            <v>OK</v>
          </cell>
        </row>
        <row r="2081">
          <cell r="A2081" t="str">
            <v>AMS-42343I22</v>
          </cell>
          <cell r="B2081" t="str">
            <v>1Z6469V00473291016</v>
          </cell>
          <cell r="C2081" t="str">
            <v>Brasiliense</v>
          </cell>
          <cell r="D2081" t="str">
            <v>UPS</v>
          </cell>
          <cell r="E2081" t="str">
            <v>Future</v>
          </cell>
          <cell r="F2081">
            <v>44691</v>
          </cell>
          <cell r="G2081">
            <v>44699</v>
          </cell>
          <cell r="H2081">
            <v>44701</v>
          </cell>
          <cell r="I2081" t="str">
            <v>16.05.2022</v>
          </cell>
          <cell r="J2081" t="str">
            <v>20.05.2022</v>
          </cell>
          <cell r="K2081" t="str">
            <v>20.05.2022</v>
          </cell>
          <cell r="L2081" t="str">
            <v>OK</v>
          </cell>
        </row>
        <row r="2082">
          <cell r="A2082" t="str">
            <v>AMS-42346I22</v>
          </cell>
          <cell r="B2082" t="str">
            <v>1Z6469V004755586271Z6469V00475792632</v>
          </cell>
          <cell r="C2082" t="str">
            <v>Brasiliense</v>
          </cell>
          <cell r="D2082" t="str">
            <v>UPS</v>
          </cell>
          <cell r="E2082" t="str">
            <v>Future</v>
          </cell>
          <cell r="F2082">
            <v>44691</v>
          </cell>
          <cell r="G2082">
            <v>44699</v>
          </cell>
          <cell r="H2082">
            <v>44701</v>
          </cell>
          <cell r="I2082" t="str">
            <v>16.05.2022</v>
          </cell>
          <cell r="J2082" t="str">
            <v>20.05.2022</v>
          </cell>
          <cell r="K2082" t="str">
            <v>20.05.2022</v>
          </cell>
          <cell r="L2082" t="str">
            <v>OK</v>
          </cell>
        </row>
        <row r="2083">
          <cell r="A2083" t="str">
            <v>AHW-42379I22</v>
          </cell>
          <cell r="B2083">
            <v>4008325</v>
          </cell>
          <cell r="C2083" t="str">
            <v>Original</v>
          </cell>
          <cell r="D2083" t="str">
            <v>CTS</v>
          </cell>
          <cell r="E2083" t="str">
            <v>JP</v>
          </cell>
          <cell r="F2083">
            <v>44701</v>
          </cell>
          <cell r="G2083">
            <v>44709</v>
          </cell>
          <cell r="H2083">
            <v>44711</v>
          </cell>
          <cell r="I2083" t="str">
            <v>08.06.2022</v>
          </cell>
          <cell r="J2083" t="str">
            <v>11.07.2022</v>
          </cell>
          <cell r="K2083" t="str">
            <v>-</v>
          </cell>
          <cell r="L2083" t="str">
            <v>OK</v>
          </cell>
        </row>
        <row r="2084">
          <cell r="A2084" t="str">
            <v>AHW-42381I22</v>
          </cell>
          <cell r="B2084">
            <v>4008311</v>
          </cell>
          <cell r="C2084" t="str">
            <v>Original</v>
          </cell>
          <cell r="D2084" t="str">
            <v>CTS</v>
          </cell>
          <cell r="E2084" t="str">
            <v>JP</v>
          </cell>
          <cell r="F2084">
            <v>44704</v>
          </cell>
          <cell r="G2084">
            <v>44712</v>
          </cell>
          <cell r="H2084">
            <v>44714</v>
          </cell>
          <cell r="I2084" t="str">
            <v>08.06.2022</v>
          </cell>
          <cell r="J2084" t="str">
            <v>11.07.2022</v>
          </cell>
          <cell r="K2084" t="str">
            <v>-</v>
          </cell>
          <cell r="L2084" t="str">
            <v>OK</v>
          </cell>
        </row>
        <row r="2085">
          <cell r="A2085" t="str">
            <v>AHW-42389I22</v>
          </cell>
          <cell r="B2085">
            <v>4008313</v>
          </cell>
          <cell r="C2085" t="str">
            <v>Original</v>
          </cell>
          <cell r="D2085" t="str">
            <v>CTS</v>
          </cell>
          <cell r="E2085" t="str">
            <v>JP</v>
          </cell>
          <cell r="F2085">
            <v>44701</v>
          </cell>
          <cell r="G2085">
            <v>44709</v>
          </cell>
          <cell r="H2085">
            <v>44711</v>
          </cell>
          <cell r="I2085" t="str">
            <v>08.06.2022</v>
          </cell>
          <cell r="J2085" t="str">
            <v>11.07.2022</v>
          </cell>
          <cell r="K2085" t="str">
            <v>-</v>
          </cell>
          <cell r="L2085" t="str">
            <v>OK</v>
          </cell>
        </row>
        <row r="2086">
          <cell r="A2086" t="str">
            <v>AHW-42390I22</v>
          </cell>
          <cell r="B2086">
            <v>4008315</v>
          </cell>
          <cell r="C2086" t="str">
            <v>Original</v>
          </cell>
          <cell r="D2086" t="str">
            <v>CTS</v>
          </cell>
          <cell r="E2086" t="str">
            <v>JP</v>
          </cell>
          <cell r="F2086">
            <v>44701</v>
          </cell>
          <cell r="G2086">
            <v>44709</v>
          </cell>
          <cell r="H2086">
            <v>44711</v>
          </cell>
          <cell r="I2086" t="str">
            <v>08.06.2022</v>
          </cell>
          <cell r="J2086" t="str">
            <v>11.07.2022</v>
          </cell>
          <cell r="K2086" t="str">
            <v>-</v>
          </cell>
          <cell r="L2086" t="str">
            <v>OK</v>
          </cell>
        </row>
        <row r="2087">
          <cell r="A2087" t="str">
            <v>AHW-42352I22</v>
          </cell>
          <cell r="B2087">
            <v>4007641</v>
          </cell>
          <cell r="C2087" t="str">
            <v>Original</v>
          </cell>
          <cell r="D2087" t="str">
            <v>CTS</v>
          </cell>
          <cell r="E2087" t="str">
            <v>JP</v>
          </cell>
          <cell r="F2087">
            <v>44701</v>
          </cell>
          <cell r="G2087">
            <v>44709</v>
          </cell>
          <cell r="H2087">
            <v>44711</v>
          </cell>
          <cell r="I2087" t="str">
            <v>10.06.2022</v>
          </cell>
          <cell r="J2087" t="str">
            <v>07.06.2022</v>
          </cell>
          <cell r="K2087" t="str">
            <v>-</v>
          </cell>
          <cell r="L2087" t="str">
            <v>OK</v>
          </cell>
        </row>
        <row r="2088">
          <cell r="A2088" t="str">
            <v>AHW-42353I22</v>
          </cell>
          <cell r="B2088">
            <v>4007644</v>
          </cell>
          <cell r="C2088" t="str">
            <v>Original</v>
          </cell>
          <cell r="D2088" t="str">
            <v>CTS</v>
          </cell>
          <cell r="E2088" t="str">
            <v>JP</v>
          </cell>
          <cell r="F2088">
            <v>44701</v>
          </cell>
          <cell r="G2088">
            <v>44709</v>
          </cell>
          <cell r="H2088">
            <v>44711</v>
          </cell>
          <cell r="I2088" t="str">
            <v>10.06.2022</v>
          </cell>
          <cell r="J2088" t="str">
            <v>07.06.2022</v>
          </cell>
          <cell r="K2088" t="str">
            <v>-</v>
          </cell>
          <cell r="L2088" t="str">
            <v>OK</v>
          </cell>
        </row>
        <row r="2089">
          <cell r="A2089" t="str">
            <v>SHW-41820I22</v>
          </cell>
          <cell r="B2089" t="str">
            <v>EGLV149202154734</v>
          </cell>
          <cell r="C2089" t="str">
            <v>Original</v>
          </cell>
          <cell r="D2089" t="str">
            <v>Shenker</v>
          </cell>
          <cell r="E2089" t="str">
            <v>Unitrading</v>
          </cell>
          <cell r="F2089">
            <v>44705</v>
          </cell>
          <cell r="G2089">
            <v>44713</v>
          </cell>
          <cell r="H2089">
            <v>44715</v>
          </cell>
          <cell r="I2089" t="str">
            <v>09.06.2022</v>
          </cell>
          <cell r="J2089" t="str">
            <v>24.05.2022</v>
          </cell>
          <cell r="K2089" t="str">
            <v>-</v>
          </cell>
          <cell r="L2089" t="str">
            <v>OK</v>
          </cell>
        </row>
        <row r="2090">
          <cell r="A2090" t="str">
            <v>SHW-41818I22</v>
          </cell>
          <cell r="B2090" t="str">
            <v>EGLV149202729028</v>
          </cell>
          <cell r="C2090" t="str">
            <v>Original</v>
          </cell>
          <cell r="D2090" t="str">
            <v>Shenker</v>
          </cell>
          <cell r="E2090" t="str">
            <v>Unitrading</v>
          </cell>
          <cell r="F2090">
            <v>44705</v>
          </cell>
          <cell r="G2090">
            <v>44713</v>
          </cell>
          <cell r="H2090">
            <v>44715</v>
          </cell>
          <cell r="I2090" t="str">
            <v>09.06.2022</v>
          </cell>
          <cell r="J2090" t="str">
            <v>26.05.2022</v>
          </cell>
          <cell r="K2090" t="str">
            <v>-</v>
          </cell>
          <cell r="L2090" t="str">
            <v>OK</v>
          </cell>
        </row>
        <row r="2091">
          <cell r="A2091" t="str">
            <v>AMS-42369I22</v>
          </cell>
          <cell r="B2091" t="str">
            <v>1Z6469V00473393353</v>
          </cell>
          <cell r="C2091" t="str">
            <v>Brasiliense</v>
          </cell>
          <cell r="D2091" t="str">
            <v>UPS</v>
          </cell>
          <cell r="E2091" t="str">
            <v>Future</v>
          </cell>
          <cell r="F2091">
            <v>44704</v>
          </cell>
          <cell r="G2091">
            <v>44712</v>
          </cell>
          <cell r="H2091">
            <v>44714</v>
          </cell>
          <cell r="I2091" t="str">
            <v>03.06.2022</v>
          </cell>
          <cell r="J2091" t="str">
            <v>08.06.2022</v>
          </cell>
          <cell r="K2091" t="str">
            <v>07.06.2022</v>
          </cell>
          <cell r="L2091" t="str">
            <v>OK</v>
          </cell>
        </row>
        <row r="2092">
          <cell r="A2092" t="str">
            <v>AMS-42428I22</v>
          </cell>
          <cell r="B2092" t="str">
            <v>1Z6469V00473096504</v>
          </cell>
          <cell r="C2092" t="str">
            <v>Brasiliense</v>
          </cell>
          <cell r="D2092" t="str">
            <v>UPS</v>
          </cell>
          <cell r="E2092" t="str">
            <v>Future</v>
          </cell>
          <cell r="F2092">
            <v>44704</v>
          </cell>
          <cell r="G2092">
            <v>44712</v>
          </cell>
          <cell r="H2092">
            <v>44714</v>
          </cell>
          <cell r="I2092" t="str">
            <v>03.06.2022</v>
          </cell>
          <cell r="J2092" t="str">
            <v>08.06.2022</v>
          </cell>
          <cell r="K2092" t="str">
            <v>07.06.2022</v>
          </cell>
          <cell r="L2092" t="str">
            <v>OK</v>
          </cell>
        </row>
        <row r="2093">
          <cell r="A2093" t="str">
            <v>AMS-42431I22</v>
          </cell>
          <cell r="B2093" t="str">
            <v>1Z6469V00473914290</v>
          </cell>
          <cell r="C2093" t="str">
            <v>Brasiliense</v>
          </cell>
          <cell r="D2093" t="str">
            <v>UPS</v>
          </cell>
          <cell r="E2093" t="str">
            <v>Future</v>
          </cell>
          <cell r="F2093">
            <v>44704</v>
          </cell>
          <cell r="G2093">
            <v>44712</v>
          </cell>
          <cell r="H2093">
            <v>44714</v>
          </cell>
          <cell r="I2093" t="str">
            <v>03.06.2022</v>
          </cell>
          <cell r="J2093" t="str">
            <v>08.06.2022</v>
          </cell>
          <cell r="K2093" t="str">
            <v>07.06.2022</v>
          </cell>
          <cell r="L2093" t="str">
            <v>OK</v>
          </cell>
        </row>
        <row r="2094">
          <cell r="A2094" t="str">
            <v>AMS-42438I22</v>
          </cell>
          <cell r="B2094" t="str">
            <v>1Z6469V00473022897</v>
          </cell>
          <cell r="C2094" t="str">
            <v>Brasiliense</v>
          </cell>
          <cell r="D2094" t="str">
            <v>UPS</v>
          </cell>
          <cell r="E2094" t="str">
            <v>Future</v>
          </cell>
          <cell r="F2094">
            <v>44704</v>
          </cell>
          <cell r="G2094">
            <v>44712</v>
          </cell>
          <cell r="H2094">
            <v>44714</v>
          </cell>
          <cell r="I2094" t="str">
            <v>03.06.2022</v>
          </cell>
          <cell r="J2094" t="str">
            <v>08.06.2022</v>
          </cell>
          <cell r="K2094" t="str">
            <v>07.06.2022</v>
          </cell>
          <cell r="L2094" t="str">
            <v>OK</v>
          </cell>
        </row>
        <row r="2095">
          <cell r="A2095" t="str">
            <v>AMS-42440I22</v>
          </cell>
          <cell r="B2095" t="str">
            <v>1Z6469V00475005287</v>
          </cell>
          <cell r="C2095" t="str">
            <v>Brasiliense</v>
          </cell>
          <cell r="D2095" t="str">
            <v>UPS</v>
          </cell>
          <cell r="E2095" t="str">
            <v>Future</v>
          </cell>
          <cell r="F2095">
            <v>44704</v>
          </cell>
          <cell r="G2095">
            <v>44712</v>
          </cell>
          <cell r="H2095">
            <v>44714</v>
          </cell>
          <cell r="I2095" t="str">
            <v>03.06.2022</v>
          </cell>
          <cell r="J2095" t="str">
            <v>08.06.2022</v>
          </cell>
          <cell r="K2095" t="str">
            <v>07.06.2022</v>
          </cell>
          <cell r="L2095" t="str">
            <v>OK</v>
          </cell>
        </row>
        <row r="2096">
          <cell r="A2096" t="str">
            <v>AMS-42475I22</v>
          </cell>
          <cell r="B2096" t="str">
            <v>1Z6469V00474259185</v>
          </cell>
          <cell r="C2096" t="str">
            <v>Brasiliense</v>
          </cell>
          <cell r="D2096" t="str">
            <v>UPS</v>
          </cell>
          <cell r="E2096" t="str">
            <v>Future</v>
          </cell>
          <cell r="F2096">
            <v>44706</v>
          </cell>
          <cell r="G2096">
            <v>44714</v>
          </cell>
          <cell r="H2096">
            <v>44716</v>
          </cell>
          <cell r="I2096" t="str">
            <v>03.06.2022</v>
          </cell>
          <cell r="J2096" t="str">
            <v>08.06.2022</v>
          </cell>
          <cell r="K2096" t="str">
            <v>07.06.2022</v>
          </cell>
          <cell r="L2096" t="str">
            <v>OK</v>
          </cell>
        </row>
        <row r="2097">
          <cell r="A2097" t="str">
            <v>AMS-42476I22</v>
          </cell>
          <cell r="B2097" t="str">
            <v>1Z6469V00475870799</v>
          </cell>
          <cell r="C2097" t="str">
            <v>Brasiliense</v>
          </cell>
          <cell r="D2097" t="str">
            <v>UPS</v>
          </cell>
          <cell r="E2097" t="str">
            <v>Future</v>
          </cell>
          <cell r="F2097">
            <v>44706</v>
          </cell>
          <cell r="G2097">
            <v>44714</v>
          </cell>
          <cell r="H2097">
            <v>44716</v>
          </cell>
          <cell r="I2097" t="str">
            <v>03.06.2022</v>
          </cell>
          <cell r="J2097" t="str">
            <v>08.06.2022</v>
          </cell>
          <cell r="K2097" t="str">
            <v>07.06.2022</v>
          </cell>
          <cell r="L2097" t="str">
            <v>OK</v>
          </cell>
        </row>
        <row r="2098">
          <cell r="A2098" t="str">
            <v>AMS-42479I22</v>
          </cell>
          <cell r="B2098" t="str">
            <v>1Z6469V00475734016</v>
          </cell>
          <cell r="C2098" t="str">
            <v>Brasiliense</v>
          </cell>
          <cell r="D2098" t="str">
            <v>UPS</v>
          </cell>
          <cell r="E2098" t="str">
            <v>Future</v>
          </cell>
          <cell r="F2098">
            <v>44706</v>
          </cell>
          <cell r="G2098">
            <v>44714</v>
          </cell>
          <cell r="H2098">
            <v>44716</v>
          </cell>
          <cell r="I2098" t="str">
            <v>03.06.2022</v>
          </cell>
          <cell r="J2098" t="str">
            <v>08.06.2022</v>
          </cell>
          <cell r="K2098" t="str">
            <v>07.06.2022</v>
          </cell>
          <cell r="L2098" t="str">
            <v>OK</v>
          </cell>
        </row>
        <row r="2099">
          <cell r="A2099" t="str">
            <v>AHW-42356I22</v>
          </cell>
          <cell r="B2099">
            <v>4007675</v>
          </cell>
          <cell r="C2099" t="str">
            <v>Original</v>
          </cell>
          <cell r="D2099" t="str">
            <v>CTS</v>
          </cell>
          <cell r="E2099" t="str">
            <v>JP</v>
          </cell>
          <cell r="F2099">
            <v>44707</v>
          </cell>
          <cell r="G2099">
            <v>44715</v>
          </cell>
          <cell r="H2099">
            <v>44717</v>
          </cell>
          <cell r="I2099" t="str">
            <v>08.06.2022</v>
          </cell>
          <cell r="J2099" t="str">
            <v>11.07.2022</v>
          </cell>
          <cell r="K2099" t="str">
            <v>-</v>
          </cell>
          <cell r="L2099" t="str">
            <v>OK</v>
          </cell>
        </row>
        <row r="2100">
          <cell r="A2100" t="str">
            <v>AHW-42361I22</v>
          </cell>
          <cell r="B2100">
            <v>4007672</v>
          </cell>
          <cell r="C2100" t="str">
            <v>Original</v>
          </cell>
          <cell r="D2100" t="str">
            <v>CTS</v>
          </cell>
          <cell r="E2100" t="str">
            <v>JP</v>
          </cell>
          <cell r="F2100">
            <v>44707</v>
          </cell>
          <cell r="G2100">
            <v>44715</v>
          </cell>
          <cell r="H2100">
            <v>44717</v>
          </cell>
          <cell r="I2100" t="str">
            <v>08.06.2022</v>
          </cell>
          <cell r="J2100" t="str">
            <v>11.07.2022</v>
          </cell>
          <cell r="K2100" t="str">
            <v>-</v>
          </cell>
          <cell r="L2100" t="str">
            <v>OK</v>
          </cell>
        </row>
        <row r="2101">
          <cell r="A2101" t="str">
            <v>AHW-42391I22</v>
          </cell>
          <cell r="B2101">
            <v>4008345</v>
          </cell>
          <cell r="C2101" t="str">
            <v>Original</v>
          </cell>
          <cell r="D2101" t="str">
            <v>CTS</v>
          </cell>
          <cell r="E2101" t="str">
            <v>JP</v>
          </cell>
          <cell r="F2101">
            <v>44707</v>
          </cell>
          <cell r="G2101">
            <v>44715</v>
          </cell>
          <cell r="H2101">
            <v>44717</v>
          </cell>
          <cell r="I2101" t="str">
            <v>08.06.2022</v>
          </cell>
          <cell r="J2101" t="str">
            <v>11.07.2022</v>
          </cell>
          <cell r="K2101" t="str">
            <v>-</v>
          </cell>
          <cell r="L2101" t="str">
            <v>OK</v>
          </cell>
        </row>
        <row r="2102">
          <cell r="A2102" t="str">
            <v>AHW-42031I22</v>
          </cell>
          <cell r="B2102">
            <v>4007645</v>
          </cell>
          <cell r="C2102" t="str">
            <v>Original</v>
          </cell>
          <cell r="D2102" t="str">
            <v>CTS</v>
          </cell>
          <cell r="E2102" t="str">
            <v>JP</v>
          </cell>
          <cell r="F2102">
            <v>44707</v>
          </cell>
          <cell r="G2102">
            <v>44715</v>
          </cell>
          <cell r="H2102">
            <v>44717</v>
          </cell>
          <cell r="I2102" t="str">
            <v>10.06.2022</v>
          </cell>
          <cell r="J2102" t="str">
            <v>08.06.2022</v>
          </cell>
          <cell r="K2102" t="str">
            <v>-</v>
          </cell>
          <cell r="L2102" t="str">
            <v>OK</v>
          </cell>
        </row>
        <row r="2103">
          <cell r="A2103" t="str">
            <v>AHW-42032I22</v>
          </cell>
          <cell r="B2103">
            <v>4007647</v>
          </cell>
          <cell r="C2103" t="str">
            <v>Original</v>
          </cell>
          <cell r="D2103" t="str">
            <v>CTS</v>
          </cell>
          <cell r="E2103" t="str">
            <v>JP</v>
          </cell>
          <cell r="F2103">
            <v>44707</v>
          </cell>
          <cell r="G2103">
            <v>44715</v>
          </cell>
          <cell r="H2103">
            <v>44717</v>
          </cell>
          <cell r="I2103" t="str">
            <v>10.06.2022</v>
          </cell>
          <cell r="J2103" t="str">
            <v>08.06.2022</v>
          </cell>
          <cell r="K2103" t="str">
            <v>-</v>
          </cell>
          <cell r="L2103" t="str">
            <v>OK</v>
          </cell>
        </row>
        <row r="2104">
          <cell r="A2104" t="str">
            <v>SHW-41819I22</v>
          </cell>
          <cell r="B2104" t="str">
            <v>EGLV149202755673</v>
          </cell>
          <cell r="C2104" t="str">
            <v>Original</v>
          </cell>
          <cell r="D2104" t="str">
            <v>Shenker</v>
          </cell>
          <cell r="E2104" t="str">
            <v>Unitrading</v>
          </cell>
          <cell r="F2104">
            <v>44706</v>
          </cell>
          <cell r="G2104">
            <v>44714</v>
          </cell>
          <cell r="H2104">
            <v>44716</v>
          </cell>
          <cell r="I2104" t="str">
            <v>09.06.2022</v>
          </cell>
          <cell r="J2104" t="str">
            <v>01.06.2022</v>
          </cell>
          <cell r="K2104" t="str">
            <v>-</v>
          </cell>
          <cell r="L2104" t="str">
            <v>OK</v>
          </cell>
        </row>
        <row r="2105">
          <cell r="A2105" t="str">
            <v>SHW-41939I22</v>
          </cell>
          <cell r="B2105" t="str">
            <v>EGLV149202975983</v>
          </cell>
          <cell r="C2105" t="str">
            <v>Original</v>
          </cell>
          <cell r="D2105" t="str">
            <v>Shenker</v>
          </cell>
          <cell r="E2105" t="str">
            <v>Unitrading</v>
          </cell>
          <cell r="F2105">
            <v>44706</v>
          </cell>
          <cell r="G2105">
            <v>44714</v>
          </cell>
          <cell r="H2105">
            <v>44716</v>
          </cell>
          <cell r="I2105" t="str">
            <v>09.06.2022</v>
          </cell>
          <cell r="J2105" t="str">
            <v>01.06.2022</v>
          </cell>
          <cell r="K2105" t="str">
            <v>-</v>
          </cell>
          <cell r="L2105" t="str">
            <v>OK</v>
          </cell>
        </row>
        <row r="2106">
          <cell r="A2106" t="str">
            <v>SHW-41817I22</v>
          </cell>
          <cell r="B2106" t="str">
            <v>EGLV149202795152</v>
          </cell>
          <cell r="C2106" t="str">
            <v>Original</v>
          </cell>
          <cell r="D2106" t="str">
            <v>Shenker</v>
          </cell>
          <cell r="E2106" t="str">
            <v>Unitrading</v>
          </cell>
          <cell r="F2106">
            <v>44707</v>
          </cell>
          <cell r="G2106">
            <v>44715</v>
          </cell>
          <cell r="H2106">
            <v>44717</v>
          </cell>
          <cell r="I2106" t="str">
            <v>09.06.2022</v>
          </cell>
          <cell r="J2106" t="str">
            <v>01.06.2022</v>
          </cell>
          <cell r="K2106" t="str">
            <v>-</v>
          </cell>
          <cell r="L2106" t="str">
            <v>OK</v>
          </cell>
        </row>
        <row r="2107">
          <cell r="A2107" t="str">
            <v>AHW-42380I22</v>
          </cell>
          <cell r="B2107">
            <v>4008319</v>
          </cell>
          <cell r="C2107" t="str">
            <v>Original</v>
          </cell>
          <cell r="D2107" t="str">
            <v>CTS</v>
          </cell>
          <cell r="E2107" t="str">
            <v>JP</v>
          </cell>
          <cell r="F2107">
            <v>44711</v>
          </cell>
          <cell r="G2107">
            <v>44719</v>
          </cell>
          <cell r="H2107">
            <v>44721</v>
          </cell>
          <cell r="I2107" t="str">
            <v>10.06.2022</v>
          </cell>
          <cell r="J2107" t="str">
            <v>11.07.2022</v>
          </cell>
          <cell r="K2107" t="str">
            <v>-</v>
          </cell>
          <cell r="L2107" t="str">
            <v>OK</v>
          </cell>
        </row>
        <row r="2108">
          <cell r="A2108" t="str">
            <v>AHW-42467I22</v>
          </cell>
          <cell r="B2108">
            <v>4007965</v>
          </cell>
          <cell r="C2108" t="str">
            <v>Original</v>
          </cell>
          <cell r="D2108" t="str">
            <v>CTS</v>
          </cell>
          <cell r="E2108" t="str">
            <v>JP</v>
          </cell>
          <cell r="F2108">
            <v>44711</v>
          </cell>
          <cell r="G2108">
            <v>44719</v>
          </cell>
          <cell r="H2108">
            <v>44721</v>
          </cell>
          <cell r="I2108" t="str">
            <v>10.06.2022</v>
          </cell>
          <cell r="J2108" t="str">
            <v>08.06.2022</v>
          </cell>
          <cell r="K2108" t="str">
            <v>-</v>
          </cell>
          <cell r="L2108" t="str">
            <v>OK</v>
          </cell>
        </row>
        <row r="2109">
          <cell r="A2109" t="str">
            <v>AHW-42469I22</v>
          </cell>
          <cell r="B2109">
            <v>4008351</v>
          </cell>
          <cell r="C2109" t="str">
            <v>Original</v>
          </cell>
          <cell r="D2109" t="str">
            <v>CTS</v>
          </cell>
          <cell r="E2109" t="str">
            <v>JP</v>
          </cell>
          <cell r="F2109">
            <v>44711</v>
          </cell>
          <cell r="G2109">
            <v>44719</v>
          </cell>
          <cell r="H2109">
            <v>44721</v>
          </cell>
          <cell r="I2109" t="str">
            <v>10.06.2022</v>
          </cell>
          <cell r="J2109" t="str">
            <v>08.06.2022</v>
          </cell>
          <cell r="K2109" t="str">
            <v>-</v>
          </cell>
          <cell r="L2109" t="str">
            <v>OK</v>
          </cell>
        </row>
        <row r="2110">
          <cell r="A2110" t="str">
            <v>AHW-42480I22</v>
          </cell>
          <cell r="B2110">
            <v>4008360</v>
          </cell>
          <cell r="C2110" t="str">
            <v>Original</v>
          </cell>
          <cell r="D2110" t="str">
            <v>CTS</v>
          </cell>
          <cell r="E2110" t="str">
            <v>JP</v>
          </cell>
          <cell r="F2110">
            <v>44711</v>
          </cell>
          <cell r="G2110">
            <v>44719</v>
          </cell>
          <cell r="H2110">
            <v>44721</v>
          </cell>
          <cell r="I2110" t="str">
            <v>10.06.2022</v>
          </cell>
          <cell r="J2110" t="str">
            <v>08.06.2022</v>
          </cell>
          <cell r="K2110" t="str">
            <v>-</v>
          </cell>
          <cell r="L2110" t="str">
            <v>OK</v>
          </cell>
        </row>
        <row r="2111">
          <cell r="A2111" t="str">
            <v>SHW-41821I22</v>
          </cell>
          <cell r="B2111" t="str">
            <v>EGLV149202881466</v>
          </cell>
          <cell r="C2111" t="str">
            <v>Original</v>
          </cell>
          <cell r="D2111" t="str">
            <v>Shenker</v>
          </cell>
          <cell r="E2111" t="str">
            <v>Unitrading</v>
          </cell>
          <cell r="F2111">
            <v>44708</v>
          </cell>
          <cell r="G2111">
            <v>44716</v>
          </cell>
          <cell r="H2111">
            <v>44718</v>
          </cell>
          <cell r="I2111" t="str">
            <v>09.06.2022</v>
          </cell>
          <cell r="J2111" t="str">
            <v>01.06.2022</v>
          </cell>
          <cell r="K2111" t="str">
            <v>-</v>
          </cell>
          <cell r="L2111" t="str">
            <v>OK</v>
          </cell>
        </row>
        <row r="2112">
          <cell r="A2112" t="str">
            <v>SHW-41940I22</v>
          </cell>
          <cell r="B2112" t="str">
            <v>EGLV149202744639</v>
          </cell>
          <cell r="C2112" t="str">
            <v>Original</v>
          </cell>
          <cell r="D2112" t="str">
            <v>Shenker</v>
          </cell>
          <cell r="E2112" t="str">
            <v>Unitrading</v>
          </cell>
          <cell r="F2112">
            <v>44708</v>
          </cell>
          <cell r="G2112">
            <v>44716</v>
          </cell>
          <cell r="H2112">
            <v>44718</v>
          </cell>
          <cell r="I2112" t="str">
            <v>09.06.2022</v>
          </cell>
          <cell r="J2112" t="str">
            <v>02.06.2022</v>
          </cell>
          <cell r="K2112" t="str">
            <v>-</v>
          </cell>
          <cell r="L2112" t="str">
            <v>OK</v>
          </cell>
        </row>
        <row r="2113">
          <cell r="A2113" t="str">
            <v>SHW-42040I22</v>
          </cell>
          <cell r="B2113" t="str">
            <v>EGLV149203226267</v>
          </cell>
          <cell r="C2113" t="str">
            <v>Original</v>
          </cell>
          <cell r="D2113" t="str">
            <v>Shenker</v>
          </cell>
          <cell r="E2113" t="str">
            <v>Unitrading</v>
          </cell>
          <cell r="F2113">
            <v>44708</v>
          </cell>
          <cell r="G2113">
            <v>44716</v>
          </cell>
          <cell r="H2113">
            <v>44718</v>
          </cell>
          <cell r="I2113" t="str">
            <v>09.06.2022</v>
          </cell>
          <cell r="J2113" t="str">
            <v>02.06.2022</v>
          </cell>
          <cell r="K2113" t="str">
            <v>-</v>
          </cell>
          <cell r="L2113" t="str">
            <v>OK</v>
          </cell>
        </row>
        <row r="2114">
          <cell r="A2114" t="str">
            <v>SHW-42041I22</v>
          </cell>
          <cell r="B2114" t="str">
            <v>EGLV149203147821</v>
          </cell>
          <cell r="C2114" t="str">
            <v>Original</v>
          </cell>
          <cell r="D2114" t="str">
            <v>Shenker</v>
          </cell>
          <cell r="E2114" t="str">
            <v>Unitrading</v>
          </cell>
          <cell r="F2114">
            <v>44708</v>
          </cell>
          <cell r="G2114">
            <v>44716</v>
          </cell>
          <cell r="H2114">
            <v>44718</v>
          </cell>
          <cell r="I2114" t="str">
            <v>09.06.2022</v>
          </cell>
          <cell r="J2114" t="str">
            <v>02.06.2022</v>
          </cell>
          <cell r="K2114" t="str">
            <v>-</v>
          </cell>
          <cell r="L2114" t="str">
            <v>OK</v>
          </cell>
        </row>
        <row r="2115">
          <cell r="A2115" t="str">
            <v>SHW-42044I22</v>
          </cell>
          <cell r="B2115" t="str">
            <v>EGLV149203030354</v>
          </cell>
          <cell r="C2115" t="str">
            <v>Original</v>
          </cell>
          <cell r="D2115" t="str">
            <v>Shenker</v>
          </cell>
          <cell r="E2115" t="str">
            <v>Unitrading</v>
          </cell>
          <cell r="F2115">
            <v>44708</v>
          </cell>
          <cell r="G2115">
            <v>44716</v>
          </cell>
          <cell r="H2115">
            <v>44718</v>
          </cell>
          <cell r="I2115" t="str">
            <v>09.06.2022</v>
          </cell>
          <cell r="J2115" t="str">
            <v>02.06.2022</v>
          </cell>
          <cell r="K2115" t="str">
            <v>-</v>
          </cell>
          <cell r="L2115" t="str">
            <v>OK</v>
          </cell>
        </row>
        <row r="2116">
          <cell r="A2116" t="str">
            <v>AMS-42441I22</v>
          </cell>
          <cell r="B2116" t="str">
            <v>1Z6469V00475051674</v>
          </cell>
          <cell r="C2116" t="str">
            <v>Brasiliense</v>
          </cell>
          <cell r="D2116" t="str">
            <v>UPS</v>
          </cell>
          <cell r="E2116" t="str">
            <v>Future</v>
          </cell>
          <cell r="F2116">
            <v>44708</v>
          </cell>
          <cell r="G2116">
            <v>44716</v>
          </cell>
          <cell r="H2116">
            <v>44718</v>
          </cell>
          <cell r="I2116" t="str">
            <v>03.06.2022</v>
          </cell>
          <cell r="J2116" t="str">
            <v>08.06.2022</v>
          </cell>
          <cell r="K2116" t="str">
            <v>09.06.2022</v>
          </cell>
          <cell r="L2116" t="str">
            <v>OK</v>
          </cell>
        </row>
        <row r="2117">
          <cell r="A2117" t="str">
            <v>AMS-42521I22</v>
          </cell>
          <cell r="B2117" t="str">
            <v>1Z6469V00475462337</v>
          </cell>
          <cell r="C2117" t="str">
            <v>Brasiliense</v>
          </cell>
          <cell r="D2117" t="str">
            <v>UPS</v>
          </cell>
          <cell r="E2117" t="str">
            <v>Future</v>
          </cell>
          <cell r="F2117">
            <v>44707</v>
          </cell>
          <cell r="G2117">
            <v>44715</v>
          </cell>
          <cell r="H2117">
            <v>44717</v>
          </cell>
          <cell r="I2117" t="str">
            <v>03.06.2022</v>
          </cell>
          <cell r="J2117" t="str">
            <v>08.06.2022</v>
          </cell>
          <cell r="K2117" t="str">
            <v>07.06.2022</v>
          </cell>
          <cell r="L2117" t="str">
            <v>OK</v>
          </cell>
        </row>
        <row r="2118">
          <cell r="A2118" t="str">
            <v>AMS-42616I22</v>
          </cell>
          <cell r="B2118" t="str">
            <v>1Z6469V00475131239</v>
          </cell>
          <cell r="C2118" t="str">
            <v>Brasiliense</v>
          </cell>
          <cell r="D2118" t="str">
            <v>UPS</v>
          </cell>
          <cell r="E2118" t="str">
            <v>Future</v>
          </cell>
          <cell r="F2118">
            <v>44711</v>
          </cell>
          <cell r="G2118">
            <v>44719</v>
          </cell>
          <cell r="H2118">
            <v>44721</v>
          </cell>
          <cell r="I2118" t="str">
            <v>03.06.2022</v>
          </cell>
          <cell r="J2118" t="str">
            <v>08.06.2022</v>
          </cell>
          <cell r="K2118" t="str">
            <v>09.06.2022</v>
          </cell>
          <cell r="L2118" t="str">
            <v>OK</v>
          </cell>
        </row>
        <row r="2119">
          <cell r="A2119" t="str">
            <v>AMS-42617I22</v>
          </cell>
          <cell r="B2119" t="str">
            <v>1Z6469V00473651001</v>
          </cell>
          <cell r="C2119" t="str">
            <v>Brasiliense</v>
          </cell>
          <cell r="D2119" t="str">
            <v>UPS</v>
          </cell>
          <cell r="E2119" t="str">
            <v>Future</v>
          </cell>
          <cell r="F2119">
            <v>44711</v>
          </cell>
          <cell r="G2119">
            <v>44719</v>
          </cell>
          <cell r="H2119">
            <v>44721</v>
          </cell>
          <cell r="I2119" t="str">
            <v>03.06.2022</v>
          </cell>
          <cell r="J2119" t="str">
            <v>08.06.2022</v>
          </cell>
          <cell r="K2119" t="str">
            <v>09.06.2022</v>
          </cell>
          <cell r="L2119" t="str">
            <v>OK</v>
          </cell>
        </row>
        <row r="2120">
          <cell r="A2120" t="str">
            <v>AMS-42618I22</v>
          </cell>
          <cell r="B2120" t="str">
            <v>1Z6469V00475860175</v>
          </cell>
          <cell r="C2120" t="str">
            <v>Brasiliense</v>
          </cell>
          <cell r="D2120" t="str">
            <v>UPS</v>
          </cell>
          <cell r="E2120" t="str">
            <v>Future</v>
          </cell>
          <cell r="F2120">
            <v>44711</v>
          </cell>
          <cell r="G2120">
            <v>44719</v>
          </cell>
          <cell r="H2120">
            <v>44721</v>
          </cell>
          <cell r="I2120" t="str">
            <v>03.06.2022</v>
          </cell>
          <cell r="J2120" t="str">
            <v>08.06.2022</v>
          </cell>
          <cell r="K2120" t="str">
            <v>09.06.2022</v>
          </cell>
          <cell r="L2120" t="str">
            <v>OK</v>
          </cell>
        </row>
        <row r="2121">
          <cell r="A2121" t="str">
            <v>AMS-42477I22</v>
          </cell>
          <cell r="B2121" t="str">
            <v>1Z6469V00473669261</v>
          </cell>
          <cell r="C2121" t="str">
            <v>Brasiliense</v>
          </cell>
          <cell r="D2121" t="str">
            <v>UPS</v>
          </cell>
          <cell r="E2121" t="str">
            <v>Future</v>
          </cell>
          <cell r="F2121">
            <v>44712</v>
          </cell>
          <cell r="G2121">
            <v>44720</v>
          </cell>
          <cell r="H2121">
            <v>44722</v>
          </cell>
          <cell r="I2121" t="str">
            <v>03.06.2022</v>
          </cell>
          <cell r="J2121" t="str">
            <v>08.06.2022</v>
          </cell>
          <cell r="K2121" t="str">
            <v>09.06.2022</v>
          </cell>
          <cell r="L2121" t="str">
            <v>OK</v>
          </cell>
        </row>
        <row r="2122">
          <cell r="A2122" t="str">
            <v>AMS-42478I22</v>
          </cell>
          <cell r="B2122" t="str">
            <v>1Z6469V00475115864</v>
          </cell>
          <cell r="C2122" t="str">
            <v>Brasiliense</v>
          </cell>
          <cell r="D2122" t="str">
            <v>UPS</v>
          </cell>
          <cell r="E2122" t="str">
            <v>Future</v>
          </cell>
          <cell r="F2122">
            <v>44712</v>
          </cell>
          <cell r="G2122">
            <v>44720</v>
          </cell>
          <cell r="H2122">
            <v>44722</v>
          </cell>
          <cell r="I2122" t="str">
            <v>03.06.2022</v>
          </cell>
          <cell r="J2122" t="str">
            <v>08.06.2022</v>
          </cell>
          <cell r="K2122" t="str">
            <v>09.06.2022</v>
          </cell>
          <cell r="L2122" t="str">
            <v>OK</v>
          </cell>
        </row>
        <row r="2123">
          <cell r="A2123" t="str">
            <v>AMS-42522I22</v>
          </cell>
          <cell r="B2123" t="str">
            <v>1Z6469V00473693332</v>
          </cell>
          <cell r="C2123" t="str">
            <v>Brasiliense</v>
          </cell>
          <cell r="D2123" t="str">
            <v>UPS</v>
          </cell>
          <cell r="E2123" t="str">
            <v>Future</v>
          </cell>
          <cell r="F2123">
            <v>44712</v>
          </cell>
          <cell r="G2123">
            <v>44720</v>
          </cell>
          <cell r="H2123">
            <v>44722</v>
          </cell>
          <cell r="I2123" t="str">
            <v>03.06.2022</v>
          </cell>
          <cell r="J2123" t="str">
            <v>08.06.2022</v>
          </cell>
          <cell r="K2123" t="str">
            <v>09.06.2022</v>
          </cell>
          <cell r="L2123" t="str">
            <v>OK</v>
          </cell>
        </row>
        <row r="2124">
          <cell r="A2124" t="str">
            <v>AMS-42619I22</v>
          </cell>
          <cell r="B2124" t="str">
            <v>1Z6469V00473907182</v>
          </cell>
          <cell r="C2124" t="str">
            <v>Brasiliense</v>
          </cell>
          <cell r="D2124" t="str">
            <v>UPS</v>
          </cell>
          <cell r="E2124" t="str">
            <v>Future</v>
          </cell>
          <cell r="F2124">
            <v>44711</v>
          </cell>
          <cell r="G2124">
            <v>44719</v>
          </cell>
          <cell r="H2124">
            <v>44721</v>
          </cell>
          <cell r="I2124" t="str">
            <v>03.06.2022</v>
          </cell>
          <cell r="J2124" t="str">
            <v>08.06.2022</v>
          </cell>
          <cell r="K2124" t="str">
            <v>09.06.2022</v>
          </cell>
          <cell r="L2124" t="str">
            <v>OK</v>
          </cell>
        </row>
        <row r="2125">
          <cell r="A2125" t="str">
            <v>AMS-42620I22</v>
          </cell>
          <cell r="B2125" t="str">
            <v>1Z6469V00473097754</v>
          </cell>
          <cell r="C2125" t="str">
            <v>Brasiliense</v>
          </cell>
          <cell r="D2125" t="str">
            <v>UPS</v>
          </cell>
          <cell r="E2125" t="str">
            <v>Future</v>
          </cell>
          <cell r="F2125">
            <v>44711</v>
          </cell>
          <cell r="G2125">
            <v>44719</v>
          </cell>
          <cell r="H2125">
            <v>44721</v>
          </cell>
          <cell r="I2125" t="str">
            <v>03.06.2022</v>
          </cell>
          <cell r="J2125" t="str">
            <v>08.06.2022</v>
          </cell>
          <cell r="K2125" t="str">
            <v>09.06.2022</v>
          </cell>
          <cell r="L2125" t="str">
            <v>OK</v>
          </cell>
        </row>
        <row r="2126">
          <cell r="A2126" t="str">
            <v>AMS-40880I22</v>
          </cell>
          <cell r="B2126" t="str">
            <v>1Z6469V00474227414</v>
          </cell>
          <cell r="C2126" t="str">
            <v>Brasiliense</v>
          </cell>
          <cell r="D2126" t="str">
            <v>UPS</v>
          </cell>
          <cell r="E2126" t="str">
            <v>Future</v>
          </cell>
          <cell r="F2126">
            <v>44617</v>
          </cell>
          <cell r="G2126">
            <v>44625</v>
          </cell>
          <cell r="H2126">
            <v>44627</v>
          </cell>
          <cell r="I2126" t="str">
            <v>02.03.2022</v>
          </cell>
          <cell r="J2126" t="str">
            <v>09.03.2022</v>
          </cell>
          <cell r="K2126" t="str">
            <v>02.03.2022</v>
          </cell>
          <cell r="L2126" t="str">
            <v>OK</v>
          </cell>
        </row>
        <row r="2127">
          <cell r="A2127" t="str">
            <v>AMS-40884I22</v>
          </cell>
          <cell r="B2127" t="str">
            <v>1Z6469V00474687954</v>
          </cell>
          <cell r="C2127" t="str">
            <v>Brasiliense</v>
          </cell>
          <cell r="D2127" t="str">
            <v>UPS</v>
          </cell>
          <cell r="E2127" t="str">
            <v>Future</v>
          </cell>
          <cell r="F2127">
            <v>44617</v>
          </cell>
          <cell r="G2127">
            <v>44625</v>
          </cell>
          <cell r="H2127">
            <v>44627</v>
          </cell>
          <cell r="I2127" t="str">
            <v>02.03.2022</v>
          </cell>
          <cell r="J2127" t="str">
            <v>09.03.2022</v>
          </cell>
          <cell r="K2127" t="str">
            <v>15.03.2022</v>
          </cell>
          <cell r="L2127" t="str">
            <v>OK</v>
          </cell>
        </row>
        <row r="2128">
          <cell r="A2128" t="str">
            <v>AMS-42622I22</v>
          </cell>
          <cell r="B2128" t="str">
            <v>1Z6469V00473210095</v>
          </cell>
          <cell r="C2128" t="str">
            <v>Brasiliense</v>
          </cell>
          <cell r="D2128" t="str">
            <v>UPS</v>
          </cell>
          <cell r="E2128" t="str">
            <v>Future</v>
          </cell>
          <cell r="F2128">
            <v>44712</v>
          </cell>
          <cell r="G2128">
            <v>44720</v>
          </cell>
          <cell r="H2128">
            <v>44722</v>
          </cell>
          <cell r="I2128" t="str">
            <v>03.06.2022</v>
          </cell>
          <cell r="J2128" t="str">
            <v>08.06.2022</v>
          </cell>
          <cell r="K2128" t="str">
            <v>09.06.2022</v>
          </cell>
          <cell r="L2128" t="str">
            <v>OK</v>
          </cell>
        </row>
        <row r="2129">
          <cell r="A2129" t="str">
            <v>AMS-42623I22</v>
          </cell>
          <cell r="B2129" t="str">
            <v>1Z6469V00475754852</v>
          </cell>
          <cell r="C2129" t="str">
            <v>Brasiliense</v>
          </cell>
          <cell r="D2129" t="str">
            <v>UPS</v>
          </cell>
          <cell r="E2129" t="str">
            <v>Future</v>
          </cell>
          <cell r="F2129">
            <v>44712</v>
          </cell>
          <cell r="G2129">
            <v>44720</v>
          </cell>
          <cell r="H2129">
            <v>44722</v>
          </cell>
          <cell r="I2129" t="str">
            <v>03.06.2022</v>
          </cell>
          <cell r="J2129" t="str">
            <v>08.06.2022</v>
          </cell>
          <cell r="K2129" t="str">
            <v>09.06.2022</v>
          </cell>
          <cell r="L2129" t="str">
            <v>OK</v>
          </cell>
        </row>
        <row r="2130">
          <cell r="A2130" t="str">
            <v>AMS-42624I22</v>
          </cell>
          <cell r="B2130" t="str">
            <v>1Z6469V00473865209</v>
          </cell>
          <cell r="C2130" t="str">
            <v>Brasiliense</v>
          </cell>
          <cell r="D2130" t="str">
            <v>UPS</v>
          </cell>
          <cell r="E2130" t="str">
            <v>Future</v>
          </cell>
          <cell r="F2130">
            <v>44712</v>
          </cell>
          <cell r="G2130">
            <v>44720</v>
          </cell>
          <cell r="H2130">
            <v>44722</v>
          </cell>
          <cell r="I2130" t="str">
            <v>03.06.2022</v>
          </cell>
          <cell r="J2130" t="str">
            <v>08.06.2022</v>
          </cell>
          <cell r="K2130" t="str">
            <v>09.06.2022</v>
          </cell>
          <cell r="L2130" t="str">
            <v>OK</v>
          </cell>
        </row>
        <row r="2131">
          <cell r="A2131" t="str">
            <v>AMS-42625I22</v>
          </cell>
          <cell r="B2131" t="str">
            <v>1Z6469V00475501437</v>
          </cell>
          <cell r="C2131" t="str">
            <v>Brasiliense</v>
          </cell>
          <cell r="D2131" t="str">
            <v>UPS</v>
          </cell>
          <cell r="E2131" t="str">
            <v>Future</v>
          </cell>
          <cell r="F2131">
            <v>44712</v>
          </cell>
          <cell r="G2131">
            <v>44720</v>
          </cell>
          <cell r="H2131">
            <v>44722</v>
          </cell>
          <cell r="I2131" t="str">
            <v>03.06.2022</v>
          </cell>
          <cell r="J2131" t="str">
            <v>08.06.2022</v>
          </cell>
          <cell r="K2131" t="str">
            <v>09.06.2022</v>
          </cell>
          <cell r="L2131" t="str">
            <v>OK</v>
          </cell>
        </row>
        <row r="2132">
          <cell r="A2132" t="str">
            <v>AMS-42627I22</v>
          </cell>
          <cell r="B2132" t="str">
            <v>1Z6469V00475228082</v>
          </cell>
          <cell r="C2132" t="str">
            <v>Brasiliense</v>
          </cell>
          <cell r="D2132" t="str">
            <v>UPS</v>
          </cell>
          <cell r="E2132" t="str">
            <v>Future</v>
          </cell>
          <cell r="F2132">
            <v>44712</v>
          </cell>
          <cell r="G2132">
            <v>44720</v>
          </cell>
          <cell r="H2132">
            <v>44722</v>
          </cell>
          <cell r="I2132" t="str">
            <v>06.06.2022</v>
          </cell>
          <cell r="J2132" t="str">
            <v>13.06.2022</v>
          </cell>
          <cell r="K2132" t="str">
            <v>09.06.2022</v>
          </cell>
          <cell r="L2132" t="str">
            <v>OK</v>
          </cell>
        </row>
        <row r="2133">
          <cell r="A2133" t="str">
            <v>AHW-42468I22</v>
          </cell>
          <cell r="B2133">
            <v>4008359</v>
          </cell>
          <cell r="C2133" t="str">
            <v>Original</v>
          </cell>
          <cell r="D2133" t="str">
            <v>CTS</v>
          </cell>
          <cell r="E2133" t="str">
            <v>JP</v>
          </cell>
          <cell r="F2133">
            <v>44714</v>
          </cell>
          <cell r="G2133">
            <v>44722</v>
          </cell>
          <cell r="H2133">
            <v>44724</v>
          </cell>
          <cell r="I2133" t="str">
            <v>10.06.2022</v>
          </cell>
          <cell r="J2133" t="str">
            <v>13.06.2022</v>
          </cell>
          <cell r="K2133" t="str">
            <v>-</v>
          </cell>
          <cell r="L2133" t="str">
            <v>OK</v>
          </cell>
        </row>
        <row r="2134">
          <cell r="A2134" t="str">
            <v>AHW-42603I22</v>
          </cell>
          <cell r="B2134">
            <v>4008403</v>
          </cell>
          <cell r="C2134" t="str">
            <v>Original</v>
          </cell>
          <cell r="D2134" t="str">
            <v>CTS</v>
          </cell>
          <cell r="E2134" t="str">
            <v>JP</v>
          </cell>
          <cell r="F2134">
            <v>44714</v>
          </cell>
          <cell r="G2134">
            <v>44722</v>
          </cell>
          <cell r="H2134">
            <v>44724</v>
          </cell>
          <cell r="I2134" t="str">
            <v>10.06.2022</v>
          </cell>
          <cell r="J2134" t="str">
            <v>13.06.2022</v>
          </cell>
          <cell r="K2134" t="str">
            <v>-</v>
          </cell>
          <cell r="L2134" t="str">
            <v>OK</v>
          </cell>
        </row>
        <row r="2135">
          <cell r="A2135" t="str">
            <v>AHW-42604I22</v>
          </cell>
          <cell r="B2135">
            <v>4008410</v>
          </cell>
          <cell r="C2135" t="str">
            <v>Original</v>
          </cell>
          <cell r="D2135" t="str">
            <v>CTS</v>
          </cell>
          <cell r="E2135" t="str">
            <v>JP</v>
          </cell>
          <cell r="F2135">
            <v>44714</v>
          </cell>
          <cell r="G2135">
            <v>44722</v>
          </cell>
          <cell r="H2135">
            <v>44724</v>
          </cell>
          <cell r="I2135" t="str">
            <v>10.06.2022</v>
          </cell>
          <cell r="J2135" t="str">
            <v>13.06.2022</v>
          </cell>
          <cell r="K2135" t="str">
            <v>-</v>
          </cell>
          <cell r="L2135" t="str">
            <v>OK</v>
          </cell>
        </row>
        <row r="2136">
          <cell r="A2136" t="str">
            <v>AHW-42605I22</v>
          </cell>
          <cell r="B2136">
            <v>4008411</v>
          </cell>
          <cell r="C2136" t="str">
            <v>Original</v>
          </cell>
          <cell r="D2136" t="str">
            <v>CTS</v>
          </cell>
          <cell r="E2136" t="str">
            <v>JP</v>
          </cell>
          <cell r="F2136">
            <v>44714</v>
          </cell>
          <cell r="G2136">
            <v>44722</v>
          </cell>
          <cell r="H2136">
            <v>44724</v>
          </cell>
          <cell r="I2136" t="str">
            <v>10.06.2022</v>
          </cell>
          <cell r="J2136" t="str">
            <v>13.06.2022</v>
          </cell>
          <cell r="K2136" t="str">
            <v>-</v>
          </cell>
          <cell r="L2136" t="str">
            <v>OK</v>
          </cell>
        </row>
        <row r="2137">
          <cell r="A2137" t="str">
            <v>AHW-42606I22</v>
          </cell>
          <cell r="B2137">
            <v>4008412</v>
          </cell>
          <cell r="C2137" t="str">
            <v>Original</v>
          </cell>
          <cell r="D2137" t="str">
            <v>CTS</v>
          </cell>
          <cell r="E2137" t="str">
            <v>JP</v>
          </cell>
          <cell r="F2137">
            <v>44714</v>
          </cell>
          <cell r="G2137">
            <v>44722</v>
          </cell>
          <cell r="H2137">
            <v>44724</v>
          </cell>
          <cell r="I2137" t="str">
            <v>10.06.2022</v>
          </cell>
          <cell r="J2137" t="str">
            <v>13.06.2022</v>
          </cell>
          <cell r="K2137" t="str">
            <v>-</v>
          </cell>
          <cell r="L2137" t="str">
            <v>OK</v>
          </cell>
        </row>
        <row r="2138">
          <cell r="A2138" t="str">
            <v>AHW-42607I22</v>
          </cell>
          <cell r="B2138">
            <v>4008415</v>
          </cell>
          <cell r="C2138" t="str">
            <v>Original</v>
          </cell>
          <cell r="D2138" t="str">
            <v>CTS</v>
          </cell>
          <cell r="E2138" t="str">
            <v>JP</v>
          </cell>
          <cell r="F2138">
            <v>44720</v>
          </cell>
          <cell r="G2138">
            <v>44728</v>
          </cell>
          <cell r="H2138">
            <v>44730</v>
          </cell>
          <cell r="I2138" t="str">
            <v>14.06.2022</v>
          </cell>
          <cell r="J2138" t="str">
            <v>13.06.2022</v>
          </cell>
          <cell r="K2138" t="str">
            <v>-</v>
          </cell>
          <cell r="L2138" t="str">
            <v>OK</v>
          </cell>
        </row>
        <row r="2139">
          <cell r="A2139" t="str">
            <v>AHW-42613I22</v>
          </cell>
          <cell r="B2139">
            <v>4008419</v>
          </cell>
          <cell r="C2139" t="str">
            <v>Original</v>
          </cell>
          <cell r="D2139" t="str">
            <v>CTS</v>
          </cell>
          <cell r="E2139" t="str">
            <v>JP</v>
          </cell>
          <cell r="F2139">
            <v>44720</v>
          </cell>
          <cell r="G2139">
            <v>44728</v>
          </cell>
          <cell r="H2139">
            <v>44730</v>
          </cell>
          <cell r="I2139" t="str">
            <v>14.06.2022</v>
          </cell>
          <cell r="J2139" t="str">
            <v>13.06.2022</v>
          </cell>
          <cell r="K2139" t="str">
            <v>-</v>
          </cell>
          <cell r="L2139" t="str">
            <v>OK</v>
          </cell>
        </row>
        <row r="2140">
          <cell r="A2140" t="str">
            <v>AHW-42721I22</v>
          </cell>
          <cell r="B2140">
            <v>4008444</v>
          </cell>
          <cell r="C2140" t="str">
            <v>Original</v>
          </cell>
          <cell r="D2140" t="str">
            <v>CTS</v>
          </cell>
          <cell r="E2140" t="str">
            <v>JP</v>
          </cell>
          <cell r="F2140">
            <v>44720</v>
          </cell>
          <cell r="G2140">
            <v>44728</v>
          </cell>
          <cell r="H2140">
            <v>44730</v>
          </cell>
          <cell r="I2140" t="str">
            <v>14.06.2022</v>
          </cell>
          <cell r="J2140" t="str">
            <v>13.06.2022</v>
          </cell>
          <cell r="K2140" t="str">
            <v>-</v>
          </cell>
          <cell r="L2140" t="str">
            <v>OK</v>
          </cell>
        </row>
        <row r="2141">
          <cell r="A2141" t="str">
            <v>AHW-42722I22</v>
          </cell>
          <cell r="B2141">
            <v>4008445</v>
          </cell>
          <cell r="C2141" t="str">
            <v>Original</v>
          </cell>
          <cell r="D2141" t="str">
            <v>CTS</v>
          </cell>
          <cell r="E2141" t="str">
            <v>JP</v>
          </cell>
          <cell r="F2141">
            <v>44720</v>
          </cell>
          <cell r="G2141">
            <v>44728</v>
          </cell>
          <cell r="H2141">
            <v>44730</v>
          </cell>
          <cell r="I2141" t="str">
            <v>14.06.2022</v>
          </cell>
          <cell r="J2141" t="str">
            <v>13.06.2022</v>
          </cell>
          <cell r="K2141" t="str">
            <v>-</v>
          </cell>
          <cell r="L2141" t="str">
            <v>OK</v>
          </cell>
        </row>
        <row r="2142">
          <cell r="A2142" t="str">
            <v>AMS-42514I22</v>
          </cell>
          <cell r="B2142">
            <v>398196078</v>
          </cell>
          <cell r="C2142" t="str">
            <v>Original</v>
          </cell>
          <cell r="D2142" t="str">
            <v>PGL</v>
          </cell>
          <cell r="E2142" t="str">
            <v>Technology</v>
          </cell>
          <cell r="F2142">
            <v>44732</v>
          </cell>
          <cell r="G2142">
            <v>44740</v>
          </cell>
          <cell r="H2142">
            <v>44742</v>
          </cell>
          <cell r="I2142" t="str">
            <v>10.06.2022</v>
          </cell>
          <cell r="J2142" t="str">
            <v>01.06.2022</v>
          </cell>
          <cell r="K2142" t="str">
            <v>-</v>
          </cell>
          <cell r="L2142" t="str">
            <v>OK</v>
          </cell>
        </row>
        <row r="2143">
          <cell r="A2143" t="str">
            <v>AMS-42515I22</v>
          </cell>
          <cell r="B2143">
            <v>398196080</v>
          </cell>
          <cell r="C2143" t="str">
            <v>Original</v>
          </cell>
          <cell r="D2143" t="str">
            <v>PGL</v>
          </cell>
          <cell r="E2143" t="str">
            <v>Technology</v>
          </cell>
          <cell r="F2143">
            <v>44732</v>
          </cell>
          <cell r="G2143">
            <v>44740</v>
          </cell>
          <cell r="H2143">
            <v>44742</v>
          </cell>
          <cell r="I2143" t="str">
            <v>10.06.2022</v>
          </cell>
          <cell r="J2143" t="str">
            <v>01.06.2022</v>
          </cell>
          <cell r="K2143" t="str">
            <v>-</v>
          </cell>
          <cell r="L2143" t="str">
            <v>OK</v>
          </cell>
        </row>
        <row r="2144">
          <cell r="A2144" t="str">
            <v>AMS-42749I22</v>
          </cell>
          <cell r="B2144">
            <v>417564353</v>
          </cell>
          <cell r="C2144" t="str">
            <v>Original</v>
          </cell>
          <cell r="D2144" t="str">
            <v>Expeditors</v>
          </cell>
          <cell r="E2144" t="str">
            <v>Expeditors</v>
          </cell>
          <cell r="F2144">
            <v>44732</v>
          </cell>
          <cell r="G2144">
            <v>44740</v>
          </cell>
          <cell r="H2144">
            <v>44742</v>
          </cell>
          <cell r="I2144" t="str">
            <v>21.06.2022</v>
          </cell>
          <cell r="J2144" t="str">
            <v>21.06.2022</v>
          </cell>
          <cell r="K2144" t="str">
            <v>-</v>
          </cell>
          <cell r="L2144" t="str">
            <v>OK</v>
          </cell>
        </row>
        <row r="2145">
          <cell r="A2145" t="str">
            <v>AMS-42750I22</v>
          </cell>
          <cell r="B2145">
            <v>417564354</v>
          </cell>
          <cell r="C2145" t="str">
            <v>Original</v>
          </cell>
          <cell r="D2145" t="str">
            <v>Expeditors</v>
          </cell>
          <cell r="E2145" t="str">
            <v>Expeditors</v>
          </cell>
          <cell r="F2145">
            <v>44732</v>
          </cell>
          <cell r="G2145">
            <v>44740</v>
          </cell>
          <cell r="H2145">
            <v>44742</v>
          </cell>
          <cell r="I2145" t="str">
            <v>21.06.2022</v>
          </cell>
          <cell r="J2145" t="str">
            <v>21.06.2022</v>
          </cell>
          <cell r="K2145" t="str">
            <v>-</v>
          </cell>
          <cell r="L2145" t="str">
            <v>OK</v>
          </cell>
        </row>
        <row r="2146">
          <cell r="A2146" t="str">
            <v>AMS-42751I22</v>
          </cell>
          <cell r="B2146">
            <v>417564355</v>
          </cell>
          <cell r="C2146" t="str">
            <v>Original</v>
          </cell>
          <cell r="D2146" t="str">
            <v>Expeditors</v>
          </cell>
          <cell r="E2146" t="str">
            <v>Expeditors</v>
          </cell>
          <cell r="F2146">
            <v>44732</v>
          </cell>
          <cell r="G2146">
            <v>44740</v>
          </cell>
          <cell r="H2146">
            <v>44742</v>
          </cell>
          <cell r="I2146" t="str">
            <v>21.06.2022</v>
          </cell>
          <cell r="J2146" t="str">
            <v>21.06.2022</v>
          </cell>
          <cell r="K2146" t="str">
            <v>-</v>
          </cell>
          <cell r="L2146" t="str">
            <v>OK</v>
          </cell>
        </row>
        <row r="2147">
          <cell r="A2147" t="str">
            <v>AMS-42752I22</v>
          </cell>
          <cell r="B2147">
            <v>417564356</v>
          </cell>
          <cell r="C2147" t="str">
            <v>Original</v>
          </cell>
          <cell r="D2147" t="str">
            <v>Expeditors</v>
          </cell>
          <cell r="E2147" t="str">
            <v>Expeditors</v>
          </cell>
          <cell r="F2147">
            <v>44732</v>
          </cell>
          <cell r="G2147">
            <v>44740</v>
          </cell>
          <cell r="H2147">
            <v>44742</v>
          </cell>
          <cell r="I2147" t="str">
            <v>21.06.2022</v>
          </cell>
          <cell r="J2147" t="str">
            <v>21.06.2022</v>
          </cell>
          <cell r="K2147" t="str">
            <v>-</v>
          </cell>
          <cell r="L2147" t="str">
            <v>OK</v>
          </cell>
        </row>
        <row r="2148">
          <cell r="A2148" t="str">
            <v>AMS-42862I22</v>
          </cell>
          <cell r="B2148">
            <v>399335461</v>
          </cell>
          <cell r="C2148" t="str">
            <v>Original</v>
          </cell>
          <cell r="D2148" t="str">
            <v>PGL</v>
          </cell>
          <cell r="E2148" t="str">
            <v>Technology</v>
          </cell>
          <cell r="F2148">
            <v>44732</v>
          </cell>
          <cell r="G2148">
            <v>44740</v>
          </cell>
          <cell r="H2148">
            <v>44742</v>
          </cell>
          <cell r="I2148" t="str">
            <v>22.06.2022</v>
          </cell>
          <cell r="J2148" t="str">
            <v>20.06.2022</v>
          </cell>
          <cell r="K2148" t="str">
            <v>-</v>
          </cell>
          <cell r="L2148" t="str">
            <v>OK</v>
          </cell>
        </row>
        <row r="2149">
          <cell r="A2149" t="str">
            <v>AMS-42863I22</v>
          </cell>
          <cell r="B2149">
            <v>417564366</v>
          </cell>
          <cell r="C2149" t="str">
            <v>Original</v>
          </cell>
          <cell r="D2149" t="str">
            <v>Expeditors</v>
          </cell>
          <cell r="E2149" t="str">
            <v>Expeditors</v>
          </cell>
          <cell r="F2149">
            <v>44732</v>
          </cell>
          <cell r="G2149">
            <v>44740</v>
          </cell>
          <cell r="H2149">
            <v>44742</v>
          </cell>
          <cell r="I2149" t="str">
            <v>22.06.2022</v>
          </cell>
          <cell r="J2149" t="str">
            <v>21.06.2022</v>
          </cell>
          <cell r="K2149" t="str">
            <v>-</v>
          </cell>
          <cell r="L2149" t="str">
            <v>OK</v>
          </cell>
        </row>
        <row r="2150">
          <cell r="A2150" t="str">
            <v>AMS-42864I22</v>
          </cell>
          <cell r="B2150">
            <v>417564367</v>
          </cell>
          <cell r="C2150" t="str">
            <v>Original</v>
          </cell>
          <cell r="D2150" t="str">
            <v>Expeditors</v>
          </cell>
          <cell r="E2150" t="str">
            <v>Expeditors</v>
          </cell>
          <cell r="F2150">
            <v>44732</v>
          </cell>
          <cell r="G2150">
            <v>44740</v>
          </cell>
          <cell r="H2150">
            <v>44742</v>
          </cell>
          <cell r="I2150" t="str">
            <v>22.06.2022</v>
          </cell>
          <cell r="J2150" t="str">
            <v>21.06.2022</v>
          </cell>
          <cell r="K2150" t="str">
            <v>-</v>
          </cell>
          <cell r="L2150" t="str">
            <v>OK</v>
          </cell>
        </row>
        <row r="2151">
          <cell r="A2151" t="str">
            <v>AMS-42865I22</v>
          </cell>
          <cell r="B2151">
            <v>417564368</v>
          </cell>
          <cell r="C2151" t="str">
            <v>Original</v>
          </cell>
          <cell r="D2151" t="str">
            <v>Expeditors</v>
          </cell>
          <cell r="E2151" t="str">
            <v>Expeditors</v>
          </cell>
          <cell r="F2151">
            <v>44732</v>
          </cell>
          <cell r="G2151">
            <v>44740</v>
          </cell>
          <cell r="H2151">
            <v>44742</v>
          </cell>
          <cell r="I2151" t="str">
            <v>22.06.2022</v>
          </cell>
          <cell r="J2151" t="str">
            <v>20.06.2022</v>
          </cell>
          <cell r="K2151" t="str">
            <v>-</v>
          </cell>
          <cell r="L2151" t="str">
            <v>OK</v>
          </cell>
        </row>
        <row r="2152">
          <cell r="A2152" t="str">
            <v>AMS-42866I22</v>
          </cell>
          <cell r="B2152">
            <v>417564369</v>
          </cell>
          <cell r="C2152" t="str">
            <v>Original</v>
          </cell>
          <cell r="D2152" t="str">
            <v>Expeditors</v>
          </cell>
          <cell r="E2152" t="str">
            <v>Expeditors</v>
          </cell>
          <cell r="F2152">
            <v>44732</v>
          </cell>
          <cell r="G2152">
            <v>44740</v>
          </cell>
          <cell r="H2152">
            <v>44742</v>
          </cell>
          <cell r="I2152" t="str">
            <v>22.06.2022</v>
          </cell>
          <cell r="J2152" t="str">
            <v>20.06.2022</v>
          </cell>
          <cell r="K2152" t="str">
            <v>-</v>
          </cell>
          <cell r="L2152" t="str">
            <v>OK</v>
          </cell>
        </row>
        <row r="2153">
          <cell r="A2153" t="str">
            <v>AHW-42724I22</v>
          </cell>
          <cell r="B2153">
            <v>4008477</v>
          </cell>
          <cell r="C2153" t="str">
            <v>Original</v>
          </cell>
          <cell r="D2153" t="str">
            <v>CTS</v>
          </cell>
          <cell r="E2153" t="str">
            <v>JP</v>
          </cell>
          <cell r="F2153">
            <v>44722</v>
          </cell>
          <cell r="G2153">
            <v>44730</v>
          </cell>
          <cell r="H2153">
            <v>44732</v>
          </cell>
          <cell r="I2153" t="str">
            <v>20.06.2022</v>
          </cell>
          <cell r="J2153" t="str">
            <v>13.06.2022</v>
          </cell>
          <cell r="K2153" t="str">
            <v>-</v>
          </cell>
          <cell r="L2153" t="str">
            <v>OK</v>
          </cell>
        </row>
        <row r="2154">
          <cell r="A2154" t="str">
            <v>AHW-42723I22</v>
          </cell>
          <cell r="B2154">
            <v>4008458</v>
          </cell>
          <cell r="C2154" t="str">
            <v>Original</v>
          </cell>
          <cell r="D2154" t="str">
            <v>CTS</v>
          </cell>
          <cell r="E2154" t="str">
            <v>JP</v>
          </cell>
          <cell r="F2154">
            <v>44725</v>
          </cell>
          <cell r="G2154">
            <v>44733</v>
          </cell>
          <cell r="H2154">
            <v>44735</v>
          </cell>
          <cell r="I2154" t="str">
            <v>21.06.2022</v>
          </cell>
          <cell r="J2154" t="str">
            <v>24.06.2022</v>
          </cell>
          <cell r="K2154" t="str">
            <v>-</v>
          </cell>
          <cell r="L2154" t="str">
            <v>OK</v>
          </cell>
        </row>
        <row r="2155">
          <cell r="A2155" t="str">
            <v>AHW-42725I22</v>
          </cell>
          <cell r="B2155">
            <v>4008467</v>
          </cell>
          <cell r="C2155" t="str">
            <v>Original</v>
          </cell>
          <cell r="D2155" t="str">
            <v>CTS</v>
          </cell>
          <cell r="E2155" t="str">
            <v>JP</v>
          </cell>
          <cell r="F2155">
            <v>44725</v>
          </cell>
          <cell r="G2155">
            <v>44733</v>
          </cell>
          <cell r="H2155">
            <v>44735</v>
          </cell>
          <cell r="I2155" t="str">
            <v>27.06.2022</v>
          </cell>
          <cell r="J2155" t="str">
            <v>24.06.2022</v>
          </cell>
          <cell r="K2155" t="str">
            <v>-</v>
          </cell>
          <cell r="L2155" t="str">
            <v>OK</v>
          </cell>
        </row>
        <row r="2156">
          <cell r="A2156" t="str">
            <v>AHW-42726I22</v>
          </cell>
          <cell r="B2156">
            <v>4008482</v>
          </cell>
          <cell r="C2156" t="str">
            <v>Original</v>
          </cell>
          <cell r="D2156" t="str">
            <v>CTS</v>
          </cell>
          <cell r="E2156" t="str">
            <v>JP</v>
          </cell>
          <cell r="F2156">
            <v>44725</v>
          </cell>
          <cell r="G2156">
            <v>44733</v>
          </cell>
          <cell r="H2156">
            <v>44735</v>
          </cell>
          <cell r="I2156" t="str">
            <v>21.06.2022</v>
          </cell>
          <cell r="J2156" t="str">
            <v>24.06.2022</v>
          </cell>
          <cell r="K2156" t="str">
            <v>-</v>
          </cell>
          <cell r="L2156" t="str">
            <v>OK</v>
          </cell>
        </row>
        <row r="2157">
          <cell r="A2157" t="str">
            <v>AHW-42727I22</v>
          </cell>
          <cell r="B2157">
            <v>4008484</v>
          </cell>
          <cell r="C2157" t="str">
            <v>Original</v>
          </cell>
          <cell r="D2157" t="str">
            <v>CTS</v>
          </cell>
          <cell r="E2157" t="str">
            <v>JP</v>
          </cell>
          <cell r="F2157">
            <v>44725</v>
          </cell>
          <cell r="G2157">
            <v>44733</v>
          </cell>
          <cell r="H2157">
            <v>44735</v>
          </cell>
          <cell r="I2157" t="str">
            <v>21.06.2022</v>
          </cell>
          <cell r="J2157" t="str">
            <v>24.06.2022</v>
          </cell>
          <cell r="K2157" t="str">
            <v>-</v>
          </cell>
          <cell r="L2157" t="str">
            <v>OK</v>
          </cell>
        </row>
        <row r="2158">
          <cell r="A2158" t="str">
            <v>AHW-42728I22</v>
          </cell>
          <cell r="B2158">
            <v>4008476</v>
          </cell>
          <cell r="C2158" t="str">
            <v>Original</v>
          </cell>
          <cell r="D2158" t="str">
            <v>CTS</v>
          </cell>
          <cell r="E2158" t="str">
            <v>JP</v>
          </cell>
          <cell r="F2158">
            <v>44725</v>
          </cell>
          <cell r="G2158">
            <v>44733</v>
          </cell>
          <cell r="H2158">
            <v>44735</v>
          </cell>
          <cell r="I2158" t="str">
            <v>21.06.2022</v>
          </cell>
          <cell r="J2158" t="str">
            <v>24.06.2022</v>
          </cell>
          <cell r="K2158" t="str">
            <v>-</v>
          </cell>
          <cell r="L2158" t="str">
            <v>OK</v>
          </cell>
        </row>
        <row r="2159">
          <cell r="A2159" t="str">
            <v>AHW-42729I22</v>
          </cell>
          <cell r="B2159">
            <v>4008453</v>
          </cell>
          <cell r="C2159" t="str">
            <v>Original</v>
          </cell>
          <cell r="D2159" t="str">
            <v>CTS</v>
          </cell>
          <cell r="E2159" t="str">
            <v>JP</v>
          </cell>
          <cell r="F2159">
            <v>44725</v>
          </cell>
          <cell r="G2159">
            <v>44733</v>
          </cell>
          <cell r="H2159">
            <v>44735</v>
          </cell>
          <cell r="I2159" t="str">
            <v>21.06.2022</v>
          </cell>
          <cell r="J2159" t="str">
            <v>24.06.2022</v>
          </cell>
          <cell r="K2159" t="str">
            <v>-</v>
          </cell>
          <cell r="L2159" t="str">
            <v>OK</v>
          </cell>
        </row>
        <row r="2160">
          <cell r="A2160" t="str">
            <v>AHW-42748I22</v>
          </cell>
          <cell r="B2160">
            <v>4008457</v>
          </cell>
          <cell r="C2160" t="str">
            <v>Original</v>
          </cell>
          <cell r="D2160" t="str">
            <v>CTS</v>
          </cell>
          <cell r="E2160" t="str">
            <v>JP</v>
          </cell>
          <cell r="F2160">
            <v>44725</v>
          </cell>
          <cell r="G2160">
            <v>44733</v>
          </cell>
          <cell r="H2160">
            <v>44735</v>
          </cell>
          <cell r="I2160" t="str">
            <v>21.06.2022</v>
          </cell>
          <cell r="J2160" t="str">
            <v>24.06.2022</v>
          </cell>
          <cell r="K2160" t="str">
            <v>-</v>
          </cell>
          <cell r="L2160" t="str">
            <v>OK</v>
          </cell>
        </row>
        <row r="2161">
          <cell r="A2161" t="str">
            <v>AHW-42869I22</v>
          </cell>
          <cell r="B2161">
            <v>4008494</v>
          </cell>
          <cell r="C2161" t="str">
            <v>Original</v>
          </cell>
          <cell r="D2161" t="str">
            <v>CTS</v>
          </cell>
          <cell r="E2161" t="str">
            <v>JP</v>
          </cell>
          <cell r="F2161">
            <v>44732</v>
          </cell>
          <cell r="G2161">
            <v>44740</v>
          </cell>
          <cell r="H2161">
            <v>44742</v>
          </cell>
          <cell r="I2161" t="str">
            <v>27.06.2022</v>
          </cell>
          <cell r="J2161" t="str">
            <v>01.07.2022</v>
          </cell>
          <cell r="K2161" t="str">
            <v>-</v>
          </cell>
          <cell r="L2161" t="str">
            <v>OK</v>
          </cell>
        </row>
        <row r="2162">
          <cell r="A2162" t="str">
            <v>AMS-42615I22</v>
          </cell>
          <cell r="B2162" t="str">
            <v>1Z6469V00474870273</v>
          </cell>
          <cell r="C2162" t="str">
            <v>Brasiliense</v>
          </cell>
          <cell r="D2162" t="str">
            <v>UPS</v>
          </cell>
          <cell r="E2162" t="str">
            <v>Future</v>
          </cell>
          <cell r="F2162">
            <v>44718</v>
          </cell>
          <cell r="G2162">
            <v>44726</v>
          </cell>
          <cell r="H2162">
            <v>44728</v>
          </cell>
          <cell r="I2162" t="str">
            <v>09.06.2022</v>
          </cell>
          <cell r="J2162" t="str">
            <v>13.06.2022</v>
          </cell>
          <cell r="K2162" t="str">
            <v>21.06.2022</v>
          </cell>
          <cell r="L2162" t="str">
            <v>OK</v>
          </cell>
        </row>
        <row r="2163">
          <cell r="A2163" t="str">
            <v>AMS-42621I22</v>
          </cell>
          <cell r="B2163" t="str">
            <v>1Z6469V00473652804</v>
          </cell>
          <cell r="C2163" t="str">
            <v>Brasiliense</v>
          </cell>
          <cell r="D2163" t="str">
            <v>UPS</v>
          </cell>
          <cell r="E2163" t="str">
            <v>Future</v>
          </cell>
          <cell r="F2163">
            <v>44715</v>
          </cell>
          <cell r="G2163">
            <v>44723</v>
          </cell>
          <cell r="H2163">
            <v>44725</v>
          </cell>
          <cell r="I2163" t="str">
            <v>06.06.2022</v>
          </cell>
          <cell r="J2163" t="str">
            <v>13.06.2022</v>
          </cell>
          <cell r="K2163" t="str">
            <v>21.06.2022</v>
          </cell>
          <cell r="L2163" t="str">
            <v>OK</v>
          </cell>
        </row>
        <row r="2164">
          <cell r="A2164" t="str">
            <v>AMS-42626I22</v>
          </cell>
          <cell r="B2164" t="str">
            <v>1Z6469V00475807072</v>
          </cell>
          <cell r="C2164" t="str">
            <v>Brasiliense</v>
          </cell>
          <cell r="D2164" t="str">
            <v>UPS</v>
          </cell>
          <cell r="E2164" t="str">
            <v>Future</v>
          </cell>
          <cell r="F2164">
            <v>44720</v>
          </cell>
          <cell r="G2164">
            <v>44728</v>
          </cell>
          <cell r="H2164">
            <v>44730</v>
          </cell>
          <cell r="I2164" t="str">
            <v>09.06.2022</v>
          </cell>
          <cell r="J2164" t="str">
            <v>13.06.2022</v>
          </cell>
          <cell r="K2164" t="str">
            <v>21.06.2022</v>
          </cell>
          <cell r="L2164" t="str">
            <v>OK</v>
          </cell>
        </row>
        <row r="2165">
          <cell r="A2165" t="str">
            <v>AMS-42628I22</v>
          </cell>
          <cell r="B2165" t="str">
            <v>1Z6469V00475714663</v>
          </cell>
          <cell r="C2165" t="str">
            <v>Brasiliense</v>
          </cell>
          <cell r="D2165" t="str">
            <v>UPS</v>
          </cell>
          <cell r="E2165" t="str">
            <v>Future</v>
          </cell>
          <cell r="F2165">
            <v>44720</v>
          </cell>
          <cell r="G2165">
            <v>44728</v>
          </cell>
          <cell r="H2165">
            <v>44730</v>
          </cell>
          <cell r="I2165" t="str">
            <v>09.06.2022</v>
          </cell>
          <cell r="J2165" t="str">
            <v>13.06.2022</v>
          </cell>
          <cell r="K2165" t="str">
            <v>21.06.2022</v>
          </cell>
          <cell r="L2165" t="str">
            <v>OK</v>
          </cell>
        </row>
        <row r="2166">
          <cell r="A2166" t="str">
            <v>AMS-42871I22</v>
          </cell>
          <cell r="B2166" t="str">
            <v>1Z6469V00474976561</v>
          </cell>
          <cell r="C2166" t="str">
            <v>Brasiliense</v>
          </cell>
          <cell r="D2166" t="str">
            <v>UPS</v>
          </cell>
          <cell r="E2166" t="str">
            <v>Future</v>
          </cell>
          <cell r="F2166">
            <v>44725</v>
          </cell>
          <cell r="G2166">
            <v>44733</v>
          </cell>
          <cell r="H2166">
            <v>44735</v>
          </cell>
          <cell r="I2166" t="str">
            <v>15.06.2022</v>
          </cell>
          <cell r="J2166" t="str">
            <v>24.06.2022</v>
          </cell>
          <cell r="K2166" t="str">
            <v>20.06.2022</v>
          </cell>
          <cell r="L2166" t="str">
            <v>OK</v>
          </cell>
        </row>
        <row r="2167">
          <cell r="A2167" t="str">
            <v>AMS-42872I22</v>
          </cell>
          <cell r="B2167" t="str">
            <v>1Z6469V00473659076</v>
          </cell>
          <cell r="C2167" t="str">
            <v>Brasiliense</v>
          </cell>
          <cell r="D2167" t="str">
            <v>UPS</v>
          </cell>
          <cell r="E2167" t="str">
            <v>Future</v>
          </cell>
          <cell r="F2167">
            <v>44726</v>
          </cell>
          <cell r="G2167">
            <v>44734</v>
          </cell>
          <cell r="H2167">
            <v>44736</v>
          </cell>
          <cell r="I2167" t="str">
            <v>15.06.2022</v>
          </cell>
          <cell r="J2167" t="str">
            <v>24.06.2022</v>
          </cell>
          <cell r="K2167" t="str">
            <v>20.06.2022</v>
          </cell>
          <cell r="L2167" t="str">
            <v>OK</v>
          </cell>
        </row>
        <row r="2168">
          <cell r="A2168" t="str">
            <v>AMS-42873I22</v>
          </cell>
          <cell r="B2168" t="str">
            <v>1Z6469V00473127408</v>
          </cell>
          <cell r="C2168" t="str">
            <v>Brasiliense</v>
          </cell>
          <cell r="D2168" t="str">
            <v>UPS</v>
          </cell>
          <cell r="E2168" t="str">
            <v>Future</v>
          </cell>
          <cell r="F2168">
            <v>44726</v>
          </cell>
          <cell r="G2168">
            <v>44734</v>
          </cell>
          <cell r="H2168">
            <v>44736</v>
          </cell>
          <cell r="I2168" t="str">
            <v>15.06.2022</v>
          </cell>
          <cell r="J2168" t="str">
            <v>24.06.2022</v>
          </cell>
          <cell r="K2168" t="str">
            <v>20.06.2022</v>
          </cell>
          <cell r="L2168" t="str">
            <v>OK</v>
          </cell>
        </row>
        <row r="2169">
          <cell r="A2169" t="str">
            <v>AMS-42874I22</v>
          </cell>
          <cell r="B2169" t="str">
            <v>1Z6469V00474560214</v>
          </cell>
          <cell r="C2169" t="str">
            <v>Brasiliense</v>
          </cell>
          <cell r="D2169" t="str">
            <v>UPS</v>
          </cell>
          <cell r="E2169" t="str">
            <v>Future</v>
          </cell>
          <cell r="F2169">
            <v>44725</v>
          </cell>
          <cell r="G2169">
            <v>44733</v>
          </cell>
          <cell r="H2169">
            <v>44735</v>
          </cell>
          <cell r="I2169" t="str">
            <v>15.06.2022</v>
          </cell>
          <cell r="J2169" t="str">
            <v>24.06.2022</v>
          </cell>
          <cell r="K2169" t="str">
            <v>20.06.2022</v>
          </cell>
          <cell r="L2169" t="str">
            <v>OK</v>
          </cell>
        </row>
        <row r="2170">
          <cell r="A2170" t="str">
            <v>AMS-42876I22</v>
          </cell>
          <cell r="B2170" t="str">
            <v>1Z6469V00473776761</v>
          </cell>
          <cell r="C2170" t="str">
            <v>Brasiliense</v>
          </cell>
          <cell r="D2170" t="str">
            <v>UPS</v>
          </cell>
          <cell r="E2170" t="str">
            <v>Future</v>
          </cell>
          <cell r="F2170">
            <v>44733</v>
          </cell>
          <cell r="G2170">
            <v>44741</v>
          </cell>
          <cell r="H2170">
            <v>44743</v>
          </cell>
          <cell r="I2170" t="str">
            <v>05.07.2022</v>
          </cell>
          <cell r="J2170" t="str">
            <v>01.07.2022</v>
          </cell>
          <cell r="K2170" t="str">
            <v>27.06.2022</v>
          </cell>
          <cell r="L2170" t="str">
            <v>OK</v>
          </cell>
        </row>
        <row r="2171">
          <cell r="A2171" t="str">
            <v>AMS-42877I22</v>
          </cell>
          <cell r="B2171" t="str">
            <v>1Z6469V00473182189</v>
          </cell>
          <cell r="C2171" t="str">
            <v>Brasiliense</v>
          </cell>
          <cell r="D2171" t="str">
            <v>UPS</v>
          </cell>
          <cell r="E2171" t="str">
            <v>Future</v>
          </cell>
          <cell r="F2171">
            <v>44733</v>
          </cell>
          <cell r="G2171">
            <v>44741</v>
          </cell>
          <cell r="H2171">
            <v>44743</v>
          </cell>
          <cell r="I2171" t="str">
            <v>05.07.2022</v>
          </cell>
          <cell r="J2171" t="str">
            <v>01.07.2022</v>
          </cell>
          <cell r="K2171" t="str">
            <v>27.06.2022</v>
          </cell>
          <cell r="L2171" t="str">
            <v>OK</v>
          </cell>
        </row>
        <row r="2172">
          <cell r="A2172" t="str">
            <v>AMS-42878I22</v>
          </cell>
          <cell r="B2172" t="str">
            <v>1Z6469V00473635172</v>
          </cell>
          <cell r="C2172" t="str">
            <v>Brasiliense</v>
          </cell>
          <cell r="D2172" t="str">
            <v>UPS</v>
          </cell>
          <cell r="E2172" t="str">
            <v>Future</v>
          </cell>
          <cell r="F2172">
            <v>44733</v>
          </cell>
          <cell r="G2172">
            <v>44741</v>
          </cell>
          <cell r="H2172">
            <v>44743</v>
          </cell>
          <cell r="I2172" t="str">
            <v>05.07.2022</v>
          </cell>
          <cell r="J2172" t="str">
            <v>01.07.2022</v>
          </cell>
          <cell r="K2172" t="str">
            <v>27.06.2022</v>
          </cell>
          <cell r="L2172" t="str">
            <v>OK</v>
          </cell>
        </row>
        <row r="2173">
          <cell r="A2173" t="str">
            <v>AHW-42891I22</v>
          </cell>
          <cell r="B2173">
            <v>4008713</v>
          </cell>
          <cell r="C2173" t="str">
            <v>Original</v>
          </cell>
          <cell r="D2173" t="str">
            <v>CTS</v>
          </cell>
          <cell r="E2173" t="str">
            <v>JP</v>
          </cell>
          <cell r="F2173">
            <v>44733</v>
          </cell>
          <cell r="G2173">
            <v>44741</v>
          </cell>
          <cell r="H2173">
            <v>44743</v>
          </cell>
          <cell r="I2173" t="str">
            <v>05.07.2022</v>
          </cell>
          <cell r="J2173" t="str">
            <v>01.07.2022</v>
          </cell>
          <cell r="K2173" t="str">
            <v>-</v>
          </cell>
          <cell r="L2173" t="str">
            <v>OK</v>
          </cell>
        </row>
        <row r="2174">
          <cell r="A2174" t="str">
            <v>AHW-42892I22</v>
          </cell>
          <cell r="B2174">
            <v>4008709</v>
          </cell>
          <cell r="C2174" t="str">
            <v>Original</v>
          </cell>
          <cell r="D2174" t="str">
            <v>CTS</v>
          </cell>
          <cell r="E2174" t="str">
            <v>JP</v>
          </cell>
          <cell r="F2174">
            <v>44733</v>
          </cell>
          <cell r="G2174">
            <v>44741</v>
          </cell>
          <cell r="H2174">
            <v>44743</v>
          </cell>
          <cell r="I2174" t="str">
            <v>07.07.2022</v>
          </cell>
          <cell r="J2174" t="str">
            <v>01.07.2022</v>
          </cell>
          <cell r="K2174" t="str">
            <v>-</v>
          </cell>
          <cell r="L2174" t="str">
            <v>OK</v>
          </cell>
        </row>
        <row r="2175">
          <cell r="A2175" t="str">
            <v>AHW-42896I22</v>
          </cell>
          <cell r="B2175">
            <v>4008724</v>
          </cell>
          <cell r="C2175" t="str">
            <v>Original</v>
          </cell>
          <cell r="D2175" t="str">
            <v>CTS</v>
          </cell>
          <cell r="E2175" t="str">
            <v>JP</v>
          </cell>
          <cell r="F2175">
            <v>44733</v>
          </cell>
          <cell r="G2175">
            <v>44741</v>
          </cell>
          <cell r="H2175">
            <v>44743</v>
          </cell>
          <cell r="I2175" t="str">
            <v>05.07.2022</v>
          </cell>
          <cell r="J2175" t="str">
            <v>01.07.2022</v>
          </cell>
          <cell r="K2175" t="str">
            <v>-</v>
          </cell>
          <cell r="L2175" t="str">
            <v>OK</v>
          </cell>
        </row>
        <row r="2176">
          <cell r="A2176" t="str">
            <v>AHW-42964I22</v>
          </cell>
          <cell r="B2176">
            <v>4008715</v>
          </cell>
          <cell r="C2176" t="str">
            <v>Original</v>
          </cell>
          <cell r="D2176" t="str">
            <v>CTS</v>
          </cell>
          <cell r="E2176" t="str">
            <v>JP</v>
          </cell>
          <cell r="F2176">
            <v>44733</v>
          </cell>
          <cell r="G2176">
            <v>44741</v>
          </cell>
          <cell r="H2176">
            <v>44743</v>
          </cell>
          <cell r="I2176" t="str">
            <v>05.07.2022</v>
          </cell>
          <cell r="J2176" t="str">
            <v>01.07.2022</v>
          </cell>
          <cell r="K2176" t="str">
            <v>-</v>
          </cell>
          <cell r="L2176" t="str">
            <v>OK</v>
          </cell>
        </row>
        <row r="2177">
          <cell r="A2177" t="str">
            <v>SHW-42042I22</v>
          </cell>
          <cell r="B2177" t="str">
            <v>EGLV149203087674</v>
          </cell>
          <cell r="C2177" t="str">
            <v>Original</v>
          </cell>
          <cell r="D2177" t="str">
            <v>Shenker</v>
          </cell>
          <cell r="E2177" t="str">
            <v>Unitrading</v>
          </cell>
          <cell r="F2177">
            <v>44715</v>
          </cell>
          <cell r="G2177">
            <v>44723</v>
          </cell>
          <cell r="H2177">
            <v>44725</v>
          </cell>
          <cell r="I2177" t="str">
            <v>09.06.2022</v>
          </cell>
          <cell r="J2177" t="str">
            <v>01.07.2022</v>
          </cell>
          <cell r="K2177" t="str">
            <v>-</v>
          </cell>
          <cell r="L2177" t="str">
            <v>OK</v>
          </cell>
        </row>
        <row r="2178">
          <cell r="A2178" t="str">
            <v>SHW-42383I22</v>
          </cell>
          <cell r="B2178" t="str">
            <v>EGLV149203623380</v>
          </cell>
          <cell r="C2178" t="str">
            <v>Original</v>
          </cell>
          <cell r="D2178" t="str">
            <v>Shenker</v>
          </cell>
          <cell r="E2178" t="str">
            <v>Unitrading</v>
          </cell>
          <cell r="F2178">
            <v>44733</v>
          </cell>
          <cell r="G2178">
            <v>44741</v>
          </cell>
          <cell r="H2178">
            <v>44743</v>
          </cell>
          <cell r="I2178" t="str">
            <v>07.07.2022</v>
          </cell>
          <cell r="J2178" t="str">
            <v>24.06.2022</v>
          </cell>
          <cell r="K2178" t="str">
            <v>-</v>
          </cell>
          <cell r="L2178" t="str">
            <v>OK</v>
          </cell>
        </row>
        <row r="2179">
          <cell r="A2179" t="str">
            <v>SHW-42385I22</v>
          </cell>
          <cell r="B2179" t="str">
            <v>EGLV149203696239</v>
          </cell>
          <cell r="C2179" t="str">
            <v>Original</v>
          </cell>
          <cell r="D2179" t="str">
            <v>Shenker</v>
          </cell>
          <cell r="E2179" t="str">
            <v>Unitrading</v>
          </cell>
          <cell r="F2179">
            <v>44734</v>
          </cell>
          <cell r="G2179">
            <v>44742</v>
          </cell>
          <cell r="H2179">
            <v>44744</v>
          </cell>
          <cell r="I2179" t="str">
            <v>07.07.2022</v>
          </cell>
          <cell r="J2179" t="str">
            <v>22.06.2022</v>
          </cell>
          <cell r="K2179" t="str">
            <v>-</v>
          </cell>
          <cell r="L2179" t="str">
            <v>OK</v>
          </cell>
        </row>
        <row r="2180">
          <cell r="A2180" t="str">
            <v>SHW-42374I22</v>
          </cell>
          <cell r="B2180" t="str">
            <v>EGLV149203254392</v>
          </cell>
          <cell r="C2180" t="str">
            <v>Original</v>
          </cell>
          <cell r="D2180" t="str">
            <v>Shenker</v>
          </cell>
          <cell r="E2180" t="str">
            <v>Unitrading</v>
          </cell>
          <cell r="F2180">
            <v>44734</v>
          </cell>
          <cell r="G2180">
            <v>44742</v>
          </cell>
          <cell r="H2180">
            <v>44744</v>
          </cell>
          <cell r="I2180" t="str">
            <v>07.07.2022</v>
          </cell>
          <cell r="J2180" t="str">
            <v>22.06.2022</v>
          </cell>
          <cell r="K2180" t="str">
            <v>-</v>
          </cell>
          <cell r="L2180" t="str">
            <v>OK</v>
          </cell>
        </row>
        <row r="2181">
          <cell r="A2181" t="str">
            <v>SHW-42384I22</v>
          </cell>
          <cell r="B2181" t="str">
            <v>EGLV149203692918</v>
          </cell>
          <cell r="C2181" t="str">
            <v>Original</v>
          </cell>
          <cell r="D2181" t="str">
            <v>Shenker</v>
          </cell>
          <cell r="E2181" t="str">
            <v>Unitrading</v>
          </cell>
          <cell r="F2181">
            <v>44734</v>
          </cell>
          <cell r="G2181">
            <v>44742</v>
          </cell>
          <cell r="H2181">
            <v>44744</v>
          </cell>
          <cell r="I2181" t="str">
            <v>07.07.2022</v>
          </cell>
          <cell r="J2181" t="str">
            <v>22.06.2022</v>
          </cell>
          <cell r="K2181" t="str">
            <v>-</v>
          </cell>
          <cell r="L2181" t="str">
            <v>OK</v>
          </cell>
        </row>
        <row r="2182">
          <cell r="A2182" t="str">
            <v>AMS-42875I22</v>
          </cell>
          <cell r="B2182" t="str">
            <v>1Z6469V00475332316</v>
          </cell>
          <cell r="C2182" t="str">
            <v>Brasiliense</v>
          </cell>
          <cell r="D2182" t="str">
            <v>UPS</v>
          </cell>
          <cell r="E2182" t="str">
            <v>Future</v>
          </cell>
          <cell r="F2182">
            <v>44735</v>
          </cell>
          <cell r="G2182">
            <v>44743</v>
          </cell>
          <cell r="H2182">
            <v>44745</v>
          </cell>
          <cell r="I2182" t="str">
            <v>05.07.2022</v>
          </cell>
          <cell r="J2182" t="str">
            <v>01.07.2022</v>
          </cell>
          <cell r="K2182" t="str">
            <v>27.06.2022</v>
          </cell>
          <cell r="L2182" t="str">
            <v>OK</v>
          </cell>
        </row>
        <row r="2183">
          <cell r="A2183" t="str">
            <v>AMS-42980I22</v>
          </cell>
          <cell r="B2183" t="str">
            <v xml:space="preserve">1Z6469v00475367128 </v>
          </cell>
          <cell r="C2183" t="str">
            <v>Brasiliense</v>
          </cell>
          <cell r="D2183" t="str">
            <v>UPS</v>
          </cell>
          <cell r="E2183" t="str">
            <v>Future</v>
          </cell>
          <cell r="F2183">
            <v>44735</v>
          </cell>
          <cell r="G2183">
            <v>44743</v>
          </cell>
          <cell r="H2183">
            <v>44745</v>
          </cell>
          <cell r="I2183" t="str">
            <v>05.07.2022</v>
          </cell>
          <cell r="J2183" t="str">
            <v>01.07.2022</v>
          </cell>
          <cell r="K2183" t="str">
            <v>27.06.2022</v>
          </cell>
          <cell r="L2183" t="str">
            <v>OK</v>
          </cell>
        </row>
        <row r="2184">
          <cell r="A2184" t="str">
            <v>AMS-42981I22</v>
          </cell>
          <cell r="B2184" t="str">
            <v xml:space="preserve">1Z6469V00473162692 </v>
          </cell>
          <cell r="C2184" t="str">
            <v>Brasiliense</v>
          </cell>
          <cell r="D2184" t="str">
            <v>UPS</v>
          </cell>
          <cell r="E2184" t="str">
            <v>Future</v>
          </cell>
          <cell r="F2184">
            <v>44735</v>
          </cell>
          <cell r="G2184">
            <v>44743</v>
          </cell>
          <cell r="H2184">
            <v>44745</v>
          </cell>
          <cell r="I2184" t="str">
            <v>05.07.2022</v>
          </cell>
          <cell r="J2184" t="str">
            <v>01.07.2022</v>
          </cell>
          <cell r="K2184" t="str">
            <v>27.06.2022</v>
          </cell>
          <cell r="L2184" t="str">
            <v>OK</v>
          </cell>
        </row>
        <row r="2185">
          <cell r="A2185" t="str">
            <v>AMS-42982I22</v>
          </cell>
          <cell r="B2185" t="str">
            <v xml:space="preserve">1Z6469V00473117080 </v>
          </cell>
          <cell r="C2185" t="str">
            <v>Brasiliense</v>
          </cell>
          <cell r="D2185" t="str">
            <v>UPS</v>
          </cell>
          <cell r="E2185" t="str">
            <v>Future</v>
          </cell>
          <cell r="F2185">
            <v>44735</v>
          </cell>
          <cell r="G2185">
            <v>44743</v>
          </cell>
          <cell r="H2185">
            <v>44745</v>
          </cell>
          <cell r="I2185" t="str">
            <v>05.07.2022</v>
          </cell>
          <cell r="J2185" t="str">
            <v>01.07.2022</v>
          </cell>
          <cell r="K2185" t="str">
            <v>27.06.2022</v>
          </cell>
          <cell r="L2185" t="str">
            <v>OK</v>
          </cell>
        </row>
        <row r="2186">
          <cell r="A2186" t="str">
            <v>AMS-42983I22</v>
          </cell>
          <cell r="B2186" t="str">
            <v xml:space="preserve">1z6469V00475511131 </v>
          </cell>
          <cell r="C2186" t="str">
            <v>Brasiliense</v>
          </cell>
          <cell r="D2186" t="str">
            <v>UPS</v>
          </cell>
          <cell r="E2186" t="str">
            <v>Future</v>
          </cell>
          <cell r="F2186">
            <v>44735</v>
          </cell>
          <cell r="G2186">
            <v>44743</v>
          </cell>
          <cell r="H2186">
            <v>44745</v>
          </cell>
          <cell r="I2186" t="str">
            <v>05.07.2022</v>
          </cell>
          <cell r="J2186" t="str">
            <v>01.07.2022</v>
          </cell>
          <cell r="K2186" t="str">
            <v>27.06.2022</v>
          </cell>
          <cell r="L2186" t="str">
            <v>OK</v>
          </cell>
        </row>
        <row r="2187">
          <cell r="A2187" t="str">
            <v>AMS-42984I22</v>
          </cell>
          <cell r="B2187" t="str">
            <v xml:space="preserve">1z6469v00475331719 </v>
          </cell>
          <cell r="C2187" t="str">
            <v>Brasiliense</v>
          </cell>
          <cell r="D2187" t="str">
            <v>UPS</v>
          </cell>
          <cell r="E2187" t="str">
            <v>Future</v>
          </cell>
          <cell r="F2187">
            <v>44735</v>
          </cell>
          <cell r="G2187">
            <v>44743</v>
          </cell>
          <cell r="H2187">
            <v>44745</v>
          </cell>
          <cell r="I2187" t="str">
            <v>05.07.2022</v>
          </cell>
          <cell r="J2187" t="str">
            <v>01.07.2022</v>
          </cell>
          <cell r="K2187" t="str">
            <v>27.06.2022</v>
          </cell>
          <cell r="L2187" t="str">
            <v>OK</v>
          </cell>
        </row>
        <row r="2188">
          <cell r="A2188" t="str">
            <v>AMS-42985I22</v>
          </cell>
          <cell r="B2188" t="str">
            <v>1Z6469V00473252595</v>
          </cell>
          <cell r="C2188" t="str">
            <v>Brasiliense</v>
          </cell>
          <cell r="D2188" t="str">
            <v>UPS</v>
          </cell>
          <cell r="E2188" t="str">
            <v>Future</v>
          </cell>
          <cell r="F2188">
            <v>44735</v>
          </cell>
          <cell r="G2188">
            <v>44743</v>
          </cell>
          <cell r="H2188">
            <v>44745</v>
          </cell>
          <cell r="I2188" t="str">
            <v>05.07.2022</v>
          </cell>
          <cell r="J2188" t="str">
            <v>01.07.2022</v>
          </cell>
          <cell r="K2188" t="str">
            <v>27.06.2022</v>
          </cell>
          <cell r="L2188" t="str">
            <v>OK</v>
          </cell>
        </row>
        <row r="2189">
          <cell r="A2189" t="str">
            <v>AHW-42965I22</v>
          </cell>
          <cell r="B2189">
            <v>4008735</v>
          </cell>
          <cell r="C2189" t="str">
            <v>Original</v>
          </cell>
          <cell r="D2189" t="str">
            <v>CTS</v>
          </cell>
          <cell r="E2189" t="str">
            <v>JP</v>
          </cell>
          <cell r="F2189">
            <v>44736</v>
          </cell>
          <cell r="G2189">
            <v>44744</v>
          </cell>
          <cell r="H2189">
            <v>44746</v>
          </cell>
          <cell r="I2189" t="str">
            <v>05.07.2022</v>
          </cell>
          <cell r="J2189" t="str">
            <v>01.07.2022</v>
          </cell>
          <cell r="K2189" t="str">
            <v>-</v>
          </cell>
          <cell r="L2189" t="str">
            <v>OK</v>
          </cell>
        </row>
        <row r="2190">
          <cell r="A2190" t="str">
            <v>AHW-42978I22</v>
          </cell>
          <cell r="B2190">
            <v>4008763</v>
          </cell>
          <cell r="C2190" t="str">
            <v>Original</v>
          </cell>
          <cell r="D2190" t="str">
            <v>CTS</v>
          </cell>
          <cell r="E2190" t="str">
            <v>JP</v>
          </cell>
          <cell r="F2190">
            <v>44739</v>
          </cell>
          <cell r="G2190">
            <v>44747</v>
          </cell>
          <cell r="H2190">
            <v>44749</v>
          </cell>
          <cell r="I2190" t="str">
            <v>05.07.2022</v>
          </cell>
          <cell r="J2190" t="str">
            <v>12.07.2022</v>
          </cell>
          <cell r="K2190" t="str">
            <v>-</v>
          </cell>
          <cell r="L2190" t="str">
            <v>OK</v>
          </cell>
        </row>
        <row r="2191">
          <cell r="A2191" t="str">
            <v>AMS-42879I22</v>
          </cell>
          <cell r="B2191" t="str">
            <v>1Z6469V00475601703</v>
          </cell>
          <cell r="C2191" t="str">
            <v>Brasiliense</v>
          </cell>
          <cell r="D2191" t="str">
            <v>UPS</v>
          </cell>
          <cell r="E2191" t="str">
            <v>Future</v>
          </cell>
          <cell r="F2191">
            <v>44739</v>
          </cell>
          <cell r="G2191">
            <v>44747</v>
          </cell>
          <cell r="H2191">
            <v>44749</v>
          </cell>
          <cell r="I2191" t="str">
            <v>05.07.2022</v>
          </cell>
          <cell r="J2191" t="str">
            <v>12.07.2022</v>
          </cell>
          <cell r="K2191" t="str">
            <v>05.07.2022</v>
          </cell>
          <cell r="L2191" t="str">
            <v>OK</v>
          </cell>
        </row>
        <row r="2192">
          <cell r="A2192" t="str">
            <v>AMS-42880I22</v>
          </cell>
          <cell r="B2192" t="str">
            <v>1Z6469V00475846664</v>
          </cell>
          <cell r="C2192" t="str">
            <v>Brasiliense</v>
          </cell>
          <cell r="D2192" t="str">
            <v>UPS</v>
          </cell>
          <cell r="E2192" t="str">
            <v>Future</v>
          </cell>
          <cell r="F2192">
            <v>44739</v>
          </cell>
          <cell r="G2192">
            <v>44747</v>
          </cell>
          <cell r="H2192">
            <v>44749</v>
          </cell>
          <cell r="I2192" t="str">
            <v>05.07.2022</v>
          </cell>
          <cell r="J2192" t="str">
            <v>12.07.2022</v>
          </cell>
          <cell r="K2192" t="str">
            <v>05.07.2022</v>
          </cell>
          <cell r="L2192" t="str">
            <v>OK</v>
          </cell>
        </row>
        <row r="2193">
          <cell r="A2193" t="str">
            <v>AMS-43070I22</v>
          </cell>
          <cell r="B2193" t="str">
            <v>1Z6469V00474441718</v>
          </cell>
          <cell r="C2193" t="str">
            <v>Brasiliense</v>
          </cell>
          <cell r="D2193" t="str">
            <v>UPS</v>
          </cell>
          <cell r="E2193" t="str">
            <v>Future</v>
          </cell>
          <cell r="F2193">
            <v>44735</v>
          </cell>
          <cell r="G2193">
            <v>44743</v>
          </cell>
          <cell r="H2193">
            <v>44745</v>
          </cell>
          <cell r="I2193" t="str">
            <v>01.07.2022</v>
          </cell>
          <cell r="J2193" t="str">
            <v>01.07.2022</v>
          </cell>
          <cell r="K2193" t="str">
            <v>05.07.2022</v>
          </cell>
          <cell r="L2193" t="str">
            <v>OK</v>
          </cell>
        </row>
        <row r="2194">
          <cell r="A2194" t="str">
            <v>AMS-43071I22</v>
          </cell>
          <cell r="B2194" t="str">
            <v>1Z6469V00474003174</v>
          </cell>
          <cell r="C2194" t="str">
            <v>Brasiliense</v>
          </cell>
          <cell r="D2194" t="str">
            <v>UPS</v>
          </cell>
          <cell r="E2194" t="str">
            <v>Future</v>
          </cell>
          <cell r="F2194">
            <v>44739</v>
          </cell>
          <cell r="G2194">
            <v>44747</v>
          </cell>
          <cell r="H2194">
            <v>44749</v>
          </cell>
          <cell r="I2194" t="str">
            <v>07.07.2022</v>
          </cell>
          <cell r="J2194" t="str">
            <v>12.07.2022</v>
          </cell>
          <cell r="K2194" t="str">
            <v>05.07.2022</v>
          </cell>
          <cell r="L2194" t="str">
            <v>OK</v>
          </cell>
        </row>
        <row r="2195">
          <cell r="A2195" t="str">
            <v>AMS-43072I22</v>
          </cell>
          <cell r="B2195" t="str">
            <v>1Z6469V00474491110</v>
          </cell>
          <cell r="C2195" t="str">
            <v>Brasiliense</v>
          </cell>
          <cell r="D2195" t="str">
            <v>UPS</v>
          </cell>
          <cell r="E2195" t="str">
            <v>Future</v>
          </cell>
          <cell r="F2195">
            <v>44739</v>
          </cell>
          <cell r="G2195">
            <v>44747</v>
          </cell>
          <cell r="H2195">
            <v>44749</v>
          </cell>
          <cell r="I2195" t="str">
            <v>07.07.2022</v>
          </cell>
          <cell r="J2195" t="str">
            <v>12.07.2022</v>
          </cell>
          <cell r="K2195" t="str">
            <v>05.07.2022</v>
          </cell>
          <cell r="L2195" t="str">
            <v>OK</v>
          </cell>
        </row>
        <row r="2196">
          <cell r="A2196" t="str">
            <v>AMS-43088I22</v>
          </cell>
          <cell r="B2196" t="str">
            <v>1Z6469V00473011792</v>
          </cell>
          <cell r="C2196" t="str">
            <v>Brasiliense</v>
          </cell>
          <cell r="D2196" t="str">
            <v>UPS</v>
          </cell>
          <cell r="E2196" t="str">
            <v>Future</v>
          </cell>
          <cell r="F2196">
            <v>44739</v>
          </cell>
          <cell r="G2196">
            <v>44747</v>
          </cell>
          <cell r="H2196">
            <v>44749</v>
          </cell>
          <cell r="I2196" t="str">
            <v>07.07.2022</v>
          </cell>
          <cell r="J2196" t="str">
            <v>12.07.2022</v>
          </cell>
          <cell r="K2196" t="str">
            <v>05.07.2022</v>
          </cell>
          <cell r="L2196" t="str">
            <v>OK</v>
          </cell>
        </row>
        <row r="2197">
          <cell r="A2197" t="str">
            <v>AMS-43089I22</v>
          </cell>
          <cell r="B2197" t="str">
            <v>1Z6469V00473713177</v>
          </cell>
          <cell r="C2197" t="str">
            <v>Brasiliense</v>
          </cell>
          <cell r="D2197" t="str">
            <v>UPS</v>
          </cell>
          <cell r="E2197" t="str">
            <v>Future</v>
          </cell>
          <cell r="F2197">
            <v>44739</v>
          </cell>
          <cell r="G2197">
            <v>44747</v>
          </cell>
          <cell r="H2197">
            <v>44749</v>
          </cell>
          <cell r="I2197" t="str">
            <v>07.07.2022</v>
          </cell>
          <cell r="J2197" t="str">
            <v>13.07.2022</v>
          </cell>
          <cell r="K2197" t="str">
            <v>05.07.2022</v>
          </cell>
          <cell r="L2197" t="str">
            <v>OK</v>
          </cell>
        </row>
        <row r="2198">
          <cell r="A2198" t="str">
            <v>AMS-43090I22</v>
          </cell>
          <cell r="B2198" t="str">
            <v>1Z6469V00474787122</v>
          </cell>
          <cell r="C2198" t="str">
            <v>Brasiliense</v>
          </cell>
          <cell r="D2198" t="str">
            <v>UPS</v>
          </cell>
          <cell r="E2198" t="str">
            <v>Future</v>
          </cell>
          <cell r="F2198">
            <v>44739</v>
          </cell>
          <cell r="G2198">
            <v>44747</v>
          </cell>
          <cell r="H2198">
            <v>44749</v>
          </cell>
          <cell r="I2198" t="str">
            <v>07.07.2022</v>
          </cell>
          <cell r="J2198" t="str">
            <v>13.07.2022</v>
          </cell>
          <cell r="K2198" t="str">
            <v>05.07.2022</v>
          </cell>
          <cell r="L2198" t="str">
            <v>OK</v>
          </cell>
        </row>
        <row r="2199">
          <cell r="A2199" t="str">
            <v>AMS-43091I22</v>
          </cell>
          <cell r="B2199" t="str">
            <v>1Z6469V00473243854</v>
          </cell>
          <cell r="C2199" t="str">
            <v>Brasiliense</v>
          </cell>
          <cell r="D2199" t="str">
            <v>UPS</v>
          </cell>
          <cell r="E2199" t="str">
            <v>Future</v>
          </cell>
          <cell r="F2199">
            <v>44740</v>
          </cell>
          <cell r="G2199">
            <v>44748</v>
          </cell>
          <cell r="H2199">
            <v>44750</v>
          </cell>
          <cell r="I2199" t="str">
            <v>07.07.2022</v>
          </cell>
          <cell r="J2199" t="str">
            <v>13.07.2022</v>
          </cell>
          <cell r="K2199" t="str">
            <v>05.07.2022</v>
          </cell>
          <cell r="L2199" t="str">
            <v>OK</v>
          </cell>
        </row>
        <row r="2200">
          <cell r="A2200" t="str">
            <v>AMS-43092I22</v>
          </cell>
          <cell r="B2200" t="str">
            <v>1Z6469V00474739746</v>
          </cell>
          <cell r="C2200" t="str">
            <v>Brasiliense</v>
          </cell>
          <cell r="D2200" t="str">
            <v>UPS</v>
          </cell>
          <cell r="E2200" t="str">
            <v>Future</v>
          </cell>
          <cell r="F2200">
            <v>44739</v>
          </cell>
          <cell r="G2200">
            <v>44747</v>
          </cell>
          <cell r="H2200">
            <v>44749</v>
          </cell>
          <cell r="I2200" t="str">
            <v>07.07.2022</v>
          </cell>
          <cell r="J2200" t="str">
            <v>13.07.2022</v>
          </cell>
          <cell r="K2200" t="str">
            <v>05.07.2022</v>
          </cell>
          <cell r="L2200" t="str">
            <v>OK</v>
          </cell>
        </row>
        <row r="2201">
          <cell r="A2201" t="str">
            <v>AMS-43093I22</v>
          </cell>
          <cell r="B2201" t="str">
            <v>1Z6469V00473140189</v>
          </cell>
          <cell r="C2201" t="str">
            <v>Brasiliense</v>
          </cell>
          <cell r="D2201" t="str">
            <v>UPS</v>
          </cell>
          <cell r="E2201" t="str">
            <v>Future</v>
          </cell>
          <cell r="F2201">
            <v>44739</v>
          </cell>
          <cell r="G2201">
            <v>44747</v>
          </cell>
          <cell r="H2201">
            <v>44749</v>
          </cell>
          <cell r="I2201" t="str">
            <v>07.07.2022</v>
          </cell>
          <cell r="J2201" t="str">
            <v>13.07.2022</v>
          </cell>
          <cell r="K2201" t="str">
            <v>05.07.2022</v>
          </cell>
          <cell r="L2201" t="str">
            <v>OK</v>
          </cell>
        </row>
        <row r="2202">
          <cell r="A2202" t="str">
            <v>AMS-43094I22</v>
          </cell>
          <cell r="B2202" t="str">
            <v>1Z6469V00475774769</v>
          </cell>
          <cell r="C2202" t="str">
            <v>Brasiliense</v>
          </cell>
          <cell r="D2202" t="str">
            <v>UPS</v>
          </cell>
          <cell r="E2202" t="str">
            <v>Future</v>
          </cell>
          <cell r="F2202">
            <v>44739</v>
          </cell>
          <cell r="G2202">
            <v>44747</v>
          </cell>
          <cell r="H2202">
            <v>44749</v>
          </cell>
          <cell r="I2202" t="str">
            <v>07.07.2022</v>
          </cell>
          <cell r="J2202" t="str">
            <v>13.07.2022</v>
          </cell>
          <cell r="K2202" t="str">
            <v>05.07.2022</v>
          </cell>
          <cell r="L2202" t="str">
            <v>OK</v>
          </cell>
        </row>
        <row r="2203">
          <cell r="A2203" t="str">
            <v>AMS-43095I22</v>
          </cell>
          <cell r="B2203" t="str">
            <v>1Z6469V00473528958</v>
          </cell>
          <cell r="C2203" t="str">
            <v>Brasiliense</v>
          </cell>
          <cell r="D2203" t="str">
            <v>UPS</v>
          </cell>
          <cell r="E2203" t="str">
            <v>Future</v>
          </cell>
          <cell r="F2203">
            <v>44740</v>
          </cell>
          <cell r="G2203">
            <v>44748</v>
          </cell>
          <cell r="H2203">
            <v>44750</v>
          </cell>
          <cell r="I2203" t="str">
            <v>07.07.2022</v>
          </cell>
          <cell r="J2203" t="str">
            <v>13.07.2022</v>
          </cell>
          <cell r="K2203" t="str">
            <v>05.07.2022</v>
          </cell>
          <cell r="L2203" t="str">
            <v>OK</v>
          </cell>
        </row>
        <row r="2204">
          <cell r="A2204" t="str">
            <v>AMS-43096I22</v>
          </cell>
          <cell r="B2204" t="str">
            <v>1Z6469V00474408906</v>
          </cell>
          <cell r="C2204" t="str">
            <v>Brasiliense</v>
          </cell>
          <cell r="D2204" t="str">
            <v>UPS</v>
          </cell>
          <cell r="E2204" t="str">
            <v>Future</v>
          </cell>
          <cell r="F2204">
            <v>44740</v>
          </cell>
          <cell r="G2204">
            <v>44748</v>
          </cell>
          <cell r="H2204">
            <v>44750</v>
          </cell>
          <cell r="I2204" t="str">
            <v>07.07.2022</v>
          </cell>
          <cell r="J2204" t="str">
            <v>13.07.2022</v>
          </cell>
          <cell r="K2204" t="str">
            <v>05.07.2022</v>
          </cell>
          <cell r="L2204" t="str">
            <v>OK</v>
          </cell>
        </row>
        <row r="2205">
          <cell r="A2205" t="str">
            <v>AMS-42629I22</v>
          </cell>
          <cell r="B2205">
            <v>2201923</v>
          </cell>
          <cell r="C2205" t="str">
            <v>Brasiliense</v>
          </cell>
          <cell r="D2205" t="str">
            <v>Asia Shipping</v>
          </cell>
          <cell r="E2205" t="str">
            <v>Future</v>
          </cell>
          <cell r="F2205">
            <v>44740</v>
          </cell>
          <cell r="G2205">
            <v>44748</v>
          </cell>
          <cell r="H2205">
            <v>44750</v>
          </cell>
          <cell r="I2205" t="str">
            <v>05.07.2022</v>
          </cell>
          <cell r="J2205" t="str">
            <v>12.07.2022</v>
          </cell>
          <cell r="K2205" t="str">
            <v>05.07.2022</v>
          </cell>
          <cell r="L2205" t="str">
            <v>OK</v>
          </cell>
        </row>
        <row r="2206">
          <cell r="A2206" t="str">
            <v>AMS-42740I22</v>
          </cell>
          <cell r="B2206">
            <v>398610078</v>
          </cell>
          <cell r="C2206" t="str">
            <v>Original</v>
          </cell>
          <cell r="D2206" t="str">
            <v>PGL</v>
          </cell>
          <cell r="E2206" t="str">
            <v>Technology</v>
          </cell>
          <cell r="F2206">
            <v>44734</v>
          </cell>
          <cell r="G2206">
            <v>44742</v>
          </cell>
          <cell r="H2206">
            <v>44744</v>
          </cell>
          <cell r="I2206" t="str">
            <v>21.06.2022</v>
          </cell>
          <cell r="J2206" t="str">
            <v>23.06.2022</v>
          </cell>
          <cell r="K2206" t="str">
            <v>-</v>
          </cell>
          <cell r="L2206" t="str">
            <v>OK</v>
          </cell>
        </row>
        <row r="2207">
          <cell r="A2207" t="str">
            <v>AMS-42741I22</v>
          </cell>
          <cell r="B2207">
            <v>398610079</v>
          </cell>
          <cell r="C2207" t="str">
            <v>Original</v>
          </cell>
          <cell r="D2207" t="str">
            <v>PGL</v>
          </cell>
          <cell r="E2207" t="str">
            <v>Technology</v>
          </cell>
          <cell r="F2207">
            <v>44734</v>
          </cell>
          <cell r="G2207">
            <v>44742</v>
          </cell>
          <cell r="H2207">
            <v>44744</v>
          </cell>
          <cell r="I2207" t="str">
            <v>21.06.2022</v>
          </cell>
          <cell r="J2207" t="str">
            <v>23.06.2022</v>
          </cell>
          <cell r="K2207" t="str">
            <v>-</v>
          </cell>
          <cell r="L2207" t="str">
            <v>OK</v>
          </cell>
        </row>
        <row r="2208">
          <cell r="A2208" t="str">
            <v>AMS-42742I22</v>
          </cell>
          <cell r="B2208">
            <v>398610084</v>
          </cell>
          <cell r="C2208" t="str">
            <v>Original</v>
          </cell>
          <cell r="D2208" t="str">
            <v>PGL</v>
          </cell>
          <cell r="E2208" t="str">
            <v>Technology</v>
          </cell>
          <cell r="F2208">
            <v>44734</v>
          </cell>
          <cell r="G2208">
            <v>44742</v>
          </cell>
          <cell r="H2208">
            <v>44744</v>
          </cell>
          <cell r="I2208" t="str">
            <v>21.06.2022</v>
          </cell>
          <cell r="J2208" t="str">
            <v>23.06.2022</v>
          </cell>
          <cell r="K2208" t="str">
            <v>-</v>
          </cell>
          <cell r="L2208" t="str">
            <v>OK</v>
          </cell>
        </row>
        <row r="2209">
          <cell r="A2209" t="str">
            <v>AMS-42743I22</v>
          </cell>
          <cell r="B2209">
            <v>398610086</v>
          </cell>
          <cell r="C2209" t="str">
            <v>Original</v>
          </cell>
          <cell r="D2209" t="str">
            <v>PGL</v>
          </cell>
          <cell r="E2209" t="str">
            <v>Technology</v>
          </cell>
          <cell r="F2209">
            <v>44734</v>
          </cell>
          <cell r="G2209">
            <v>44742</v>
          </cell>
          <cell r="H2209">
            <v>44744</v>
          </cell>
          <cell r="I2209" t="str">
            <v>21.06.2022</v>
          </cell>
          <cell r="J2209" t="str">
            <v>23.06.2022</v>
          </cell>
          <cell r="K2209" t="str">
            <v>-</v>
          </cell>
          <cell r="L2209" t="str">
            <v>OK</v>
          </cell>
        </row>
        <row r="2210">
          <cell r="A2210" t="str">
            <v>AMS-42968I22</v>
          </cell>
          <cell r="B2210" t="str">
            <v>41L0088160</v>
          </cell>
          <cell r="C2210" t="str">
            <v>Original</v>
          </cell>
          <cell r="D2210" t="str">
            <v>Expeditors</v>
          </cell>
          <cell r="E2210" t="str">
            <v>Expeditors</v>
          </cell>
          <cell r="F2210">
            <v>44740</v>
          </cell>
          <cell r="G2210">
            <v>44748</v>
          </cell>
          <cell r="H2210">
            <v>44750</v>
          </cell>
          <cell r="I2210" t="str">
            <v>07.07.2022</v>
          </cell>
          <cell r="J2210" t="str">
            <v>05.07.2022</v>
          </cell>
          <cell r="K2210" t="str">
            <v>-</v>
          </cell>
          <cell r="L2210" t="str">
            <v>OK</v>
          </cell>
        </row>
        <row r="2211">
          <cell r="A2211" t="str">
            <v>SHW-42608I22</v>
          </cell>
          <cell r="B2211" t="str">
            <v>EGLV149204048834</v>
          </cell>
          <cell r="C2211" t="str">
            <v>Original</v>
          </cell>
          <cell r="D2211" t="str">
            <v>Shenker</v>
          </cell>
          <cell r="E2211" t="str">
            <v>Unitrading</v>
          </cell>
          <cell r="F2211">
            <v>44740</v>
          </cell>
          <cell r="G2211">
            <v>44748</v>
          </cell>
          <cell r="H2211">
            <v>44750</v>
          </cell>
          <cell r="I2211" t="str">
            <v>07.07.2022</v>
          </cell>
          <cell r="J2211" t="str">
            <v>05.07.2022</v>
          </cell>
          <cell r="K2211" t="str">
            <v>-</v>
          </cell>
          <cell r="L2211" t="str">
            <v>OK</v>
          </cell>
        </row>
        <row r="2212">
          <cell r="A2212" t="str">
            <v>AHW-43098I22</v>
          </cell>
          <cell r="B2212">
            <v>4008782</v>
          </cell>
          <cell r="C2212" t="str">
            <v>Original</v>
          </cell>
          <cell r="D2212" t="str">
            <v>CTS</v>
          </cell>
          <cell r="E2212" t="str">
            <v>JP</v>
          </cell>
          <cell r="F2212">
            <v>44747</v>
          </cell>
          <cell r="G2212">
            <v>44755</v>
          </cell>
          <cell r="H2212">
            <v>44757</v>
          </cell>
          <cell r="I2212" t="str">
            <v>12.07.2022</v>
          </cell>
          <cell r="J2212" t="str">
            <v>15.07.2022</v>
          </cell>
          <cell r="K2212" t="str">
            <v>-</v>
          </cell>
          <cell r="L2212" t="str">
            <v>OK</v>
          </cell>
        </row>
        <row r="2213">
          <cell r="A2213" t="str">
            <v>AHW-43100I22</v>
          </cell>
          <cell r="B2213">
            <v>4008790</v>
          </cell>
          <cell r="C2213" t="str">
            <v>Original</v>
          </cell>
          <cell r="D2213" t="str">
            <v>CTS</v>
          </cell>
          <cell r="E2213" t="str">
            <v>JP</v>
          </cell>
          <cell r="F2213">
            <v>44747</v>
          </cell>
          <cell r="G2213">
            <v>44755</v>
          </cell>
          <cell r="H2213">
            <v>44757</v>
          </cell>
          <cell r="I2213" t="str">
            <v>12.07.2022</v>
          </cell>
          <cell r="J2213" t="str">
            <v>15.07.2022</v>
          </cell>
          <cell r="K2213" t="str">
            <v>-</v>
          </cell>
          <cell r="L2213" t="str">
            <v>OK</v>
          </cell>
        </row>
        <row r="2214">
          <cell r="A2214" t="str">
            <v>AHW-43108I22</v>
          </cell>
          <cell r="B2214">
            <v>4008795</v>
          </cell>
          <cell r="C2214" t="str">
            <v>Original</v>
          </cell>
          <cell r="D2214" t="str">
            <v>CTS</v>
          </cell>
          <cell r="E2214" t="str">
            <v>JP</v>
          </cell>
          <cell r="F2214">
            <v>44747</v>
          </cell>
          <cell r="G2214">
            <v>44755</v>
          </cell>
          <cell r="H2214">
            <v>44757</v>
          </cell>
          <cell r="I2214" t="str">
            <v>12.07.2022</v>
          </cell>
          <cell r="J2214" t="str">
            <v>15.07.2022</v>
          </cell>
          <cell r="K2214" t="str">
            <v>-</v>
          </cell>
          <cell r="L2214" t="str">
            <v>OK</v>
          </cell>
        </row>
        <row r="2215">
          <cell r="A2215" t="str">
            <v>AHW-42614I22</v>
          </cell>
          <cell r="B2215">
            <v>4008427</v>
          </cell>
          <cell r="C2215" t="str">
            <v>Original</v>
          </cell>
          <cell r="D2215" t="str">
            <v>CTS</v>
          </cell>
          <cell r="E2215" t="str">
            <v>JP</v>
          </cell>
          <cell r="F2215">
            <v>44718</v>
          </cell>
          <cell r="G2215">
            <v>44726</v>
          </cell>
          <cell r="H2215">
            <v>44728</v>
          </cell>
          <cell r="I2215" t="str">
            <v>13.06.2022</v>
          </cell>
          <cell r="J2215" t="str">
            <v>13.06.2022</v>
          </cell>
          <cell r="K2215" t="str">
            <v>-</v>
          </cell>
          <cell r="L2215" t="str">
            <v>OK</v>
          </cell>
        </row>
        <row r="2216">
          <cell r="A2216" t="str">
            <v>SHW-42470I22</v>
          </cell>
          <cell r="B2216" t="str">
            <v>EGLV149203254414</v>
          </cell>
          <cell r="C2216" t="str">
            <v>Original</v>
          </cell>
          <cell r="D2216" t="str">
            <v>Shenker</v>
          </cell>
          <cell r="E2216" t="str">
            <v>Unitrading</v>
          </cell>
          <cell r="F2216">
            <v>44742</v>
          </cell>
          <cell r="G2216">
            <v>44750</v>
          </cell>
          <cell r="H2216">
            <v>44752</v>
          </cell>
          <cell r="I2216" t="str">
            <v>07.07.2022</v>
          </cell>
          <cell r="J2216" t="str">
            <v>05.07.2022</v>
          </cell>
          <cell r="K2216" t="str">
            <v>-</v>
          </cell>
          <cell r="L2216" t="str">
            <v>OK</v>
          </cell>
        </row>
        <row r="2217">
          <cell r="A2217" t="str">
            <v>SHW-42471I22</v>
          </cell>
          <cell r="B2217" t="str">
            <v>EGLV149203884728</v>
          </cell>
          <cell r="C2217" t="str">
            <v>Original</v>
          </cell>
          <cell r="D2217" t="str">
            <v>Shenker</v>
          </cell>
          <cell r="E2217" t="str">
            <v>Unitrading</v>
          </cell>
          <cell r="F2217">
            <v>44742</v>
          </cell>
          <cell r="G2217">
            <v>44750</v>
          </cell>
          <cell r="H2217">
            <v>44752</v>
          </cell>
          <cell r="I2217" t="str">
            <v>07.07.2022</v>
          </cell>
          <cell r="J2217" t="str">
            <v>05.07.2022</v>
          </cell>
          <cell r="K2217" t="str">
            <v>-</v>
          </cell>
          <cell r="L2217" t="str">
            <v>OK</v>
          </cell>
        </row>
        <row r="2218">
          <cell r="A2218" t="str">
            <v>AMS-44712I20</v>
          </cell>
          <cell r="B2218" t="str">
            <v>1Z6469V00447022856</v>
          </cell>
          <cell r="C2218" t="str">
            <v>Brasiliense</v>
          </cell>
          <cell r="D2218" t="str">
            <v>UPS</v>
          </cell>
          <cell r="E2218" t="str">
            <v>Future</v>
          </cell>
          <cell r="F2218">
            <v>44146</v>
          </cell>
          <cell r="G2218">
            <v>44154</v>
          </cell>
          <cell r="H2218">
            <v>44156</v>
          </cell>
          <cell r="I2218" t="str">
            <v>17.11.2020</v>
          </cell>
          <cell r="J2218" t="str">
            <v>18.11.2020</v>
          </cell>
          <cell r="K2218" t="str">
            <v>17.11.2020</v>
          </cell>
          <cell r="L2218" t="str">
            <v>OK</v>
          </cell>
        </row>
        <row r="2219">
          <cell r="A2219" t="str">
            <v>AMS-44713I20</v>
          </cell>
          <cell r="B2219" t="str">
            <v>1Z6469V00446686865</v>
          </cell>
          <cell r="C2219" t="str">
            <v>Brasiliense</v>
          </cell>
          <cell r="D2219" t="str">
            <v>UPS</v>
          </cell>
          <cell r="E2219" t="str">
            <v>Future</v>
          </cell>
          <cell r="F2219">
            <v>44146</v>
          </cell>
          <cell r="G2219">
            <v>44154</v>
          </cell>
          <cell r="H2219">
            <v>44156</v>
          </cell>
          <cell r="I2219" t="str">
            <v>17.11.2020</v>
          </cell>
          <cell r="J2219" t="str">
            <v>18.11.2020</v>
          </cell>
          <cell r="K2219" t="str">
            <v>17.11.2020</v>
          </cell>
          <cell r="L2219" t="str">
            <v>OK</v>
          </cell>
        </row>
        <row r="2220">
          <cell r="A2220" t="str">
            <v>AMS-44714I20</v>
          </cell>
          <cell r="B2220" t="str">
            <v>1Z6469V00447038447</v>
          </cell>
          <cell r="C2220" t="str">
            <v>Brasiliense</v>
          </cell>
          <cell r="D2220" t="str">
            <v>UPS</v>
          </cell>
          <cell r="E2220" t="str">
            <v>Future</v>
          </cell>
          <cell r="F2220">
            <v>44146</v>
          </cell>
          <cell r="G2220">
            <v>44154</v>
          </cell>
          <cell r="H2220">
            <v>44156</v>
          </cell>
          <cell r="I2220" t="str">
            <v>17.11.2020</v>
          </cell>
          <cell r="J2220" t="str">
            <v>18.11.2020</v>
          </cell>
          <cell r="K2220" t="str">
            <v>17.11.2020</v>
          </cell>
          <cell r="L2220" t="str">
            <v>OK</v>
          </cell>
        </row>
        <row r="2221">
          <cell r="A2221" t="str">
            <v>AMS-44827I20</v>
          </cell>
          <cell r="B2221" t="str">
            <v>1Z6469V00448786191</v>
          </cell>
          <cell r="C2221" t="str">
            <v>Brasiliense</v>
          </cell>
          <cell r="D2221" t="str">
            <v>UPS</v>
          </cell>
          <cell r="E2221" t="str">
            <v>Future</v>
          </cell>
          <cell r="F2221">
            <v>44159</v>
          </cell>
          <cell r="G2221">
            <v>44167</v>
          </cell>
          <cell r="H2221">
            <v>44169</v>
          </cell>
          <cell r="I2221" t="str">
            <v>02.12.2020</v>
          </cell>
          <cell r="J2221" t="str">
            <v>08.12.2020</v>
          </cell>
          <cell r="K2221" t="str">
            <v>01.12.2020</v>
          </cell>
          <cell r="L2221" t="str">
            <v>OK</v>
          </cell>
        </row>
        <row r="2222">
          <cell r="A2222" t="str">
            <v>AMS-45055I20</v>
          </cell>
          <cell r="B2222" t="str">
            <v>1Z6469V00448490527</v>
          </cell>
          <cell r="C2222" t="str">
            <v>Brasiliense</v>
          </cell>
          <cell r="D2222" t="str">
            <v>UPS</v>
          </cell>
          <cell r="E2222" t="str">
            <v>Future</v>
          </cell>
          <cell r="F2222">
            <v>44167</v>
          </cell>
          <cell r="G2222">
            <v>44175</v>
          </cell>
          <cell r="H2222">
            <v>44177</v>
          </cell>
          <cell r="I2222" t="str">
            <v>17.12.2020</v>
          </cell>
          <cell r="J2222" t="str">
            <v>21.12.2020</v>
          </cell>
          <cell r="K2222" t="str">
            <v>08.12.2020</v>
          </cell>
          <cell r="L2222" t="str">
            <v>OK</v>
          </cell>
        </row>
        <row r="2223">
          <cell r="A2223" t="str">
            <v>AMS-45056I20</v>
          </cell>
          <cell r="B2223" t="str">
            <v>1Z6469V00448719736</v>
          </cell>
          <cell r="C2223" t="str">
            <v>Brasiliense</v>
          </cell>
          <cell r="D2223" t="str">
            <v>UPS</v>
          </cell>
          <cell r="E2223" t="str">
            <v>Future</v>
          </cell>
          <cell r="F2223">
            <v>44167</v>
          </cell>
          <cell r="G2223">
            <v>44175</v>
          </cell>
          <cell r="H2223">
            <v>44177</v>
          </cell>
          <cell r="I2223" t="str">
            <v>17.12.2020</v>
          </cell>
          <cell r="J2223" t="str">
            <v>21.12.2020</v>
          </cell>
          <cell r="K2223" t="str">
            <v>08.12.2020</v>
          </cell>
          <cell r="L2223" t="str">
            <v>OK</v>
          </cell>
        </row>
        <row r="2224">
          <cell r="A2224" t="str">
            <v>AMS-45057I20</v>
          </cell>
          <cell r="B2224" t="str">
            <v>1Z6469V00446680389</v>
          </cell>
          <cell r="C2224" t="str">
            <v>Brasiliense</v>
          </cell>
          <cell r="D2224" t="str">
            <v>UPS</v>
          </cell>
          <cell r="E2224" t="str">
            <v>Future</v>
          </cell>
          <cell r="F2224">
            <v>44167</v>
          </cell>
          <cell r="G2224">
            <v>44175</v>
          </cell>
          <cell r="H2224">
            <v>44177</v>
          </cell>
          <cell r="I2224" t="str">
            <v>17.12.2020</v>
          </cell>
          <cell r="J2224" t="str">
            <v>21.12.2020</v>
          </cell>
          <cell r="K2224" t="str">
            <v>08.12.2020</v>
          </cell>
          <cell r="L2224" t="str">
            <v>OK</v>
          </cell>
        </row>
        <row r="2225">
          <cell r="A2225" t="str">
            <v>AMS-45058I20</v>
          </cell>
          <cell r="B2225" t="str">
            <v>1Z6469V00446516548</v>
          </cell>
          <cell r="C2225" t="str">
            <v>Brasiliense</v>
          </cell>
          <cell r="D2225" t="str">
            <v>UPS</v>
          </cell>
          <cell r="E2225" t="str">
            <v>Future</v>
          </cell>
          <cell r="F2225">
            <v>44167</v>
          </cell>
          <cell r="G2225">
            <v>44175</v>
          </cell>
          <cell r="H2225">
            <v>44177</v>
          </cell>
          <cell r="I2225" t="str">
            <v>17.12.2020</v>
          </cell>
          <cell r="J2225" t="str">
            <v>21.12.2020</v>
          </cell>
          <cell r="K2225" t="str">
            <v>08.12.2020</v>
          </cell>
          <cell r="L2225" t="str">
            <v>OK</v>
          </cell>
        </row>
        <row r="2226">
          <cell r="A2226" t="str">
            <v>AMS-45059I20</v>
          </cell>
          <cell r="B2226" t="str">
            <v>1Z6469V00448336953</v>
          </cell>
          <cell r="C2226" t="str">
            <v>Brasiliense</v>
          </cell>
          <cell r="D2226" t="str">
            <v>UPS</v>
          </cell>
          <cell r="E2226" t="str">
            <v>Future</v>
          </cell>
          <cell r="F2226">
            <v>44167</v>
          </cell>
          <cell r="G2226">
            <v>44175</v>
          </cell>
          <cell r="H2226">
            <v>44177</v>
          </cell>
          <cell r="I2226" t="str">
            <v>17.12.2020</v>
          </cell>
          <cell r="J2226" t="str">
            <v>21.12.2020</v>
          </cell>
          <cell r="K2226" t="str">
            <v>08.12.2020</v>
          </cell>
          <cell r="L2226" t="str">
            <v>OK</v>
          </cell>
        </row>
        <row r="2227">
          <cell r="A2227" t="str">
            <v>AMS-40085I21</v>
          </cell>
          <cell r="B2227" t="str">
            <v>1Z6469V00448085911</v>
          </cell>
          <cell r="C2227" t="str">
            <v>Brasiliense</v>
          </cell>
          <cell r="D2227" t="str">
            <v>UPS</v>
          </cell>
          <cell r="E2227" t="str">
            <v>Future</v>
          </cell>
          <cell r="F2227">
            <v>44216</v>
          </cell>
          <cell r="G2227">
            <v>44224</v>
          </cell>
          <cell r="H2227">
            <v>44226</v>
          </cell>
          <cell r="I2227" t="str">
            <v>20.01.2021</v>
          </cell>
          <cell r="J2227" t="str">
            <v>08.02.2021</v>
          </cell>
          <cell r="K2227" t="str">
            <v>20.01.2021</v>
          </cell>
          <cell r="L2227" t="str">
            <v>OK</v>
          </cell>
        </row>
        <row r="2228">
          <cell r="A2228" t="str">
            <v>AMS-40086I21</v>
          </cell>
          <cell r="B2228" t="str">
            <v>1Z6469V00447123523</v>
          </cell>
          <cell r="C2228" t="str">
            <v>Brasiliense</v>
          </cell>
          <cell r="D2228" t="str">
            <v>UPS</v>
          </cell>
          <cell r="E2228" t="str">
            <v>Future</v>
          </cell>
          <cell r="F2228">
            <v>44215</v>
          </cell>
          <cell r="G2228">
            <v>44223</v>
          </cell>
          <cell r="H2228">
            <v>44225</v>
          </cell>
          <cell r="I2228" t="str">
            <v>20.01.2021</v>
          </cell>
          <cell r="J2228" t="str">
            <v>08.02.2021</v>
          </cell>
          <cell r="K2228" t="str">
            <v>25.01.2021</v>
          </cell>
          <cell r="L2228" t="str">
            <v>OK</v>
          </cell>
        </row>
        <row r="2229">
          <cell r="A2229" t="str">
            <v>AMS-40205I21</v>
          </cell>
          <cell r="B2229" t="str">
            <v>1Z6469V00447750882</v>
          </cell>
          <cell r="C2229" t="str">
            <v>Brasiliense</v>
          </cell>
          <cell r="D2229" t="str">
            <v>UPS</v>
          </cell>
          <cell r="E2229" t="str">
            <v>Future</v>
          </cell>
          <cell r="F2229">
            <v>44221</v>
          </cell>
          <cell r="G2229">
            <v>44229</v>
          </cell>
          <cell r="H2229">
            <v>44231</v>
          </cell>
          <cell r="I2229" t="str">
            <v>02.02.2021</v>
          </cell>
          <cell r="J2229" t="str">
            <v>08.02.2021</v>
          </cell>
          <cell r="K2229" t="str">
            <v>03.02.2021</v>
          </cell>
          <cell r="L2229" t="str">
            <v>OK</v>
          </cell>
        </row>
        <row r="2230">
          <cell r="A2230" t="str">
            <v>AMS-40206I21</v>
          </cell>
          <cell r="B2230" t="str">
            <v>1Z6469V00447296061</v>
          </cell>
          <cell r="C2230" t="str">
            <v>Brasiliense</v>
          </cell>
          <cell r="D2230" t="str">
            <v>UPS</v>
          </cell>
          <cell r="E2230" t="str">
            <v>Future</v>
          </cell>
          <cell r="F2230">
            <v>44221</v>
          </cell>
          <cell r="G2230">
            <v>44229</v>
          </cell>
          <cell r="H2230">
            <v>44231</v>
          </cell>
          <cell r="I2230" t="str">
            <v>02.02.2021</v>
          </cell>
          <cell r="J2230" t="str">
            <v>08.02.2021</v>
          </cell>
          <cell r="K2230" t="str">
            <v>03.02.2021</v>
          </cell>
          <cell r="L2230" t="str">
            <v>OK</v>
          </cell>
        </row>
        <row r="2231">
          <cell r="A2231" t="str">
            <v>AMS-40207I21</v>
          </cell>
          <cell r="B2231" t="str">
            <v>1Z6469V00446141694</v>
          </cell>
          <cell r="C2231" t="str">
            <v>Brasiliense</v>
          </cell>
          <cell r="D2231" t="str">
            <v>UPS</v>
          </cell>
          <cell r="E2231" t="str">
            <v>Future</v>
          </cell>
          <cell r="F2231">
            <v>44221</v>
          </cell>
          <cell r="G2231">
            <v>44229</v>
          </cell>
          <cell r="H2231">
            <v>44231</v>
          </cell>
          <cell r="I2231" t="str">
            <v>02.02.2021</v>
          </cell>
          <cell r="J2231" t="str">
            <v>08.02.2021</v>
          </cell>
          <cell r="K2231" t="str">
            <v>03.02.2021</v>
          </cell>
          <cell r="L2231" t="str">
            <v>OK</v>
          </cell>
        </row>
        <row r="2232">
          <cell r="A2232" t="str">
            <v>AMS-40212I21</v>
          </cell>
          <cell r="B2232" t="str">
            <v>1Z6469V00447167674</v>
          </cell>
          <cell r="C2232" t="str">
            <v>Brasiliense</v>
          </cell>
          <cell r="D2232" t="str">
            <v>UPS</v>
          </cell>
          <cell r="E2232" t="str">
            <v>Future</v>
          </cell>
          <cell r="F2232">
            <v>44221</v>
          </cell>
          <cell r="G2232">
            <v>44229</v>
          </cell>
          <cell r="H2232">
            <v>44231</v>
          </cell>
          <cell r="I2232" t="str">
            <v>02.02.2021</v>
          </cell>
          <cell r="J2232" t="str">
            <v>08.02.2021</v>
          </cell>
          <cell r="K2232" t="str">
            <v>03.02.2021</v>
          </cell>
          <cell r="L2232" t="str">
            <v>OK</v>
          </cell>
        </row>
        <row r="2233">
          <cell r="A2233" t="str">
            <v>AMS-40828I21</v>
          </cell>
          <cell r="B2233" t="str">
            <v>1Z6469V0E146128931</v>
          </cell>
          <cell r="C2233" t="str">
            <v>Brasiliense</v>
          </cell>
          <cell r="D2233" t="str">
            <v>UPS</v>
          </cell>
          <cell r="E2233" t="str">
            <v>Future</v>
          </cell>
          <cell r="F2233">
            <v>44270</v>
          </cell>
          <cell r="G2233">
            <v>44278</v>
          </cell>
          <cell r="H2233">
            <v>44280</v>
          </cell>
          <cell r="I2233" t="str">
            <v>18.03.2021</v>
          </cell>
          <cell r="J2233" t="str">
            <v>29.03.2021</v>
          </cell>
          <cell r="K2233" t="str">
            <v>22.03.2021</v>
          </cell>
          <cell r="L2233" t="str">
            <v>OK</v>
          </cell>
        </row>
        <row r="2234">
          <cell r="A2234" t="str">
            <v>AMS-40829I21</v>
          </cell>
          <cell r="B2234" t="str">
            <v>1Z6469V00446602061</v>
          </cell>
          <cell r="C2234" t="str">
            <v>Brasiliense</v>
          </cell>
          <cell r="D2234" t="str">
            <v>UPS</v>
          </cell>
          <cell r="E2234" t="str">
            <v>Future</v>
          </cell>
          <cell r="F2234">
            <v>44266</v>
          </cell>
          <cell r="G2234">
            <v>44274</v>
          </cell>
          <cell r="H2234">
            <v>44276</v>
          </cell>
          <cell r="I2234" t="str">
            <v>15.03.2021</v>
          </cell>
          <cell r="J2234" t="str">
            <v>29.03.2021</v>
          </cell>
          <cell r="K2234" t="str">
            <v>18.03.2021</v>
          </cell>
          <cell r="L2234" t="str">
            <v>OK</v>
          </cell>
        </row>
        <row r="2235">
          <cell r="A2235" t="str">
            <v>AMS-40830I21</v>
          </cell>
          <cell r="B2235" t="str">
            <v>1Z6469V00446746059</v>
          </cell>
          <cell r="C2235" t="str">
            <v>Brasiliense</v>
          </cell>
          <cell r="D2235" t="str">
            <v>UPS</v>
          </cell>
          <cell r="E2235" t="str">
            <v>Future</v>
          </cell>
          <cell r="F2235">
            <v>44266</v>
          </cell>
          <cell r="G2235">
            <v>44274</v>
          </cell>
          <cell r="H2235">
            <v>44276</v>
          </cell>
          <cell r="I2235" t="str">
            <v>15.03.2021</v>
          </cell>
          <cell r="J2235" t="str">
            <v>29.03.2021</v>
          </cell>
          <cell r="K2235" t="str">
            <v>18.03.2021</v>
          </cell>
          <cell r="L2235" t="str">
            <v>OK</v>
          </cell>
        </row>
        <row r="2236">
          <cell r="A2236" t="str">
            <v>AMS-40831I21</v>
          </cell>
          <cell r="B2236" t="str">
            <v>1Z6469V00446833679</v>
          </cell>
          <cell r="C2236" t="str">
            <v>Brasiliense</v>
          </cell>
          <cell r="D2236" t="str">
            <v>UPS</v>
          </cell>
          <cell r="E2236" t="str">
            <v>Future</v>
          </cell>
          <cell r="F2236">
            <v>44266</v>
          </cell>
          <cell r="G2236">
            <v>44274</v>
          </cell>
          <cell r="H2236">
            <v>44276</v>
          </cell>
          <cell r="I2236" t="str">
            <v>15.03.2021</v>
          </cell>
          <cell r="J2236" t="str">
            <v>29.03.2021</v>
          </cell>
          <cell r="K2236" t="str">
            <v>18.03.2021</v>
          </cell>
          <cell r="L2236" t="str">
            <v>OK</v>
          </cell>
        </row>
        <row r="2237">
          <cell r="A2237" t="str">
            <v>AMS-40832I21</v>
          </cell>
          <cell r="B2237" t="str">
            <v>1Z6469V00447358011</v>
          </cell>
          <cell r="C2237" t="str">
            <v>Brasiliense</v>
          </cell>
          <cell r="D2237" t="str">
            <v>UPS</v>
          </cell>
          <cell r="E2237" t="str">
            <v>Future</v>
          </cell>
          <cell r="F2237">
            <v>44270</v>
          </cell>
          <cell r="G2237">
            <v>44278</v>
          </cell>
          <cell r="H2237">
            <v>44280</v>
          </cell>
          <cell r="I2237" t="str">
            <v>18.03.2021</v>
          </cell>
          <cell r="J2237" t="str">
            <v>29.03.2021</v>
          </cell>
          <cell r="K2237" t="str">
            <v>22.03.2021</v>
          </cell>
          <cell r="L2237" t="str">
            <v>OK</v>
          </cell>
        </row>
        <row r="2238">
          <cell r="A2238" t="str">
            <v>AMS-40833I21</v>
          </cell>
          <cell r="B2238" t="str">
            <v>1Z6469V00447871626</v>
          </cell>
          <cell r="C2238" t="str">
            <v>Brasiliense</v>
          </cell>
          <cell r="D2238" t="str">
            <v>UPS</v>
          </cell>
          <cell r="E2238" t="str">
            <v>Future</v>
          </cell>
          <cell r="F2238">
            <v>44270</v>
          </cell>
          <cell r="G2238">
            <v>44278</v>
          </cell>
          <cell r="H2238">
            <v>44280</v>
          </cell>
          <cell r="I2238" t="str">
            <v>18.03.2021</v>
          </cell>
          <cell r="J2238" t="str">
            <v>29.03.2021</v>
          </cell>
          <cell r="K2238" t="str">
            <v>22.03.2021</v>
          </cell>
          <cell r="L2238" t="str">
            <v>OK</v>
          </cell>
        </row>
        <row r="2239">
          <cell r="A2239" t="str">
            <v>AMS-40834I21</v>
          </cell>
          <cell r="B2239" t="str">
            <v>1Z6469V00447889644</v>
          </cell>
          <cell r="C2239" t="str">
            <v>Brasiliense</v>
          </cell>
          <cell r="D2239" t="str">
            <v>UPS</v>
          </cell>
          <cell r="E2239" t="str">
            <v>Future</v>
          </cell>
          <cell r="F2239">
            <v>44266</v>
          </cell>
          <cell r="G2239">
            <v>44274</v>
          </cell>
          <cell r="H2239">
            <v>44276</v>
          </cell>
          <cell r="I2239" t="str">
            <v>15.03.2021</v>
          </cell>
          <cell r="J2239" t="str">
            <v>29.03.2021</v>
          </cell>
          <cell r="K2239" t="str">
            <v>18.03.2021</v>
          </cell>
          <cell r="L2239" t="str">
            <v>OK</v>
          </cell>
        </row>
        <row r="2240">
          <cell r="A2240" t="str">
            <v>AMS-40835I21</v>
          </cell>
          <cell r="B2240" t="str">
            <v>1Z6469V0E146277744</v>
          </cell>
          <cell r="C2240" t="str">
            <v>Brasiliense</v>
          </cell>
          <cell r="D2240" t="str">
            <v>UPS</v>
          </cell>
          <cell r="E2240" t="str">
            <v>Future</v>
          </cell>
          <cell r="F2240">
            <v>44270</v>
          </cell>
          <cell r="G2240">
            <v>44278</v>
          </cell>
          <cell r="H2240">
            <v>44280</v>
          </cell>
          <cell r="I2240" t="str">
            <v>18.03.2021</v>
          </cell>
          <cell r="J2240" t="str">
            <v>29.03.2021</v>
          </cell>
          <cell r="K2240" t="str">
            <v>22.03.2021</v>
          </cell>
          <cell r="L2240" t="str">
            <v>OK</v>
          </cell>
        </row>
        <row r="2241">
          <cell r="A2241" t="str">
            <v>AMS-40836I21</v>
          </cell>
          <cell r="B2241" t="str">
            <v>1Z6469V00448616838</v>
          </cell>
          <cell r="C2241" t="str">
            <v>Brasiliense</v>
          </cell>
          <cell r="D2241" t="str">
            <v>UPS</v>
          </cell>
          <cell r="E2241" t="str">
            <v>Future</v>
          </cell>
          <cell r="F2241">
            <v>44270</v>
          </cell>
          <cell r="G2241">
            <v>44278</v>
          </cell>
          <cell r="H2241">
            <v>44280</v>
          </cell>
          <cell r="I2241" t="str">
            <v>18.03.2021</v>
          </cell>
          <cell r="J2241" t="str">
            <v>29.03.2021</v>
          </cell>
          <cell r="K2241" t="str">
            <v>22.03.2021</v>
          </cell>
          <cell r="L2241" t="str">
            <v>OK</v>
          </cell>
        </row>
        <row r="2242">
          <cell r="A2242" t="str">
            <v>AMS-41056I21</v>
          </cell>
          <cell r="B2242" t="str">
            <v>1Z6469V00466867695</v>
          </cell>
          <cell r="C2242" t="str">
            <v>Brasiliense</v>
          </cell>
          <cell r="D2242" t="str">
            <v>UPS</v>
          </cell>
          <cell r="E2242" t="str">
            <v>Future</v>
          </cell>
          <cell r="F2242">
            <v>44287</v>
          </cell>
          <cell r="G2242">
            <v>44295</v>
          </cell>
          <cell r="H2242">
            <v>44297</v>
          </cell>
          <cell r="I2242" t="str">
            <v>08.04.2021</v>
          </cell>
          <cell r="J2242" t="str">
            <v>26.04.2021</v>
          </cell>
          <cell r="K2242" t="str">
            <v>12.04.2021</v>
          </cell>
          <cell r="L2242" t="str">
            <v>OK</v>
          </cell>
        </row>
        <row r="2243">
          <cell r="A2243" t="str">
            <v>AMS-41057I21</v>
          </cell>
          <cell r="B2243" t="str">
            <v>1Z6469V00448538155</v>
          </cell>
          <cell r="C2243" t="str">
            <v>Brasiliense</v>
          </cell>
          <cell r="D2243" t="str">
            <v>UPS</v>
          </cell>
          <cell r="E2243" t="str">
            <v>Future</v>
          </cell>
          <cell r="F2243">
            <v>44284</v>
          </cell>
          <cell r="G2243">
            <v>44292</v>
          </cell>
          <cell r="H2243">
            <v>44294</v>
          </cell>
          <cell r="I2243" t="str">
            <v>05.04.2021</v>
          </cell>
          <cell r="J2243" t="str">
            <v>13.04.2021</v>
          </cell>
          <cell r="K2243" t="str">
            <v>08.04.2021</v>
          </cell>
          <cell r="L2243" t="str">
            <v>OK</v>
          </cell>
        </row>
        <row r="2244">
          <cell r="A2244" t="str">
            <v>AMS-41058I21</v>
          </cell>
          <cell r="B2244" t="str">
            <v>1Z6469V00447752102</v>
          </cell>
          <cell r="C2244" t="str">
            <v>Brasiliense</v>
          </cell>
          <cell r="D2244" t="str">
            <v>UPS</v>
          </cell>
          <cell r="E2244" t="str">
            <v>Future</v>
          </cell>
          <cell r="F2244">
            <v>44287</v>
          </cell>
          <cell r="G2244">
            <v>44295</v>
          </cell>
          <cell r="H2244">
            <v>44297</v>
          </cell>
          <cell r="I2244" t="str">
            <v>08.04.2021</v>
          </cell>
          <cell r="J2244" t="str">
            <v>26.04.2021</v>
          </cell>
          <cell r="K2244" t="str">
            <v>12.04.2021</v>
          </cell>
          <cell r="L2244" t="str">
            <v>OK</v>
          </cell>
        </row>
        <row r="2245">
          <cell r="A2245" t="str">
            <v>AMS-41059I21</v>
          </cell>
          <cell r="B2245" t="str">
            <v>1Z6469V00448386882</v>
          </cell>
          <cell r="C2245" t="str">
            <v>Brasiliense</v>
          </cell>
          <cell r="D2245" t="str">
            <v>UPS</v>
          </cell>
          <cell r="E2245" t="str">
            <v>Future</v>
          </cell>
          <cell r="F2245">
            <v>44284</v>
          </cell>
          <cell r="G2245">
            <v>44292</v>
          </cell>
          <cell r="H2245">
            <v>44294</v>
          </cell>
          <cell r="I2245" t="str">
            <v>05.04.2021</v>
          </cell>
          <cell r="J2245" t="str">
            <v>13.04.2021</v>
          </cell>
          <cell r="K2245" t="str">
            <v>08.04.2021</v>
          </cell>
          <cell r="L2245" t="str">
            <v>OK</v>
          </cell>
        </row>
        <row r="2246">
          <cell r="A2246" t="str">
            <v>AMS-41060I21</v>
          </cell>
          <cell r="B2246" t="str">
            <v>1Z6469V00447965749</v>
          </cell>
          <cell r="C2246" t="str">
            <v>Brasiliense</v>
          </cell>
          <cell r="D2246" t="str">
            <v>UPS</v>
          </cell>
          <cell r="E2246" t="str">
            <v>Future</v>
          </cell>
          <cell r="F2246">
            <v>44284</v>
          </cell>
          <cell r="G2246">
            <v>44292</v>
          </cell>
          <cell r="H2246">
            <v>44294</v>
          </cell>
          <cell r="I2246" t="str">
            <v>05.04.2021</v>
          </cell>
          <cell r="J2246" t="str">
            <v>13.04.2021</v>
          </cell>
          <cell r="K2246" t="str">
            <v>08.04.2021</v>
          </cell>
          <cell r="L2246" t="str">
            <v>OK</v>
          </cell>
        </row>
        <row r="2247">
          <cell r="A2247" t="str">
            <v>AMS-41061I21</v>
          </cell>
          <cell r="B2247" t="str">
            <v>1Z6469V00447995725</v>
          </cell>
          <cell r="C2247" t="str">
            <v>Brasiliense</v>
          </cell>
          <cell r="D2247" t="str">
            <v>UPS</v>
          </cell>
          <cell r="E2247" t="str">
            <v>Future</v>
          </cell>
          <cell r="F2247">
            <v>44284</v>
          </cell>
          <cell r="G2247">
            <v>44292</v>
          </cell>
          <cell r="H2247">
            <v>44294</v>
          </cell>
          <cell r="I2247" t="str">
            <v>05.04.2021</v>
          </cell>
          <cell r="J2247" t="str">
            <v>13.04.2021</v>
          </cell>
          <cell r="K2247" t="str">
            <v>08.04.2021</v>
          </cell>
          <cell r="L2247" t="str">
            <v>OK</v>
          </cell>
        </row>
        <row r="2248">
          <cell r="A2248" t="str">
            <v>AMS-41062I21</v>
          </cell>
          <cell r="B2248" t="str">
            <v>1Z6469V00446288269</v>
          </cell>
          <cell r="C2248" t="str">
            <v>Brasiliense</v>
          </cell>
          <cell r="D2248" t="str">
            <v>UPS</v>
          </cell>
          <cell r="E2248" t="str">
            <v>Future</v>
          </cell>
          <cell r="F2248">
            <v>44284</v>
          </cell>
          <cell r="G2248">
            <v>44292</v>
          </cell>
          <cell r="H2248">
            <v>44294</v>
          </cell>
          <cell r="I2248" t="str">
            <v>05.04.2021</v>
          </cell>
          <cell r="J2248" t="str">
            <v>13.04.2021</v>
          </cell>
          <cell r="K2248" t="str">
            <v>08.04.2021</v>
          </cell>
          <cell r="L2248" t="str">
            <v>OK</v>
          </cell>
        </row>
        <row r="2249">
          <cell r="A2249" t="str">
            <v>AMS-41063I21</v>
          </cell>
          <cell r="B2249" t="str">
            <v>1Z6469V00448046114</v>
          </cell>
          <cell r="C2249" t="str">
            <v>Brasiliense</v>
          </cell>
          <cell r="D2249" t="str">
            <v>UPS</v>
          </cell>
          <cell r="E2249" t="str">
            <v>Future</v>
          </cell>
          <cell r="F2249">
            <v>44284</v>
          </cell>
          <cell r="G2249">
            <v>44292</v>
          </cell>
          <cell r="H2249">
            <v>44294</v>
          </cell>
          <cell r="I2249" t="str">
            <v>05.04.2021</v>
          </cell>
          <cell r="J2249" t="str">
            <v>13.04.2021</v>
          </cell>
          <cell r="K2249" t="str">
            <v>08.04.2021</v>
          </cell>
          <cell r="L2249" t="str">
            <v>OK</v>
          </cell>
        </row>
        <row r="2250">
          <cell r="A2250" t="str">
            <v>AMS-41064I21</v>
          </cell>
          <cell r="B2250" t="str">
            <v>1Z6469V00448412067</v>
          </cell>
          <cell r="C2250" t="str">
            <v>Brasiliense</v>
          </cell>
          <cell r="D2250" t="str">
            <v>UPS</v>
          </cell>
          <cell r="E2250" t="str">
            <v>Future</v>
          </cell>
          <cell r="F2250">
            <v>44284</v>
          </cell>
          <cell r="G2250">
            <v>44292</v>
          </cell>
          <cell r="H2250">
            <v>44294</v>
          </cell>
          <cell r="I2250" t="str">
            <v>05.04.2021</v>
          </cell>
          <cell r="J2250" t="str">
            <v>13.04.2021</v>
          </cell>
          <cell r="K2250" t="str">
            <v>08.04.2021</v>
          </cell>
          <cell r="L2250" t="str">
            <v>OK</v>
          </cell>
        </row>
        <row r="2251">
          <cell r="A2251" t="str">
            <v>AMS-41065I21</v>
          </cell>
          <cell r="B2251" t="str">
            <v>1Z6469V00446537776</v>
          </cell>
          <cell r="C2251" t="str">
            <v>Brasiliense</v>
          </cell>
          <cell r="D2251" t="str">
            <v>UPS</v>
          </cell>
          <cell r="E2251" t="str">
            <v>Future</v>
          </cell>
          <cell r="F2251">
            <v>44287</v>
          </cell>
          <cell r="G2251">
            <v>44295</v>
          </cell>
          <cell r="H2251">
            <v>44297</v>
          </cell>
          <cell r="I2251" t="str">
            <v>08.04.2021</v>
          </cell>
          <cell r="J2251" t="str">
            <v>26.04.2021</v>
          </cell>
          <cell r="K2251" t="str">
            <v>12.04.2021</v>
          </cell>
          <cell r="L2251" t="str">
            <v>OK</v>
          </cell>
        </row>
        <row r="2252">
          <cell r="A2252" t="str">
            <v>AMS-42207I21</v>
          </cell>
          <cell r="B2252" t="str">
            <v>1Z6469V00447724893</v>
          </cell>
          <cell r="C2252" t="str">
            <v>Brasiliense</v>
          </cell>
          <cell r="D2252" t="str">
            <v>UPS</v>
          </cell>
          <cell r="E2252" t="str">
            <v>Future</v>
          </cell>
          <cell r="F2252">
            <v>44340</v>
          </cell>
          <cell r="G2252">
            <v>44348</v>
          </cell>
          <cell r="H2252">
            <v>44350</v>
          </cell>
          <cell r="I2252" t="str">
            <v>02.06.2021</v>
          </cell>
          <cell r="J2252" t="str">
            <v>11.06.2021</v>
          </cell>
          <cell r="K2252" t="str">
            <v>01.06.2022</v>
          </cell>
          <cell r="L2252" t="str">
            <v>OK</v>
          </cell>
        </row>
        <row r="2253">
          <cell r="A2253" t="str">
            <v>AMS-42339I21</v>
          </cell>
          <cell r="B2253" t="str">
            <v>1Z6469V00447628050</v>
          </cell>
          <cell r="C2253" t="str">
            <v>Brasiliense</v>
          </cell>
          <cell r="D2253" t="str">
            <v>UPS</v>
          </cell>
          <cell r="E2253" t="str">
            <v>Future</v>
          </cell>
          <cell r="F2253">
            <v>44344</v>
          </cell>
          <cell r="G2253">
            <v>44352</v>
          </cell>
          <cell r="H2253">
            <v>44354</v>
          </cell>
          <cell r="I2253" t="str">
            <v>02.06.2021</v>
          </cell>
          <cell r="J2253" t="str">
            <v>11.06.2021</v>
          </cell>
          <cell r="K2253" t="str">
            <v>08.06.2022</v>
          </cell>
          <cell r="L2253" t="str">
            <v>OK</v>
          </cell>
        </row>
        <row r="2254">
          <cell r="A2254" t="str">
            <v>AMS-42433I21</v>
          </cell>
          <cell r="B2254" t="str">
            <v>1Z6469V00448338068</v>
          </cell>
          <cell r="C2254" t="str">
            <v>Brasiliense</v>
          </cell>
          <cell r="D2254" t="str">
            <v>UPS</v>
          </cell>
          <cell r="E2254" t="str">
            <v>Future</v>
          </cell>
          <cell r="F2254">
            <v>44349</v>
          </cell>
          <cell r="G2254">
            <v>44357</v>
          </cell>
          <cell r="H2254">
            <v>44359</v>
          </cell>
          <cell r="I2254" t="str">
            <v>14.06.2021</v>
          </cell>
          <cell r="J2254" t="str">
            <v>17.06.2021</v>
          </cell>
          <cell r="K2254" t="str">
            <v>15.06.2021</v>
          </cell>
          <cell r="L2254" t="str">
            <v>OK</v>
          </cell>
        </row>
        <row r="2255">
          <cell r="A2255" t="str">
            <v>AMS-42434I21</v>
          </cell>
          <cell r="B2255" t="str">
            <v>1Z6469V00446922055</v>
          </cell>
          <cell r="C2255" t="str">
            <v>Brasiliense</v>
          </cell>
          <cell r="D2255" t="str">
            <v>UPS</v>
          </cell>
          <cell r="E2255" t="str">
            <v>Future</v>
          </cell>
          <cell r="F2255">
            <v>44349</v>
          </cell>
          <cell r="G2255">
            <v>44357</v>
          </cell>
          <cell r="H2255">
            <v>44359</v>
          </cell>
          <cell r="I2255" t="str">
            <v>14.06.2021</v>
          </cell>
          <cell r="J2255" t="str">
            <v>17.06.2021</v>
          </cell>
          <cell r="K2255" t="str">
            <v>15.06.2021</v>
          </cell>
          <cell r="L2255" t="str">
            <v>OK</v>
          </cell>
        </row>
        <row r="2256">
          <cell r="A2256" t="str">
            <v>AMS-42435I21</v>
          </cell>
          <cell r="B2256" t="str">
            <v>1Z6469V00446967623</v>
          </cell>
          <cell r="C2256" t="str">
            <v>Brasiliense</v>
          </cell>
          <cell r="D2256" t="str">
            <v>UPS</v>
          </cell>
          <cell r="E2256" t="str">
            <v>Future</v>
          </cell>
          <cell r="F2256">
            <v>44349</v>
          </cell>
          <cell r="G2256">
            <v>44357</v>
          </cell>
          <cell r="H2256">
            <v>44359</v>
          </cell>
          <cell r="I2256" t="str">
            <v>14.06.2021</v>
          </cell>
          <cell r="J2256" t="str">
            <v>17.06.2021</v>
          </cell>
          <cell r="K2256" t="str">
            <v>15.06.2021</v>
          </cell>
          <cell r="L2256" t="str">
            <v>OK</v>
          </cell>
        </row>
        <row r="2257">
          <cell r="A2257" t="str">
            <v>AMS-42436I21</v>
          </cell>
          <cell r="B2257" t="str">
            <v>1Z6469V00447294018</v>
          </cell>
          <cell r="C2257" t="str">
            <v>Brasiliense</v>
          </cell>
          <cell r="D2257" t="str">
            <v>UPS</v>
          </cell>
          <cell r="E2257" t="str">
            <v>Future</v>
          </cell>
          <cell r="F2257">
            <v>44349</v>
          </cell>
          <cell r="G2257">
            <v>44357</v>
          </cell>
          <cell r="H2257">
            <v>44359</v>
          </cell>
          <cell r="I2257" t="str">
            <v>14.06.2021</v>
          </cell>
          <cell r="J2257" t="str">
            <v>17.06.2021</v>
          </cell>
          <cell r="K2257" t="str">
            <v>15.06.2021</v>
          </cell>
          <cell r="L2257" t="str">
            <v>OK</v>
          </cell>
        </row>
        <row r="2258">
          <cell r="A2258" t="str">
            <v>AMS-42437I21</v>
          </cell>
          <cell r="B2258" t="str">
            <v>1Z6469V00446032883</v>
          </cell>
          <cell r="C2258" t="str">
            <v>Brasiliense</v>
          </cell>
          <cell r="D2258" t="str">
            <v>UPS</v>
          </cell>
          <cell r="E2258" t="str">
            <v>Future</v>
          </cell>
          <cell r="F2258">
            <v>44349</v>
          </cell>
          <cell r="G2258">
            <v>44357</v>
          </cell>
          <cell r="H2258">
            <v>44359</v>
          </cell>
          <cell r="I2258" t="str">
            <v>14.06.2021</v>
          </cell>
          <cell r="J2258" t="str">
            <v>17.06.2021</v>
          </cell>
          <cell r="K2258" t="str">
            <v>15.06.2021</v>
          </cell>
          <cell r="L2258" t="str">
            <v>OK</v>
          </cell>
        </row>
        <row r="2259">
          <cell r="A2259" t="str">
            <v>AMS-42439I21</v>
          </cell>
          <cell r="B2259" t="str">
            <v>1Z6469V00447729674</v>
          </cell>
          <cell r="C2259" t="str">
            <v>Brasiliense</v>
          </cell>
          <cell r="D2259" t="str">
            <v>UPS</v>
          </cell>
          <cell r="E2259" t="str">
            <v>Future</v>
          </cell>
          <cell r="F2259">
            <v>44349</v>
          </cell>
          <cell r="G2259">
            <v>44357</v>
          </cell>
          <cell r="H2259">
            <v>44359</v>
          </cell>
          <cell r="I2259" t="str">
            <v>14.06.2021</v>
          </cell>
          <cell r="J2259" t="str">
            <v>17.06.2021</v>
          </cell>
          <cell r="K2259" t="str">
            <v>15.06.2021</v>
          </cell>
          <cell r="L2259" t="str">
            <v>OK</v>
          </cell>
        </row>
        <row r="2260">
          <cell r="A2260" t="str">
            <v>AMS-42440I21</v>
          </cell>
          <cell r="B2260" t="str">
            <v>1Z6469V00447105641</v>
          </cell>
          <cell r="C2260" t="str">
            <v>Brasiliense</v>
          </cell>
          <cell r="D2260" t="str">
            <v>UPS</v>
          </cell>
          <cell r="E2260" t="str">
            <v>Future</v>
          </cell>
          <cell r="F2260">
            <v>44349</v>
          </cell>
          <cell r="G2260">
            <v>44357</v>
          </cell>
          <cell r="H2260">
            <v>44359</v>
          </cell>
          <cell r="I2260" t="str">
            <v>14.06.2021</v>
          </cell>
          <cell r="J2260" t="str">
            <v>17.06.2021</v>
          </cell>
          <cell r="K2260" t="str">
            <v>15.06.2021</v>
          </cell>
          <cell r="L2260" t="str">
            <v>OK</v>
          </cell>
        </row>
        <row r="2261">
          <cell r="A2261" t="str">
            <v>AMS-42441I21</v>
          </cell>
          <cell r="B2261" t="str">
            <v>1Z6469V00448221586</v>
          </cell>
          <cell r="C2261" t="str">
            <v>Brasiliense</v>
          </cell>
          <cell r="D2261" t="str">
            <v>UPS</v>
          </cell>
          <cell r="E2261" t="str">
            <v>Future</v>
          </cell>
          <cell r="F2261">
            <v>44349</v>
          </cell>
          <cell r="G2261">
            <v>44357</v>
          </cell>
          <cell r="H2261">
            <v>44359</v>
          </cell>
          <cell r="I2261" t="str">
            <v>14.06.2021</v>
          </cell>
          <cell r="J2261" t="str">
            <v>17.06.2021</v>
          </cell>
          <cell r="K2261" t="str">
            <v>15.06.2021</v>
          </cell>
          <cell r="L2261" t="str">
            <v>OK</v>
          </cell>
        </row>
        <row r="2262">
          <cell r="A2262" t="str">
            <v>AMS-42438I21</v>
          </cell>
          <cell r="B2262" t="str">
            <v>1Z6469V00447472834</v>
          </cell>
          <cell r="C2262" t="str">
            <v>Brasiliense</v>
          </cell>
          <cell r="D2262" t="str">
            <v>UPS</v>
          </cell>
          <cell r="E2262" t="str">
            <v>Future</v>
          </cell>
          <cell r="F2262">
            <v>44349</v>
          </cell>
          <cell r="G2262">
            <v>44357</v>
          </cell>
          <cell r="H2262">
            <v>44359</v>
          </cell>
          <cell r="I2262" t="str">
            <v>18.06.2021</v>
          </cell>
          <cell r="J2262" t="str">
            <v>17.06.2021</v>
          </cell>
          <cell r="K2262" t="str">
            <v>21.06.2021</v>
          </cell>
          <cell r="L2262" t="str">
            <v>OK</v>
          </cell>
        </row>
        <row r="2263">
          <cell r="A2263" t="str">
            <v>AMS-42748I21</v>
          </cell>
          <cell r="B2263" t="str">
            <v>1Z6469V00446648889</v>
          </cell>
          <cell r="C2263" t="str">
            <v>Brasiliense</v>
          </cell>
          <cell r="D2263" t="str">
            <v>UPS</v>
          </cell>
          <cell r="E2263" t="str">
            <v>Future</v>
          </cell>
          <cell r="F2263">
            <v>44364</v>
          </cell>
          <cell r="G2263">
            <v>44372</v>
          </cell>
          <cell r="H2263">
            <v>44374</v>
          </cell>
          <cell r="I2263" t="str">
            <v>05.07.2021</v>
          </cell>
          <cell r="J2263" t="str">
            <v>14.07.2021</v>
          </cell>
          <cell r="K2263" t="str">
            <v>-</v>
          </cell>
          <cell r="L2263" t="str">
            <v>OK</v>
          </cell>
        </row>
        <row r="2264">
          <cell r="A2264" t="str">
            <v>AMS-42731I21</v>
          </cell>
          <cell r="B2264" t="str">
            <v>1Z6469V00447985674</v>
          </cell>
          <cell r="C2264" t="str">
            <v>Brasiliense</v>
          </cell>
          <cell r="D2264" t="str">
            <v>UPS</v>
          </cell>
          <cell r="E2264" t="str">
            <v>Future</v>
          </cell>
          <cell r="F2264">
            <v>44368</v>
          </cell>
          <cell r="G2264">
            <v>44376</v>
          </cell>
          <cell r="H2264">
            <v>44378</v>
          </cell>
          <cell r="I2264" t="str">
            <v>02.07.2021</v>
          </cell>
          <cell r="J2264" t="str">
            <v>21.06.2021</v>
          </cell>
          <cell r="K2264" t="str">
            <v>28.06.2021</v>
          </cell>
          <cell r="L2264" t="str">
            <v>OK</v>
          </cell>
        </row>
        <row r="2265">
          <cell r="A2265" t="str">
            <v>AMS-42733I21</v>
          </cell>
          <cell r="B2265" t="str">
            <v>1Z6469V00446068112</v>
          </cell>
          <cell r="C2265" t="str">
            <v>Brasiliense</v>
          </cell>
          <cell r="D2265" t="str">
            <v>UPS</v>
          </cell>
          <cell r="E2265" t="str">
            <v>Future</v>
          </cell>
          <cell r="F2265">
            <v>44368</v>
          </cell>
          <cell r="G2265">
            <v>44376</v>
          </cell>
          <cell r="H2265">
            <v>44378</v>
          </cell>
          <cell r="I2265" t="str">
            <v>02.07.2021</v>
          </cell>
          <cell r="J2265" t="str">
            <v>21.06.2021</v>
          </cell>
          <cell r="K2265" t="str">
            <v>28.06.2021</v>
          </cell>
          <cell r="L2265" t="str">
            <v>OK</v>
          </cell>
        </row>
        <row r="2266">
          <cell r="A2266" t="str">
            <v>AMS-42735I21</v>
          </cell>
          <cell r="B2266" t="str">
            <v>1Z6469V00446782251</v>
          </cell>
          <cell r="C2266" t="str">
            <v>Brasiliense</v>
          </cell>
          <cell r="D2266" t="str">
            <v>UPS</v>
          </cell>
          <cell r="E2266" t="str">
            <v>Future</v>
          </cell>
          <cell r="F2266">
            <v>44368</v>
          </cell>
          <cell r="G2266">
            <v>44376</v>
          </cell>
          <cell r="H2266">
            <v>44378</v>
          </cell>
          <cell r="I2266" t="str">
            <v>02.07.2021</v>
          </cell>
          <cell r="J2266" t="str">
            <v>21.06.2021</v>
          </cell>
          <cell r="K2266" t="str">
            <v>28.06.2021</v>
          </cell>
          <cell r="L2266" t="str">
            <v>OK</v>
          </cell>
        </row>
        <row r="2267">
          <cell r="A2267" t="str">
            <v>AMS-42737I21</v>
          </cell>
          <cell r="B2267" t="str">
            <v>1Z6469V00446619768</v>
          </cell>
          <cell r="C2267" t="str">
            <v>Brasiliense</v>
          </cell>
          <cell r="D2267" t="str">
            <v>UPS</v>
          </cell>
          <cell r="E2267" t="str">
            <v>Future</v>
          </cell>
          <cell r="F2267">
            <v>44369</v>
          </cell>
          <cell r="G2267">
            <v>44377</v>
          </cell>
          <cell r="H2267">
            <v>44379</v>
          </cell>
          <cell r="I2267" t="str">
            <v>02.07.2021</v>
          </cell>
          <cell r="J2267" t="str">
            <v>01.07.2021</v>
          </cell>
          <cell r="K2267" t="str">
            <v>28.06.2021</v>
          </cell>
          <cell r="L2267" t="str">
            <v>OK</v>
          </cell>
        </row>
        <row r="2268">
          <cell r="A2268" t="str">
            <v>AMS-42738I21</v>
          </cell>
          <cell r="B2268" t="str">
            <v>1Z6469V00446001666</v>
          </cell>
          <cell r="C2268" t="str">
            <v>Brasiliense</v>
          </cell>
          <cell r="D2268" t="str">
            <v>UPS</v>
          </cell>
          <cell r="E2268" t="str">
            <v>Future</v>
          </cell>
          <cell r="F2268">
            <v>44369</v>
          </cell>
          <cell r="G2268">
            <v>44377</v>
          </cell>
          <cell r="H2268">
            <v>44379</v>
          </cell>
          <cell r="I2268" t="str">
            <v>02.07.2021</v>
          </cell>
          <cell r="J2268" t="str">
            <v>01.07.2021</v>
          </cell>
          <cell r="K2268" t="str">
            <v>28.06.2021</v>
          </cell>
          <cell r="L2268" t="str">
            <v>OK</v>
          </cell>
        </row>
        <row r="2269">
          <cell r="A2269" t="str">
            <v>AMS-42785I21</v>
          </cell>
          <cell r="B2269" t="str">
            <v>1Z6469V00446535367</v>
          </cell>
          <cell r="C2269" t="str">
            <v>Brasiliense</v>
          </cell>
          <cell r="D2269" t="str">
            <v>UPS</v>
          </cell>
          <cell r="E2269" t="str">
            <v>Future</v>
          </cell>
          <cell r="F2269">
            <v>44369</v>
          </cell>
          <cell r="G2269">
            <v>44377</v>
          </cell>
          <cell r="H2269">
            <v>44379</v>
          </cell>
          <cell r="I2269" t="str">
            <v>02.07.2021</v>
          </cell>
          <cell r="J2269" t="str">
            <v>01.07.2021</v>
          </cell>
          <cell r="K2269" t="str">
            <v>28.06.2021</v>
          </cell>
          <cell r="L2269" t="str">
            <v>OK</v>
          </cell>
        </row>
        <row r="2270">
          <cell r="A2270" t="str">
            <v>AMS-42786I21</v>
          </cell>
          <cell r="B2270" t="str">
            <v>1Z6469V00446407022</v>
          </cell>
          <cell r="C2270" t="str">
            <v>Brasiliense</v>
          </cell>
          <cell r="D2270" t="str">
            <v>UPS</v>
          </cell>
          <cell r="E2270" t="str">
            <v>Future</v>
          </cell>
          <cell r="F2270">
            <v>44370</v>
          </cell>
          <cell r="G2270">
            <v>44378</v>
          </cell>
          <cell r="H2270">
            <v>44380</v>
          </cell>
          <cell r="I2270" t="str">
            <v>02.07.2021</v>
          </cell>
          <cell r="J2270" t="str">
            <v>01.07.2021</v>
          </cell>
          <cell r="K2270" t="str">
            <v>28.06.2021</v>
          </cell>
          <cell r="L2270" t="str">
            <v>OK</v>
          </cell>
        </row>
        <row r="2271">
          <cell r="A2271" t="str">
            <v>AMS-42805I21</v>
          </cell>
          <cell r="B2271" t="str">
            <v>1Z6469V00447459993</v>
          </cell>
          <cell r="C2271" t="str">
            <v>Brasiliense</v>
          </cell>
          <cell r="D2271" t="str">
            <v>UPS</v>
          </cell>
          <cell r="E2271" t="str">
            <v>Future</v>
          </cell>
          <cell r="F2271">
            <v>44370</v>
          </cell>
          <cell r="G2271">
            <v>44378</v>
          </cell>
          <cell r="H2271">
            <v>44380</v>
          </cell>
          <cell r="I2271" t="str">
            <v>02.07.2021</v>
          </cell>
          <cell r="J2271" t="str">
            <v>01.07.2021</v>
          </cell>
          <cell r="K2271" t="str">
            <v>28.06.2021</v>
          </cell>
          <cell r="L2271" t="str">
            <v>OK</v>
          </cell>
        </row>
        <row r="2272">
          <cell r="A2272" t="str">
            <v>AMS-42841I21</v>
          </cell>
          <cell r="B2272" t="str">
            <v>1Z6469V00448811608</v>
          </cell>
          <cell r="C2272" t="str">
            <v>Brasiliense</v>
          </cell>
          <cell r="D2272" t="str">
            <v>UPS</v>
          </cell>
          <cell r="E2272" t="str">
            <v>Future</v>
          </cell>
          <cell r="F2272">
            <v>44372</v>
          </cell>
          <cell r="G2272">
            <v>44380</v>
          </cell>
          <cell r="H2272">
            <v>44382</v>
          </cell>
          <cell r="I2272" t="str">
            <v>02.07.2021</v>
          </cell>
          <cell r="J2272" t="str">
            <v>01.07.2021</v>
          </cell>
          <cell r="K2272" t="str">
            <v>05.07.2021</v>
          </cell>
          <cell r="L2272" t="str">
            <v>OK</v>
          </cell>
        </row>
        <row r="2273">
          <cell r="A2273" t="str">
            <v>AMS-42842I21</v>
          </cell>
          <cell r="B2273" t="str">
            <v>1Z6469V00447716197</v>
          </cell>
          <cell r="C2273" t="str">
            <v>Brasiliense</v>
          </cell>
          <cell r="D2273" t="str">
            <v>UPS</v>
          </cell>
          <cell r="E2273" t="str">
            <v>Future</v>
          </cell>
          <cell r="F2273">
            <v>44372</v>
          </cell>
          <cell r="G2273">
            <v>44380</v>
          </cell>
          <cell r="H2273">
            <v>44382</v>
          </cell>
          <cell r="I2273" t="str">
            <v>02.07.2021</v>
          </cell>
          <cell r="J2273" t="str">
            <v>01.07.2021</v>
          </cell>
          <cell r="K2273" t="str">
            <v>05.07.2021</v>
          </cell>
          <cell r="L2273" t="str">
            <v>OK</v>
          </cell>
        </row>
        <row r="2274">
          <cell r="A2274" t="str">
            <v>AMS-42893I21</v>
          </cell>
          <cell r="B2274" t="str">
            <v>1Z6469V00448847339</v>
          </cell>
          <cell r="C2274" t="str">
            <v>Brasiliense</v>
          </cell>
          <cell r="D2274" t="str">
            <v>UPS</v>
          </cell>
          <cell r="E2274" t="str">
            <v>Future</v>
          </cell>
          <cell r="F2274">
            <v>44379</v>
          </cell>
          <cell r="G2274">
            <v>44387</v>
          </cell>
          <cell r="H2274">
            <v>44389</v>
          </cell>
          <cell r="I2274" t="str">
            <v>07.07.2021</v>
          </cell>
          <cell r="J2274" t="str">
            <v>23.07.2021</v>
          </cell>
          <cell r="K2274" t="str">
            <v>12.07.2021</v>
          </cell>
          <cell r="L2274" t="str">
            <v>OK</v>
          </cell>
        </row>
        <row r="2275">
          <cell r="A2275" t="str">
            <v>AMS-42894I21</v>
          </cell>
          <cell r="B2275" t="str">
            <v>1Z6469V00448632605</v>
          </cell>
          <cell r="C2275" t="str">
            <v>Brasiliense</v>
          </cell>
          <cell r="D2275" t="str">
            <v>UPS</v>
          </cell>
          <cell r="E2275" t="str">
            <v>Future</v>
          </cell>
          <cell r="F2275">
            <v>44379</v>
          </cell>
          <cell r="G2275">
            <v>44387</v>
          </cell>
          <cell r="H2275">
            <v>44389</v>
          </cell>
          <cell r="I2275" t="str">
            <v>07.07.2021</v>
          </cell>
          <cell r="J2275" t="str">
            <v>23.07.2021</v>
          </cell>
          <cell r="K2275" t="str">
            <v>12.07.2021</v>
          </cell>
          <cell r="L2275" t="str">
            <v>OK</v>
          </cell>
        </row>
        <row r="2276">
          <cell r="A2276" t="str">
            <v>AMS-42895I21</v>
          </cell>
          <cell r="B2276" t="str">
            <v>1Z6469V00448765794</v>
          </cell>
          <cell r="C2276" t="str">
            <v>Brasiliense</v>
          </cell>
          <cell r="D2276" t="str">
            <v>UPS</v>
          </cell>
          <cell r="E2276" t="str">
            <v>Future</v>
          </cell>
          <cell r="F2276">
            <v>44379</v>
          </cell>
          <cell r="G2276">
            <v>44387</v>
          </cell>
          <cell r="H2276">
            <v>44389</v>
          </cell>
          <cell r="I2276" t="str">
            <v>07.07.2021</v>
          </cell>
          <cell r="J2276" t="str">
            <v>23.07.2021</v>
          </cell>
          <cell r="K2276" t="str">
            <v>12.07.2021</v>
          </cell>
          <cell r="L2276" t="str">
            <v>OK</v>
          </cell>
        </row>
        <row r="2277">
          <cell r="A2277" t="str">
            <v>AMS-42896I21</v>
          </cell>
          <cell r="B2277" t="str">
            <v>1Z6469V00446278270</v>
          </cell>
          <cell r="C2277" t="str">
            <v>Brasiliense</v>
          </cell>
          <cell r="D2277" t="str">
            <v>UPS</v>
          </cell>
          <cell r="E2277" t="str">
            <v>Future</v>
          </cell>
          <cell r="F2277">
            <v>44379</v>
          </cell>
          <cell r="G2277">
            <v>44387</v>
          </cell>
          <cell r="H2277">
            <v>44389</v>
          </cell>
          <cell r="I2277" t="str">
            <v>07.07.2021</v>
          </cell>
          <cell r="J2277" t="str">
            <v>23.07.2021</v>
          </cell>
          <cell r="K2277" t="str">
            <v>12.07.2021</v>
          </cell>
          <cell r="L2277" t="str">
            <v>OK</v>
          </cell>
        </row>
        <row r="2278">
          <cell r="A2278" t="str">
            <v>AMS-43035I21</v>
          </cell>
          <cell r="B2278" t="str">
            <v>1Z6469V00448948417</v>
          </cell>
          <cell r="C2278" t="str">
            <v>Brasiliense</v>
          </cell>
          <cell r="D2278" t="str">
            <v>UPS</v>
          </cell>
          <cell r="E2278" t="str">
            <v>Future</v>
          </cell>
          <cell r="F2278">
            <v>44384</v>
          </cell>
          <cell r="G2278">
            <v>44392</v>
          </cell>
          <cell r="H2278">
            <v>44394</v>
          </cell>
          <cell r="I2278" t="str">
            <v>13.07.2021</v>
          </cell>
          <cell r="J2278" t="str">
            <v>23.07.2021</v>
          </cell>
          <cell r="K2278" t="str">
            <v>12.07.2021</v>
          </cell>
          <cell r="L2278" t="str">
            <v>OK</v>
          </cell>
        </row>
        <row r="2279">
          <cell r="A2279" t="str">
            <v>AMS-43036I21</v>
          </cell>
          <cell r="B2279" t="str">
            <v>1Z6469V00446344617</v>
          </cell>
          <cell r="C2279" t="str">
            <v>Brasiliense</v>
          </cell>
          <cell r="D2279" t="str">
            <v>UPS</v>
          </cell>
          <cell r="E2279" t="str">
            <v>Future</v>
          </cell>
          <cell r="F2279">
            <v>44384</v>
          </cell>
          <cell r="G2279">
            <v>44392</v>
          </cell>
          <cell r="H2279">
            <v>44394</v>
          </cell>
          <cell r="I2279" t="str">
            <v>13.07.2021</v>
          </cell>
          <cell r="J2279" t="str">
            <v>23.07.2021</v>
          </cell>
          <cell r="K2279" t="str">
            <v>12.07.2021</v>
          </cell>
          <cell r="L2279" t="str">
            <v>OK</v>
          </cell>
        </row>
        <row r="2280">
          <cell r="A2280" t="str">
            <v>AMS-43220I21</v>
          </cell>
          <cell r="B2280" t="str">
            <v>1Z6469V00448873391</v>
          </cell>
          <cell r="C2280" t="str">
            <v>Brasiliense</v>
          </cell>
          <cell r="D2280" t="str">
            <v>UPS</v>
          </cell>
          <cell r="E2280" t="str">
            <v>Future</v>
          </cell>
          <cell r="F2280">
            <v>44394</v>
          </cell>
          <cell r="G2280">
            <v>44402</v>
          </cell>
          <cell r="H2280">
            <v>44404</v>
          </cell>
          <cell r="I2280" t="str">
            <v>19.07.2021</v>
          </cell>
          <cell r="J2280" t="str">
            <v>02.08.2021</v>
          </cell>
          <cell r="K2280" t="str">
            <v>23.07.2021</v>
          </cell>
          <cell r="L2280" t="str">
            <v>OK</v>
          </cell>
        </row>
        <row r="2281">
          <cell r="A2281" t="str">
            <v>AMS-43379I21</v>
          </cell>
          <cell r="B2281" t="str">
            <v>1Z6469V00448823640</v>
          </cell>
          <cell r="C2281" t="str">
            <v>Brasiliense</v>
          </cell>
          <cell r="D2281" t="str">
            <v>UPS</v>
          </cell>
          <cell r="E2281" t="str">
            <v>Future</v>
          </cell>
          <cell r="F2281">
            <v>44406</v>
          </cell>
          <cell r="G2281">
            <v>44414</v>
          </cell>
          <cell r="H2281">
            <v>44416</v>
          </cell>
          <cell r="I2281" t="str">
            <v>02.08.2021</v>
          </cell>
          <cell r="J2281" t="str">
            <v>10.08.2021</v>
          </cell>
          <cell r="K2281" t="str">
            <v>02.08.2021</v>
          </cell>
          <cell r="L2281" t="str">
            <v>OK</v>
          </cell>
        </row>
        <row r="2282">
          <cell r="A2282" t="str">
            <v>AMS-43380I21</v>
          </cell>
          <cell r="B2282" t="str">
            <v>1Z6469V00446600303</v>
          </cell>
          <cell r="C2282" t="str">
            <v>Brasiliense</v>
          </cell>
          <cell r="D2282" t="str">
            <v>UPS</v>
          </cell>
          <cell r="E2282" t="str">
            <v>Future</v>
          </cell>
          <cell r="F2282">
            <v>44406</v>
          </cell>
          <cell r="G2282">
            <v>44414</v>
          </cell>
          <cell r="H2282">
            <v>44416</v>
          </cell>
          <cell r="I2282" t="str">
            <v>02.08.2021</v>
          </cell>
          <cell r="J2282" t="str">
            <v>10.08.2021</v>
          </cell>
          <cell r="K2282" t="str">
            <v>02.08.2021</v>
          </cell>
          <cell r="L2282" t="str">
            <v>OK</v>
          </cell>
        </row>
        <row r="2283">
          <cell r="A2283" t="str">
            <v>AMS-43381I21</v>
          </cell>
          <cell r="B2283" t="str">
            <v>1Z6469V00447096125</v>
          </cell>
          <cell r="C2283" t="str">
            <v>Brasiliense</v>
          </cell>
          <cell r="D2283" t="str">
            <v>UPS</v>
          </cell>
          <cell r="E2283" t="str">
            <v>Future</v>
          </cell>
          <cell r="F2283">
            <v>44406</v>
          </cell>
          <cell r="G2283">
            <v>44414</v>
          </cell>
          <cell r="H2283">
            <v>44416</v>
          </cell>
          <cell r="I2283" t="str">
            <v>02.08.2021</v>
          </cell>
          <cell r="J2283" t="str">
            <v>10.08.2021</v>
          </cell>
          <cell r="K2283" t="str">
            <v>02.08.2021</v>
          </cell>
          <cell r="L2283" t="str">
            <v>OK</v>
          </cell>
        </row>
        <row r="2284">
          <cell r="A2284" t="str">
            <v>AMS-43382I21</v>
          </cell>
          <cell r="B2284" t="str">
            <v>1Z6469V00446906564</v>
          </cell>
          <cell r="C2284" t="str">
            <v>Brasiliense</v>
          </cell>
          <cell r="D2284" t="str">
            <v>UPS</v>
          </cell>
          <cell r="E2284" t="str">
            <v>Future</v>
          </cell>
          <cell r="F2284">
            <v>44406</v>
          </cell>
          <cell r="G2284">
            <v>44414</v>
          </cell>
          <cell r="H2284">
            <v>44416</v>
          </cell>
          <cell r="I2284" t="str">
            <v>02.08.2021</v>
          </cell>
          <cell r="J2284" t="str">
            <v>10.08.2021</v>
          </cell>
          <cell r="K2284" t="str">
            <v>02.08.2021</v>
          </cell>
          <cell r="L2284" t="str">
            <v>OK</v>
          </cell>
        </row>
        <row r="2285">
          <cell r="A2285" t="str">
            <v>AMS-43383I21</v>
          </cell>
          <cell r="B2285" t="str">
            <v>1Z6469V00446408450</v>
          </cell>
          <cell r="C2285" t="str">
            <v>Brasiliense</v>
          </cell>
          <cell r="D2285" t="str">
            <v>UPS</v>
          </cell>
          <cell r="E2285" t="str">
            <v>Future</v>
          </cell>
          <cell r="F2285">
            <v>44406</v>
          </cell>
          <cell r="G2285">
            <v>44414</v>
          </cell>
          <cell r="H2285">
            <v>44416</v>
          </cell>
          <cell r="I2285" t="str">
            <v>02.08.2021</v>
          </cell>
          <cell r="J2285" t="str">
            <v>10.08.2021</v>
          </cell>
          <cell r="K2285" t="str">
            <v>02.08.2021</v>
          </cell>
          <cell r="L2285" t="str">
            <v>OK</v>
          </cell>
        </row>
        <row r="2286">
          <cell r="A2286" t="str">
            <v>AMS-43403I21</v>
          </cell>
          <cell r="B2286" t="str">
            <v>1Z6469V00448562511</v>
          </cell>
          <cell r="C2286" t="str">
            <v>Brasiliense</v>
          </cell>
          <cell r="D2286" t="str">
            <v>UPS</v>
          </cell>
          <cell r="E2286" t="str">
            <v>Future</v>
          </cell>
          <cell r="F2286">
            <v>44406</v>
          </cell>
          <cell r="G2286">
            <v>44414</v>
          </cell>
          <cell r="H2286">
            <v>44416</v>
          </cell>
          <cell r="I2286" t="str">
            <v>02.08.2021</v>
          </cell>
          <cell r="J2286" t="str">
            <v>10.08.2021</v>
          </cell>
          <cell r="K2286" t="str">
            <v>02.08.2021</v>
          </cell>
          <cell r="L2286" t="str">
            <v>OK</v>
          </cell>
        </row>
        <row r="2287">
          <cell r="A2287" t="str">
            <v>AMS-43572I21</v>
          </cell>
          <cell r="B2287" t="str">
            <v>1Z6469V00447360982</v>
          </cell>
          <cell r="C2287" t="str">
            <v>Brasiliense</v>
          </cell>
          <cell r="D2287" t="str">
            <v>UPS</v>
          </cell>
          <cell r="E2287" t="str">
            <v>Future</v>
          </cell>
          <cell r="F2287">
            <v>44410</v>
          </cell>
          <cell r="G2287">
            <v>44418</v>
          </cell>
          <cell r="H2287">
            <v>44420</v>
          </cell>
          <cell r="I2287" t="str">
            <v>09.08.2021</v>
          </cell>
          <cell r="J2287" t="str">
            <v>19.08.2021</v>
          </cell>
          <cell r="K2287" t="str">
            <v>09.08.2021</v>
          </cell>
          <cell r="L2287" t="str">
            <v>OK</v>
          </cell>
        </row>
        <row r="2288">
          <cell r="A2288" t="str">
            <v>AMS-44887I21</v>
          </cell>
          <cell r="B2288" t="str">
            <v>1Z6469V00447414147</v>
          </cell>
          <cell r="C2288" t="str">
            <v>Brasiliense</v>
          </cell>
          <cell r="D2288" t="str">
            <v>UPS</v>
          </cell>
          <cell r="E2288" t="str">
            <v>Future</v>
          </cell>
          <cell r="F2288">
            <v>44483</v>
          </cell>
          <cell r="G2288">
            <v>44491</v>
          </cell>
          <cell r="H2288">
            <v>44493</v>
          </cell>
          <cell r="I2288" t="str">
            <v>15.10.2021</v>
          </cell>
          <cell r="J2288" t="str">
            <v>26.10.2021</v>
          </cell>
          <cell r="K2288" t="str">
            <v>18.10.2021</v>
          </cell>
          <cell r="L2288" t="str">
            <v>OK</v>
          </cell>
        </row>
        <row r="2289">
          <cell r="A2289" t="str">
            <v>AMS-44886I21</v>
          </cell>
          <cell r="B2289" t="str">
            <v>1Z6469V00447618178</v>
          </cell>
          <cell r="C2289" t="str">
            <v>Brasiliense</v>
          </cell>
          <cell r="D2289" t="str">
            <v>UPS</v>
          </cell>
          <cell r="E2289" t="str">
            <v>Future</v>
          </cell>
          <cell r="F2289">
            <v>44483</v>
          </cell>
          <cell r="G2289">
            <v>44491</v>
          </cell>
          <cell r="H2289">
            <v>44493</v>
          </cell>
          <cell r="I2289" t="str">
            <v>15.10.2021</v>
          </cell>
          <cell r="J2289" t="str">
            <v>26.10.2021</v>
          </cell>
          <cell r="K2289" t="str">
            <v>18.10.2021</v>
          </cell>
          <cell r="L2289" t="str">
            <v>OK</v>
          </cell>
        </row>
        <row r="2290">
          <cell r="A2290" t="str">
            <v>AMS-44491I20</v>
          </cell>
          <cell r="B2290" t="str">
            <v>1Z6469V00447504246</v>
          </cell>
          <cell r="C2290" t="str">
            <v>Brasiliense</v>
          </cell>
          <cell r="D2290" t="str">
            <v>UPS</v>
          </cell>
          <cell r="E2290" t="str">
            <v>Future</v>
          </cell>
          <cell r="F2290">
            <v>44132</v>
          </cell>
          <cell r="G2290">
            <v>44140</v>
          </cell>
          <cell r="H2290">
            <v>44142</v>
          </cell>
          <cell r="I2290" t="str">
            <v>09.11.2020</v>
          </cell>
          <cell r="J2290" t="str">
            <v>18.11.2020</v>
          </cell>
          <cell r="K2290" t="str">
            <v>09.11.2020</v>
          </cell>
          <cell r="L2290" t="str">
            <v>OK</v>
          </cell>
        </row>
        <row r="2291">
          <cell r="A2291" t="str">
            <v>AMS-44756I20</v>
          </cell>
          <cell r="B2291" t="str">
            <v>1Z6469V00447485268</v>
          </cell>
          <cell r="C2291" t="str">
            <v>Brasiliense</v>
          </cell>
          <cell r="D2291" t="str">
            <v>UPS</v>
          </cell>
          <cell r="E2291" t="str">
            <v>Future</v>
          </cell>
          <cell r="F2291">
            <v>44154</v>
          </cell>
          <cell r="G2291">
            <v>44162</v>
          </cell>
          <cell r="H2291">
            <v>44164</v>
          </cell>
          <cell r="I2291" t="str">
            <v>20.11.2020</v>
          </cell>
          <cell r="J2291" t="str">
            <v>08.12.2020</v>
          </cell>
          <cell r="K2291" t="str">
            <v>20.11.2020</v>
          </cell>
          <cell r="L2291" t="str">
            <v>OK</v>
          </cell>
        </row>
        <row r="2292">
          <cell r="A2292" t="str">
            <v>AMS-40172I21</v>
          </cell>
          <cell r="B2292" t="str">
            <v>1Z6469V00448197934</v>
          </cell>
          <cell r="C2292" t="str">
            <v>Brasiliense</v>
          </cell>
          <cell r="D2292" t="str">
            <v>UPS</v>
          </cell>
          <cell r="E2292" t="str">
            <v>Future</v>
          </cell>
          <cell r="F2292">
            <v>44209</v>
          </cell>
          <cell r="G2292">
            <v>44217</v>
          </cell>
          <cell r="H2292">
            <v>44219</v>
          </cell>
          <cell r="I2292" t="str">
            <v>20.01.2021</v>
          </cell>
          <cell r="J2292" t="str">
            <v>08.02.2021</v>
          </cell>
          <cell r="K2292" t="str">
            <v>25.01.2021</v>
          </cell>
          <cell r="L2292" t="str">
            <v>OK</v>
          </cell>
        </row>
        <row r="2293">
          <cell r="A2293" t="str">
            <v>AMS-40208i21</v>
          </cell>
          <cell r="B2293" t="str">
            <v>1Z6469V00447455595</v>
          </cell>
          <cell r="C2293" t="str">
            <v>Brasiliense</v>
          </cell>
          <cell r="D2293" t="str">
            <v>UPS</v>
          </cell>
          <cell r="E2293" t="str">
            <v>Future</v>
          </cell>
          <cell r="F2293">
            <v>44218</v>
          </cell>
          <cell r="G2293">
            <v>44226</v>
          </cell>
          <cell r="H2293">
            <v>44228</v>
          </cell>
          <cell r="I2293" t="str">
            <v>02.02.2021</v>
          </cell>
          <cell r="J2293" t="str">
            <v>08.02.2021</v>
          </cell>
          <cell r="K2293" t="str">
            <v>03.02.2021</v>
          </cell>
          <cell r="L2293" t="str">
            <v>OK</v>
          </cell>
        </row>
        <row r="2294">
          <cell r="A2294" t="str">
            <v>AMS-40300I21</v>
          </cell>
          <cell r="B2294" t="str">
            <v>1Z6469V00448970795</v>
          </cell>
          <cell r="C2294" t="str">
            <v>Brasiliense</v>
          </cell>
          <cell r="D2294" t="str">
            <v>UPS</v>
          </cell>
          <cell r="E2294" t="str">
            <v>Future</v>
          </cell>
          <cell r="F2294">
            <v>44225</v>
          </cell>
          <cell r="G2294">
            <v>44233</v>
          </cell>
          <cell r="H2294">
            <v>44235</v>
          </cell>
          <cell r="I2294" t="str">
            <v>02.02.2021</v>
          </cell>
          <cell r="J2294" t="str">
            <v>08.02.2021</v>
          </cell>
          <cell r="K2294" t="str">
            <v>03.02.2021</v>
          </cell>
          <cell r="L2294" t="str">
            <v>OK</v>
          </cell>
        </row>
        <row r="2295">
          <cell r="A2295" t="str">
            <v>AMS-40416I21</v>
          </cell>
          <cell r="B2295" t="str">
            <v>1Z6469V00447007131</v>
          </cell>
          <cell r="C2295" t="str">
            <v>Brasiliense</v>
          </cell>
          <cell r="D2295" t="str">
            <v>UPS</v>
          </cell>
          <cell r="E2295" t="str">
            <v>Future</v>
          </cell>
          <cell r="F2295">
            <v>44235</v>
          </cell>
          <cell r="G2295">
            <v>44243</v>
          </cell>
          <cell r="H2295">
            <v>44245</v>
          </cell>
          <cell r="I2295" t="str">
            <v>15.02.2021</v>
          </cell>
          <cell r="J2295" t="str">
            <v>19.02.2021</v>
          </cell>
          <cell r="K2295" t="str">
            <v>15.02.2021</v>
          </cell>
          <cell r="L2295" t="str">
            <v>OK</v>
          </cell>
        </row>
        <row r="2296">
          <cell r="A2296" t="str">
            <v>AMS-40564I21</v>
          </cell>
          <cell r="B2296" t="str">
            <v>1Z6469V0E148659882</v>
          </cell>
          <cell r="C2296" t="str">
            <v>Brasiliense</v>
          </cell>
          <cell r="D2296" t="str">
            <v>UPS</v>
          </cell>
          <cell r="E2296" t="str">
            <v>Future</v>
          </cell>
          <cell r="F2296">
            <v>44246</v>
          </cell>
          <cell r="G2296">
            <v>44254</v>
          </cell>
          <cell r="H2296">
            <v>44256</v>
          </cell>
          <cell r="I2296" t="str">
            <v>02.03.2021</v>
          </cell>
          <cell r="J2296" t="str">
            <v>10.03.2021</v>
          </cell>
          <cell r="K2296" t="str">
            <v>01.03.2021</v>
          </cell>
          <cell r="L2296" t="str">
            <v>OK</v>
          </cell>
        </row>
        <row r="2297">
          <cell r="A2297" t="str">
            <v>AMS-40565I21</v>
          </cell>
          <cell r="B2297" t="str">
            <v>1Z6469V0E146090696</v>
          </cell>
          <cell r="C2297" t="str">
            <v>Brasiliense</v>
          </cell>
          <cell r="D2297" t="str">
            <v>UPS</v>
          </cell>
          <cell r="E2297" t="str">
            <v>Future</v>
          </cell>
          <cell r="F2297">
            <v>44246</v>
          </cell>
          <cell r="G2297">
            <v>44254</v>
          </cell>
          <cell r="H2297">
            <v>44256</v>
          </cell>
          <cell r="I2297" t="str">
            <v>02.03.2021</v>
          </cell>
          <cell r="J2297" t="str">
            <v>10.03.2021</v>
          </cell>
          <cell r="K2297" t="str">
            <v>01.03.2021</v>
          </cell>
          <cell r="L2297" t="str">
            <v>OK</v>
          </cell>
        </row>
        <row r="2298">
          <cell r="A2298" t="str">
            <v>AMS-40566I21</v>
          </cell>
          <cell r="B2298" t="str">
            <v>1Z6469V0E146585107</v>
          </cell>
          <cell r="C2298" t="str">
            <v>Brasiliense</v>
          </cell>
          <cell r="D2298" t="str">
            <v>UPS</v>
          </cell>
          <cell r="E2298" t="str">
            <v>Future</v>
          </cell>
          <cell r="F2298">
            <v>44246</v>
          </cell>
          <cell r="G2298">
            <v>44254</v>
          </cell>
          <cell r="H2298">
            <v>44256</v>
          </cell>
          <cell r="I2298" t="str">
            <v>02.03.2021</v>
          </cell>
          <cell r="J2298" t="str">
            <v>10.03.2021</v>
          </cell>
          <cell r="K2298" t="str">
            <v>23.02.2021</v>
          </cell>
          <cell r="L2298" t="str">
            <v>OK</v>
          </cell>
        </row>
        <row r="2299">
          <cell r="A2299" t="str">
            <v>AMS-40568I21</v>
          </cell>
          <cell r="B2299" t="str">
            <v>1Z6469V0E146588720</v>
          </cell>
          <cell r="C2299" t="str">
            <v>Brasiliense</v>
          </cell>
          <cell r="D2299" t="str">
            <v>UPS</v>
          </cell>
          <cell r="E2299" t="str">
            <v>Future</v>
          </cell>
          <cell r="F2299">
            <v>44246</v>
          </cell>
          <cell r="G2299">
            <v>44254</v>
          </cell>
          <cell r="H2299">
            <v>44256</v>
          </cell>
          <cell r="I2299" t="str">
            <v>02.03.2021</v>
          </cell>
          <cell r="J2299" t="str">
            <v>10.03.2021</v>
          </cell>
          <cell r="K2299" t="str">
            <v>01.03.2021</v>
          </cell>
          <cell r="L2299" t="str">
            <v>OK</v>
          </cell>
        </row>
        <row r="2300">
          <cell r="A2300" t="str">
            <v>AMS-40569I21</v>
          </cell>
          <cell r="B2300" t="str">
            <v>1Z6469V00447702657</v>
          </cell>
          <cell r="C2300" t="str">
            <v>Brasiliense</v>
          </cell>
          <cell r="D2300" t="str">
            <v>UPS</v>
          </cell>
          <cell r="E2300" t="str">
            <v>Future</v>
          </cell>
          <cell r="F2300">
            <v>44246</v>
          </cell>
          <cell r="G2300">
            <v>44254</v>
          </cell>
          <cell r="H2300">
            <v>44256</v>
          </cell>
          <cell r="I2300" t="str">
            <v>02.03.2021</v>
          </cell>
          <cell r="J2300" t="str">
            <v>10.03.2021</v>
          </cell>
          <cell r="K2300" t="str">
            <v>01.03.2021</v>
          </cell>
          <cell r="L2300" t="str">
            <v>OK</v>
          </cell>
        </row>
        <row r="2301">
          <cell r="A2301" t="str">
            <v>AMS-40570I21</v>
          </cell>
          <cell r="B2301" t="str">
            <v>1Z6469V00448854661</v>
          </cell>
          <cell r="C2301" t="str">
            <v>Brasiliense</v>
          </cell>
          <cell r="D2301" t="str">
            <v>UPS</v>
          </cell>
          <cell r="E2301" t="str">
            <v>Future</v>
          </cell>
          <cell r="F2301">
            <v>44246</v>
          </cell>
          <cell r="G2301">
            <v>44254</v>
          </cell>
          <cell r="H2301">
            <v>44256</v>
          </cell>
          <cell r="I2301" t="str">
            <v>02.03.2021</v>
          </cell>
          <cell r="J2301" t="str">
            <v>10.03.2021</v>
          </cell>
          <cell r="K2301" t="str">
            <v>23.02.2021</v>
          </cell>
          <cell r="L2301" t="str">
            <v>OK</v>
          </cell>
        </row>
        <row r="2302">
          <cell r="A2302" t="str">
            <v>AMS-40572I21</v>
          </cell>
          <cell r="B2302" t="str">
            <v>1Z6469V0E146198973</v>
          </cell>
          <cell r="C2302" t="str">
            <v>Brasiliense</v>
          </cell>
          <cell r="D2302" t="str">
            <v>UPS</v>
          </cell>
          <cell r="E2302" t="str">
            <v>Future</v>
          </cell>
          <cell r="F2302">
            <v>44246</v>
          </cell>
          <cell r="G2302">
            <v>44254</v>
          </cell>
          <cell r="H2302">
            <v>44256</v>
          </cell>
          <cell r="I2302" t="str">
            <v>02.03.2021</v>
          </cell>
          <cell r="J2302" t="str">
            <v>10.03.2021</v>
          </cell>
          <cell r="K2302" t="str">
            <v>23.02.2021</v>
          </cell>
          <cell r="L2302" t="str">
            <v>OK</v>
          </cell>
        </row>
        <row r="2303">
          <cell r="A2303" t="str">
            <v>AMS-40614I21</v>
          </cell>
          <cell r="B2303" t="str">
            <v>1Z6469V00448788966</v>
          </cell>
          <cell r="C2303" t="str">
            <v>Brasiliense</v>
          </cell>
          <cell r="D2303" t="str">
            <v>UPS</v>
          </cell>
          <cell r="E2303" t="str">
            <v>Future</v>
          </cell>
          <cell r="F2303">
            <v>44250</v>
          </cell>
          <cell r="G2303">
            <v>44258</v>
          </cell>
          <cell r="H2303">
            <v>44260</v>
          </cell>
          <cell r="I2303" t="str">
            <v>02.03.2021</v>
          </cell>
          <cell r="J2303" t="str">
            <v>10.03.2021</v>
          </cell>
          <cell r="K2303" t="str">
            <v>23.02.2021</v>
          </cell>
          <cell r="L2303" t="str">
            <v>OK</v>
          </cell>
        </row>
        <row r="2304">
          <cell r="A2304" t="str">
            <v>AMS-40567I21</v>
          </cell>
          <cell r="B2304" t="str">
            <v>1Z6469V0E147359118</v>
          </cell>
          <cell r="C2304" t="str">
            <v>Brasiliense</v>
          </cell>
          <cell r="D2304" t="str">
            <v>UPS</v>
          </cell>
          <cell r="E2304" t="str">
            <v>Future</v>
          </cell>
          <cell r="F2304">
            <v>44246</v>
          </cell>
          <cell r="G2304">
            <v>44254</v>
          </cell>
          <cell r="H2304">
            <v>44256</v>
          </cell>
          <cell r="I2304" t="str">
            <v>02.03.2021</v>
          </cell>
          <cell r="J2304" t="str">
            <v>10.03.2021</v>
          </cell>
          <cell r="K2304" t="str">
            <v>01.03.2021</v>
          </cell>
          <cell r="L2304" t="str">
            <v>OK</v>
          </cell>
        </row>
        <row r="2305">
          <cell r="A2305" t="str">
            <v>AMS-40744I21</v>
          </cell>
          <cell r="B2305" t="str">
            <v>1Z6469V00446281953</v>
          </cell>
          <cell r="C2305" t="str">
            <v>Brasiliense</v>
          </cell>
          <cell r="D2305" t="str">
            <v>UPS</v>
          </cell>
          <cell r="E2305" t="str">
            <v>Future</v>
          </cell>
          <cell r="F2305">
            <v>44263</v>
          </cell>
          <cell r="G2305">
            <v>44271</v>
          </cell>
          <cell r="H2305">
            <v>44273</v>
          </cell>
          <cell r="I2305" t="str">
            <v>15.03.2021</v>
          </cell>
          <cell r="J2305" t="str">
            <v>29.03.2021</v>
          </cell>
          <cell r="K2305" t="str">
            <v>18.03.2021</v>
          </cell>
          <cell r="L2305" t="str">
            <v>OK</v>
          </cell>
        </row>
        <row r="2306">
          <cell r="A2306" t="str">
            <v>AMS-41546I21</v>
          </cell>
          <cell r="B2306" t="str">
            <v>1Z6469V00446484565</v>
          </cell>
          <cell r="C2306" t="str">
            <v>Brasiliense</v>
          </cell>
          <cell r="D2306" t="str">
            <v>UPS</v>
          </cell>
          <cell r="E2306" t="str">
            <v>Future</v>
          </cell>
          <cell r="F2306">
            <v>44308</v>
          </cell>
          <cell r="G2306">
            <v>44316</v>
          </cell>
          <cell r="H2306">
            <v>44318</v>
          </cell>
          <cell r="I2306" t="str">
            <v>03.05.2021</v>
          </cell>
          <cell r="J2306" t="str">
            <v>11.05.2021</v>
          </cell>
          <cell r="K2306" t="str">
            <v>26.04.2021</v>
          </cell>
          <cell r="L2306" t="str">
            <v>OK</v>
          </cell>
        </row>
        <row r="2307">
          <cell r="A2307" t="str">
            <v>AMS-41547I21</v>
          </cell>
          <cell r="B2307" t="str">
            <v>1Z6469V00447898983</v>
          </cell>
          <cell r="C2307" t="str">
            <v>Brasiliense</v>
          </cell>
          <cell r="D2307" t="str">
            <v>UPS</v>
          </cell>
          <cell r="E2307" t="str">
            <v>Future</v>
          </cell>
          <cell r="F2307">
            <v>44308</v>
          </cell>
          <cell r="G2307">
            <v>44316</v>
          </cell>
          <cell r="H2307">
            <v>44318</v>
          </cell>
          <cell r="I2307" t="str">
            <v>03.05.2021</v>
          </cell>
          <cell r="J2307" t="str">
            <v>11.05.2021</v>
          </cell>
          <cell r="K2307" t="str">
            <v>26.04.2021</v>
          </cell>
          <cell r="L2307" t="str">
            <v>OK</v>
          </cell>
        </row>
        <row r="2308">
          <cell r="A2308" t="str">
            <v>AMS-41548I21</v>
          </cell>
          <cell r="B2308" t="str">
            <v>1Z6469V00446789496</v>
          </cell>
          <cell r="C2308" t="str">
            <v>Brasiliense</v>
          </cell>
          <cell r="D2308" t="str">
            <v>UPS</v>
          </cell>
          <cell r="E2308" t="str">
            <v>Future</v>
          </cell>
          <cell r="F2308">
            <v>44308</v>
          </cell>
          <cell r="G2308">
            <v>44316</v>
          </cell>
          <cell r="H2308">
            <v>44318</v>
          </cell>
          <cell r="I2308" t="str">
            <v>03.05.2021</v>
          </cell>
          <cell r="J2308" t="str">
            <v>11.05.2021</v>
          </cell>
          <cell r="K2308" t="str">
            <v>26.04.2021</v>
          </cell>
          <cell r="L2308" t="str">
            <v>OK</v>
          </cell>
        </row>
        <row r="2309">
          <cell r="A2309" t="str">
            <v>AMS-41549I21</v>
          </cell>
          <cell r="B2309" t="str">
            <v>1Z6469V00446928559</v>
          </cell>
          <cell r="C2309" t="str">
            <v>Brasiliense</v>
          </cell>
          <cell r="D2309" t="str">
            <v>UPS</v>
          </cell>
          <cell r="E2309" t="str">
            <v>Future</v>
          </cell>
          <cell r="F2309">
            <v>44308</v>
          </cell>
          <cell r="G2309">
            <v>44316</v>
          </cell>
          <cell r="H2309">
            <v>44318</v>
          </cell>
          <cell r="I2309" t="str">
            <v>03.05.2021</v>
          </cell>
          <cell r="J2309" t="str">
            <v>11.05.2021</v>
          </cell>
          <cell r="K2309" t="str">
            <v>26.04.2021</v>
          </cell>
          <cell r="L2309" t="str">
            <v>OK</v>
          </cell>
        </row>
        <row r="2310">
          <cell r="A2310" t="str">
            <v>AMS-41610I21</v>
          </cell>
          <cell r="B2310" t="str">
            <v>1Z6469V00448201580</v>
          </cell>
          <cell r="C2310" t="str">
            <v>Brasiliense</v>
          </cell>
          <cell r="D2310" t="str">
            <v>UPS</v>
          </cell>
          <cell r="E2310" t="str">
            <v>Future</v>
          </cell>
          <cell r="F2310">
            <v>44309</v>
          </cell>
          <cell r="G2310">
            <v>44317</v>
          </cell>
          <cell r="H2310">
            <v>44319</v>
          </cell>
          <cell r="I2310" t="str">
            <v>03.05.2021</v>
          </cell>
          <cell r="J2310" t="str">
            <v>11.05.2021</v>
          </cell>
          <cell r="K2310" t="str">
            <v>26.04.2021</v>
          </cell>
          <cell r="L2310" t="str">
            <v>OK</v>
          </cell>
        </row>
        <row r="2311">
          <cell r="A2311" t="str">
            <v>AMS-41611I21</v>
          </cell>
          <cell r="B2311" t="str">
            <v>1Z6469V00447252527</v>
          </cell>
          <cell r="C2311" t="str">
            <v>Brasiliense</v>
          </cell>
          <cell r="D2311" t="str">
            <v>UPS</v>
          </cell>
          <cell r="E2311" t="str">
            <v>Future</v>
          </cell>
          <cell r="F2311">
            <v>44309</v>
          </cell>
          <cell r="G2311">
            <v>44317</v>
          </cell>
          <cell r="H2311">
            <v>44319</v>
          </cell>
          <cell r="I2311" t="str">
            <v>03.05.2021</v>
          </cell>
          <cell r="J2311" t="str">
            <v>11.05.2021</v>
          </cell>
          <cell r="K2311" t="str">
            <v>26.04.2021</v>
          </cell>
          <cell r="L2311" t="str">
            <v>OK</v>
          </cell>
        </row>
        <row r="2312">
          <cell r="A2312" t="str">
            <v>AMS-41689I21</v>
          </cell>
          <cell r="B2312" t="str">
            <v>1Z6469V00448955481</v>
          </cell>
          <cell r="C2312" t="str">
            <v>Brasiliense</v>
          </cell>
          <cell r="D2312" t="str">
            <v>UPS</v>
          </cell>
          <cell r="E2312" t="str">
            <v>Future</v>
          </cell>
          <cell r="F2312">
            <v>44313</v>
          </cell>
          <cell r="G2312">
            <v>44321</v>
          </cell>
          <cell r="H2312">
            <v>44323</v>
          </cell>
          <cell r="I2312" t="str">
            <v>03.05.2021</v>
          </cell>
          <cell r="J2312" t="str">
            <v>11.05.2021</v>
          </cell>
          <cell r="K2312" t="str">
            <v>04.05.2021</v>
          </cell>
          <cell r="L2312" t="str">
            <v>OK</v>
          </cell>
        </row>
        <row r="2313">
          <cell r="A2313" t="str">
            <v>AMS-41690I21</v>
          </cell>
          <cell r="B2313" t="str">
            <v>1Z6469V00446697899</v>
          </cell>
          <cell r="C2313" t="str">
            <v>Brasiliense</v>
          </cell>
          <cell r="D2313" t="str">
            <v>UPS</v>
          </cell>
          <cell r="E2313" t="str">
            <v>Future</v>
          </cell>
          <cell r="F2313">
            <v>44313</v>
          </cell>
          <cell r="G2313">
            <v>44321</v>
          </cell>
          <cell r="H2313">
            <v>44323</v>
          </cell>
          <cell r="I2313" t="str">
            <v>03.05.2021</v>
          </cell>
          <cell r="J2313" t="str">
            <v>11.05.2021</v>
          </cell>
          <cell r="K2313" t="str">
            <v>04.05.2021</v>
          </cell>
          <cell r="L2313" t="str">
            <v>OK</v>
          </cell>
        </row>
        <row r="2314">
          <cell r="A2314" t="str">
            <v>AMS-41691I21</v>
          </cell>
          <cell r="B2314" t="str">
            <v>1Z6469V00446424307</v>
          </cell>
          <cell r="C2314" t="str">
            <v>Brasiliense</v>
          </cell>
          <cell r="D2314" t="str">
            <v>UPS</v>
          </cell>
          <cell r="E2314" t="str">
            <v>Future</v>
          </cell>
          <cell r="F2314">
            <v>44313</v>
          </cell>
          <cell r="G2314">
            <v>44321</v>
          </cell>
          <cell r="H2314">
            <v>44323</v>
          </cell>
          <cell r="I2314" t="str">
            <v>03.05.2021</v>
          </cell>
          <cell r="J2314" t="str">
            <v>11.05.2021</v>
          </cell>
          <cell r="K2314" t="str">
            <v>04.05.2021</v>
          </cell>
          <cell r="L2314" t="str">
            <v>OK</v>
          </cell>
        </row>
        <row r="2315">
          <cell r="A2315" t="str">
            <v>AMS-41783I21</v>
          </cell>
          <cell r="B2315" t="str">
            <v>1Z6469V00446352546</v>
          </cell>
          <cell r="C2315" t="str">
            <v>Brasiliense</v>
          </cell>
          <cell r="D2315" t="str">
            <v>UPS</v>
          </cell>
          <cell r="E2315" t="str">
            <v>Future</v>
          </cell>
          <cell r="F2315">
            <v>44314</v>
          </cell>
          <cell r="G2315">
            <v>44322</v>
          </cell>
          <cell r="H2315">
            <v>44324</v>
          </cell>
          <cell r="I2315" t="str">
            <v>03.05.2021</v>
          </cell>
          <cell r="J2315" t="str">
            <v>11.05.2021</v>
          </cell>
          <cell r="K2315" t="str">
            <v>04.05.2021</v>
          </cell>
          <cell r="L2315" t="str">
            <v>OK</v>
          </cell>
        </row>
        <row r="2316">
          <cell r="A2316" t="str">
            <v>AMS-41839I21</v>
          </cell>
          <cell r="B2316" t="str">
            <v>1Z6469V00447468947</v>
          </cell>
          <cell r="C2316" t="str">
            <v>Brasiliense</v>
          </cell>
          <cell r="D2316" t="str">
            <v>UPS</v>
          </cell>
          <cell r="E2316" t="str">
            <v>Future</v>
          </cell>
          <cell r="F2316">
            <v>44321</v>
          </cell>
          <cell r="G2316">
            <v>44329</v>
          </cell>
          <cell r="H2316">
            <v>44331</v>
          </cell>
          <cell r="I2316" t="str">
            <v>13.05.2021</v>
          </cell>
          <cell r="J2316" t="str">
            <v>19.05.2021</v>
          </cell>
          <cell r="K2316" t="str">
            <v>11.05.2021</v>
          </cell>
          <cell r="L2316" t="str">
            <v>OK</v>
          </cell>
        </row>
        <row r="2317">
          <cell r="A2317" t="str">
            <v>AMS-41937I21</v>
          </cell>
          <cell r="B2317" t="str">
            <v>1Z6469V00447053500</v>
          </cell>
          <cell r="C2317" t="str">
            <v>Brasiliense</v>
          </cell>
          <cell r="D2317" t="str">
            <v>UPS</v>
          </cell>
          <cell r="E2317" t="str">
            <v>Future</v>
          </cell>
          <cell r="F2317">
            <v>44322</v>
          </cell>
          <cell r="G2317">
            <v>44330</v>
          </cell>
          <cell r="H2317">
            <v>44332</v>
          </cell>
          <cell r="I2317" t="str">
            <v>13.05.2021</v>
          </cell>
          <cell r="J2317" t="str">
            <v>19.05.2021</v>
          </cell>
          <cell r="K2317" t="str">
            <v>17.05.2021</v>
          </cell>
          <cell r="L2317" t="str">
            <v>OK</v>
          </cell>
        </row>
        <row r="2318">
          <cell r="A2318" t="str">
            <v>AMS-41938I21</v>
          </cell>
          <cell r="B2318" t="str">
            <v>1Z6469V00447705127</v>
          </cell>
          <cell r="C2318" t="str">
            <v>Brasiliense</v>
          </cell>
          <cell r="D2318" t="str">
            <v>UPS</v>
          </cell>
          <cell r="E2318" t="str">
            <v>Future</v>
          </cell>
          <cell r="F2318">
            <v>44322</v>
          </cell>
          <cell r="G2318">
            <v>44330</v>
          </cell>
          <cell r="H2318">
            <v>44332</v>
          </cell>
          <cell r="I2318" t="str">
            <v>13.05.2021</v>
          </cell>
          <cell r="J2318" t="str">
            <v>19.05.2021</v>
          </cell>
          <cell r="K2318" t="str">
            <v>17.05.2021</v>
          </cell>
          <cell r="L2318" t="str">
            <v>OK</v>
          </cell>
        </row>
        <row r="2319">
          <cell r="A2319" t="str">
            <v>AMS-42008I21</v>
          </cell>
          <cell r="B2319" t="str">
            <v>1Z6469V00448598313</v>
          </cell>
          <cell r="C2319" t="str">
            <v>Brasiliense</v>
          </cell>
          <cell r="D2319" t="str">
            <v>UPS</v>
          </cell>
          <cell r="E2319" t="str">
            <v>Future</v>
          </cell>
          <cell r="F2319">
            <v>44329</v>
          </cell>
          <cell r="G2319">
            <v>44337</v>
          </cell>
          <cell r="H2319">
            <v>44339</v>
          </cell>
          <cell r="I2319" t="str">
            <v>13.05.2021</v>
          </cell>
          <cell r="J2319" t="str">
            <v>19.05.2021</v>
          </cell>
          <cell r="K2319" t="str">
            <v>17.05.2021</v>
          </cell>
          <cell r="L2319" t="str">
            <v>OK</v>
          </cell>
        </row>
        <row r="2320">
          <cell r="A2320" t="str">
            <v>AMS-41967I21</v>
          </cell>
          <cell r="B2320" t="str">
            <v>1Z6469V00446036254</v>
          </cell>
          <cell r="C2320" t="str">
            <v>Brasiliense</v>
          </cell>
          <cell r="D2320" t="str">
            <v>UPS</v>
          </cell>
          <cell r="E2320" t="str">
            <v>Future</v>
          </cell>
          <cell r="F2320">
            <v>44328</v>
          </cell>
          <cell r="G2320">
            <v>44336</v>
          </cell>
          <cell r="H2320">
            <v>44338</v>
          </cell>
          <cell r="I2320" t="str">
            <v>18.05.2021</v>
          </cell>
          <cell r="J2320" t="str">
            <v>19.05.2021</v>
          </cell>
          <cell r="K2320" t="str">
            <v>17.05.2021</v>
          </cell>
          <cell r="L2320" t="str">
            <v>OK</v>
          </cell>
        </row>
        <row r="2321">
          <cell r="A2321" t="str">
            <v>AMS-41988I21</v>
          </cell>
          <cell r="B2321" t="str">
            <v>1Z6469V00447200458</v>
          </cell>
          <cell r="C2321" t="str">
            <v>Brasiliense</v>
          </cell>
          <cell r="D2321" t="str">
            <v>UPS</v>
          </cell>
          <cell r="E2321" t="str">
            <v>Future</v>
          </cell>
          <cell r="F2321">
            <v>44330</v>
          </cell>
          <cell r="G2321">
            <v>44338</v>
          </cell>
          <cell r="H2321">
            <v>44340</v>
          </cell>
          <cell r="I2321" t="str">
            <v>18.05.2021</v>
          </cell>
          <cell r="J2321" t="str">
            <v>19.05.2021</v>
          </cell>
          <cell r="K2321" t="str">
            <v>17.05.2021</v>
          </cell>
          <cell r="L2321" t="str">
            <v>OK</v>
          </cell>
        </row>
        <row r="2322">
          <cell r="A2322" t="str">
            <v>AMS-41991I21</v>
          </cell>
          <cell r="B2322" t="str">
            <v xml:space="preserve">1Z6469V00448920044 </v>
          </cell>
          <cell r="C2322" t="str">
            <v>Brasiliense</v>
          </cell>
          <cell r="D2322" t="str">
            <v>UPS</v>
          </cell>
          <cell r="E2322" t="str">
            <v>Future</v>
          </cell>
          <cell r="F2322">
            <v>44330</v>
          </cell>
          <cell r="G2322">
            <v>44338</v>
          </cell>
          <cell r="H2322">
            <v>44340</v>
          </cell>
          <cell r="I2322" t="str">
            <v>18.05.2021</v>
          </cell>
          <cell r="J2322" t="str">
            <v>19.05.2021</v>
          </cell>
          <cell r="K2322" t="str">
            <v>17.05.2021</v>
          </cell>
          <cell r="L2322" t="str">
            <v>OK</v>
          </cell>
        </row>
        <row r="2323">
          <cell r="A2323" t="str">
            <v>AMS-41993I21</v>
          </cell>
          <cell r="B2323" t="str">
            <v>1Z6469V00446263231</v>
          </cell>
          <cell r="C2323" t="str">
            <v>Brasiliense</v>
          </cell>
          <cell r="D2323" t="str">
            <v>UPS</v>
          </cell>
          <cell r="E2323" t="str">
            <v>Future</v>
          </cell>
          <cell r="F2323">
            <v>44330</v>
          </cell>
          <cell r="G2323">
            <v>44338</v>
          </cell>
          <cell r="H2323">
            <v>44340</v>
          </cell>
          <cell r="I2323" t="str">
            <v>18.05.2021</v>
          </cell>
          <cell r="J2323" t="str">
            <v>19.05.2021</v>
          </cell>
          <cell r="K2323" t="str">
            <v>17.05.2021</v>
          </cell>
          <cell r="L2323" t="str">
            <v>OK</v>
          </cell>
        </row>
        <row r="2324">
          <cell r="A2324" t="str">
            <v>AMS-42098I21</v>
          </cell>
          <cell r="B2324" t="str">
            <v>1Z6469V00448365832</v>
          </cell>
          <cell r="C2324" t="str">
            <v>Brasiliense</v>
          </cell>
          <cell r="D2324" t="str">
            <v>UPS</v>
          </cell>
          <cell r="E2324" t="str">
            <v>Future</v>
          </cell>
          <cell r="F2324">
            <v>44334</v>
          </cell>
          <cell r="G2324">
            <v>44342</v>
          </cell>
          <cell r="H2324">
            <v>44344</v>
          </cell>
          <cell r="I2324" t="str">
            <v>18.05.2021</v>
          </cell>
          <cell r="J2324" t="str">
            <v>11.06.2021</v>
          </cell>
          <cell r="K2324" t="str">
            <v>24.05.2021</v>
          </cell>
          <cell r="L2324" t="str">
            <v>OK</v>
          </cell>
        </row>
        <row r="2325">
          <cell r="A2325" t="str">
            <v>AMS-42101I21</v>
          </cell>
          <cell r="B2325" t="str">
            <v>1Z6469V00447665804</v>
          </cell>
          <cell r="C2325" t="str">
            <v>Brasiliense</v>
          </cell>
          <cell r="D2325" t="str">
            <v>UPS</v>
          </cell>
          <cell r="E2325" t="str">
            <v>Future</v>
          </cell>
          <cell r="F2325">
            <v>44334</v>
          </cell>
          <cell r="G2325">
            <v>44342</v>
          </cell>
          <cell r="H2325">
            <v>44344</v>
          </cell>
          <cell r="I2325" t="str">
            <v>02.06.2021</v>
          </cell>
          <cell r="J2325" t="str">
            <v>11.06.2021</v>
          </cell>
          <cell r="K2325" t="str">
            <v>24.05.2021</v>
          </cell>
          <cell r="L2325" t="str">
            <v>OK</v>
          </cell>
        </row>
        <row r="2326">
          <cell r="A2326" t="str">
            <v>AMS-42103I21</v>
          </cell>
          <cell r="B2326" t="str">
            <v>1Z6469V00448331814</v>
          </cell>
          <cell r="C2326" t="str">
            <v>Brasiliense</v>
          </cell>
          <cell r="D2326" t="str">
            <v>UPS</v>
          </cell>
          <cell r="E2326" t="str">
            <v>Future</v>
          </cell>
          <cell r="F2326">
            <v>44334</v>
          </cell>
          <cell r="G2326">
            <v>44342</v>
          </cell>
          <cell r="H2326">
            <v>44344</v>
          </cell>
          <cell r="I2326" t="str">
            <v>18.05.2021</v>
          </cell>
          <cell r="J2326" t="str">
            <v>11.06.2021</v>
          </cell>
          <cell r="K2326" t="str">
            <v>24.05.2021</v>
          </cell>
          <cell r="L2326" t="str">
            <v>OK</v>
          </cell>
        </row>
        <row r="2327">
          <cell r="A2327" t="str">
            <v>AMS-42100I21</v>
          </cell>
          <cell r="B2327" t="str">
            <v>1Z6469V00446015866</v>
          </cell>
          <cell r="C2327" t="str">
            <v>Brasiliense</v>
          </cell>
          <cell r="D2327" t="str">
            <v>UPS</v>
          </cell>
          <cell r="E2327" t="str">
            <v>Future</v>
          </cell>
          <cell r="F2327">
            <v>44335</v>
          </cell>
          <cell r="G2327">
            <v>44343</v>
          </cell>
          <cell r="H2327">
            <v>44345</v>
          </cell>
          <cell r="I2327" t="str">
            <v>02.06.2021</v>
          </cell>
          <cell r="J2327" t="str">
            <v>11.06.2021</v>
          </cell>
          <cell r="K2327" t="str">
            <v>24.05.2021</v>
          </cell>
          <cell r="L2327" t="str">
            <v>OK</v>
          </cell>
        </row>
        <row r="2328">
          <cell r="A2328" t="str">
            <v>AMS-42102I21</v>
          </cell>
          <cell r="B2328" t="str">
            <v>1Z6469V00446973429</v>
          </cell>
          <cell r="C2328" t="str">
            <v>Brasiliense</v>
          </cell>
          <cell r="D2328" t="str">
            <v>UPS</v>
          </cell>
          <cell r="E2328" t="str">
            <v>Future</v>
          </cell>
          <cell r="F2328">
            <v>44335</v>
          </cell>
          <cell r="G2328">
            <v>44343</v>
          </cell>
          <cell r="H2328">
            <v>44345</v>
          </cell>
          <cell r="I2328" t="str">
            <v>02.06.2021</v>
          </cell>
          <cell r="J2328" t="str">
            <v>11.06.2021</v>
          </cell>
          <cell r="K2328" t="str">
            <v>24.05.2021</v>
          </cell>
          <cell r="L2328" t="str">
            <v>OK</v>
          </cell>
        </row>
        <row r="2329">
          <cell r="A2329" t="str">
            <v>AMS-42105I21</v>
          </cell>
          <cell r="B2329" t="str">
            <v>1Z6469V00448511852</v>
          </cell>
          <cell r="C2329" t="str">
            <v>Brasiliense</v>
          </cell>
          <cell r="D2329" t="str">
            <v>UPS</v>
          </cell>
          <cell r="E2329" t="str">
            <v>Future</v>
          </cell>
          <cell r="F2329">
            <v>44335</v>
          </cell>
          <cell r="G2329">
            <v>44343</v>
          </cell>
          <cell r="H2329">
            <v>44345</v>
          </cell>
          <cell r="I2329" t="str">
            <v>02.06.2021</v>
          </cell>
          <cell r="J2329" t="str">
            <v>11.06.2021</v>
          </cell>
          <cell r="K2329" t="str">
            <v>24.05.2021</v>
          </cell>
          <cell r="L2329" t="str">
            <v>OK</v>
          </cell>
        </row>
        <row r="2330">
          <cell r="A2330" t="str">
            <v>AMS-42104I21</v>
          </cell>
          <cell r="B2330" t="str">
            <v>1Z6469V00447526633</v>
          </cell>
          <cell r="C2330" t="str">
            <v>Brasiliense</v>
          </cell>
          <cell r="D2330" t="str">
            <v>UPS</v>
          </cell>
          <cell r="E2330" t="str">
            <v>Future</v>
          </cell>
          <cell r="F2330">
            <v>44337</v>
          </cell>
          <cell r="G2330">
            <v>44345</v>
          </cell>
          <cell r="H2330">
            <v>44347</v>
          </cell>
          <cell r="I2330" t="str">
            <v>02.06.2021</v>
          </cell>
          <cell r="J2330" t="str">
            <v>11.06.2021</v>
          </cell>
          <cell r="K2330" t="str">
            <v>24.05.2021</v>
          </cell>
          <cell r="L2330" t="str">
            <v>OK</v>
          </cell>
        </row>
        <row r="2331">
          <cell r="A2331" t="str">
            <v>AMS-42145I21</v>
          </cell>
          <cell r="B2331" t="str">
            <v>1Z6469V00448542560</v>
          </cell>
          <cell r="C2331" t="str">
            <v>Brasiliense</v>
          </cell>
          <cell r="D2331" t="str">
            <v>UPS</v>
          </cell>
          <cell r="E2331" t="str">
            <v>Future</v>
          </cell>
          <cell r="F2331">
            <v>44337</v>
          </cell>
          <cell r="G2331">
            <v>44345</v>
          </cell>
          <cell r="H2331">
            <v>44347</v>
          </cell>
          <cell r="I2331" t="str">
            <v>02.06.2021</v>
          </cell>
          <cell r="J2331" t="str">
            <v>11.06.2021</v>
          </cell>
          <cell r="K2331" t="str">
            <v>24.05.2021</v>
          </cell>
          <cell r="L2331" t="str">
            <v>OK</v>
          </cell>
        </row>
        <row r="2332">
          <cell r="A2332" t="str">
            <v>AMS-42146I21</v>
          </cell>
          <cell r="B2332" t="str">
            <v>1Z6469V00446477386</v>
          </cell>
          <cell r="C2332" t="str">
            <v>Brasiliense</v>
          </cell>
          <cell r="D2332" t="str">
            <v>UPS</v>
          </cell>
          <cell r="E2332" t="str">
            <v>Future</v>
          </cell>
          <cell r="F2332">
            <v>44337</v>
          </cell>
          <cell r="G2332">
            <v>44345</v>
          </cell>
          <cell r="H2332">
            <v>44347</v>
          </cell>
          <cell r="I2332" t="str">
            <v>02.06.2021</v>
          </cell>
          <cell r="J2332" t="str">
            <v>11.06.2021</v>
          </cell>
          <cell r="K2332" t="str">
            <v>24.05.2021</v>
          </cell>
          <cell r="L2332" t="str">
            <v>OK</v>
          </cell>
        </row>
        <row r="2333">
          <cell r="A2333" t="str">
            <v>AMS-42205I21</v>
          </cell>
          <cell r="B2333" t="str">
            <v>1Z6469V00447208192</v>
          </cell>
          <cell r="C2333" t="str">
            <v>Brasiliense</v>
          </cell>
          <cell r="D2333" t="str">
            <v>UPS</v>
          </cell>
          <cell r="E2333" t="str">
            <v>Future</v>
          </cell>
          <cell r="F2333">
            <v>44337</v>
          </cell>
          <cell r="G2333">
            <v>44345</v>
          </cell>
          <cell r="H2333">
            <v>44347</v>
          </cell>
          <cell r="I2333" t="str">
            <v>02.06.2021</v>
          </cell>
          <cell r="J2333" t="str">
            <v>11.06.2021</v>
          </cell>
          <cell r="K2333" t="str">
            <v>24.05.2021</v>
          </cell>
          <cell r="L2333" t="str">
            <v>OK</v>
          </cell>
        </row>
        <row r="2334">
          <cell r="A2334" t="str">
            <v>AMS-42206I21</v>
          </cell>
          <cell r="B2334" t="str">
            <v>1Z6469V00448256021</v>
          </cell>
          <cell r="C2334" t="str">
            <v>Brasiliense</v>
          </cell>
          <cell r="D2334" t="str">
            <v>UPS</v>
          </cell>
          <cell r="E2334" t="str">
            <v>Future</v>
          </cell>
          <cell r="F2334">
            <v>44340</v>
          </cell>
          <cell r="G2334">
            <v>44348</v>
          </cell>
          <cell r="H2334">
            <v>44350</v>
          </cell>
          <cell r="I2334" t="str">
            <v>02.06.2021</v>
          </cell>
          <cell r="J2334" t="str">
            <v>11.06.2021</v>
          </cell>
          <cell r="K2334" t="str">
            <v>01.06.2021</v>
          </cell>
          <cell r="L2334" t="str">
            <v>OK</v>
          </cell>
        </row>
        <row r="2335">
          <cell r="A2335" t="str">
            <v>AMS-42219I21</v>
          </cell>
          <cell r="B2335" t="str">
            <v>1Z6469V00448068976</v>
          </cell>
          <cell r="C2335" t="str">
            <v>Brasiliense</v>
          </cell>
          <cell r="D2335" t="str">
            <v>UPS</v>
          </cell>
          <cell r="E2335" t="str">
            <v>Future</v>
          </cell>
          <cell r="F2335">
            <v>44341</v>
          </cell>
          <cell r="G2335">
            <v>44349</v>
          </cell>
          <cell r="H2335">
            <v>44351</v>
          </cell>
          <cell r="I2335" t="str">
            <v>02.06.2021</v>
          </cell>
          <cell r="J2335" t="str">
            <v>11.06.2021</v>
          </cell>
          <cell r="K2335" t="str">
            <v>01.06.2021</v>
          </cell>
          <cell r="L2335" t="str">
            <v>OK</v>
          </cell>
        </row>
        <row r="2336">
          <cell r="A2336" t="str">
            <v>AMS-42220I21</v>
          </cell>
          <cell r="B2336" t="str">
            <v>1Z6469V00446049366</v>
          </cell>
          <cell r="C2336" t="str">
            <v>Brasiliense</v>
          </cell>
          <cell r="D2336" t="str">
            <v>UPS</v>
          </cell>
          <cell r="E2336" t="str">
            <v>Future</v>
          </cell>
          <cell r="F2336">
            <v>44341</v>
          </cell>
          <cell r="G2336">
            <v>44349</v>
          </cell>
          <cell r="H2336">
            <v>44351</v>
          </cell>
          <cell r="I2336" t="str">
            <v>02.06.2021</v>
          </cell>
          <cell r="J2336" t="str">
            <v>11.06.2021</v>
          </cell>
          <cell r="K2336" t="str">
            <v>01.06.2021</v>
          </cell>
          <cell r="L2336" t="str">
            <v>OK</v>
          </cell>
        </row>
        <row r="2337">
          <cell r="A2337" t="str">
            <v>AMS-42221I21</v>
          </cell>
          <cell r="B2337" t="str">
            <v>1Z6469V00448263504</v>
          </cell>
          <cell r="C2337" t="str">
            <v>Brasiliense</v>
          </cell>
          <cell r="D2337" t="str">
            <v>UPS</v>
          </cell>
          <cell r="E2337" t="str">
            <v>Future</v>
          </cell>
          <cell r="F2337">
            <v>44341</v>
          </cell>
          <cell r="G2337">
            <v>44349</v>
          </cell>
          <cell r="H2337">
            <v>44351</v>
          </cell>
          <cell r="I2337" t="str">
            <v>02.06.2021</v>
          </cell>
          <cell r="J2337" t="str">
            <v>11.06.2021</v>
          </cell>
          <cell r="K2337" t="str">
            <v>01.06.2021</v>
          </cell>
          <cell r="L2337" t="str">
            <v>OK</v>
          </cell>
        </row>
        <row r="2338">
          <cell r="A2338" t="str">
            <v>AMS-42417I21</v>
          </cell>
          <cell r="B2338" t="str">
            <v>1Z6469V00447069771</v>
          </cell>
          <cell r="C2338" t="str">
            <v>Brasiliense</v>
          </cell>
          <cell r="D2338" t="str">
            <v>UPS</v>
          </cell>
          <cell r="E2338" t="str">
            <v>Future</v>
          </cell>
          <cell r="F2338">
            <v>44347</v>
          </cell>
          <cell r="G2338">
            <v>44355</v>
          </cell>
          <cell r="H2338">
            <v>44357</v>
          </cell>
          <cell r="I2338" t="str">
            <v>14.06.2021</v>
          </cell>
          <cell r="J2338" t="str">
            <v>17.06.2021</v>
          </cell>
          <cell r="K2338" t="str">
            <v>15.06.2021</v>
          </cell>
          <cell r="L2338" t="str">
            <v>OK</v>
          </cell>
        </row>
        <row r="2339">
          <cell r="A2339" t="str">
            <v>AMS-42419I21</v>
          </cell>
          <cell r="B2339" t="str">
            <v>1Z6469V00448830150</v>
          </cell>
          <cell r="C2339" t="str">
            <v>Brasiliense</v>
          </cell>
          <cell r="D2339" t="str">
            <v>UPS</v>
          </cell>
          <cell r="E2339" t="str">
            <v>Future</v>
          </cell>
          <cell r="F2339">
            <v>44347</v>
          </cell>
          <cell r="G2339">
            <v>44355</v>
          </cell>
          <cell r="H2339">
            <v>44357</v>
          </cell>
          <cell r="I2339" t="str">
            <v>14.06.2021</v>
          </cell>
          <cell r="J2339" t="str">
            <v>17.06.2021</v>
          </cell>
          <cell r="K2339" t="str">
            <v>15.06.2021</v>
          </cell>
          <cell r="L2339" t="str">
            <v>OK</v>
          </cell>
        </row>
        <row r="2340">
          <cell r="A2340" t="str">
            <v>AMS-42420I21</v>
          </cell>
          <cell r="B2340" t="str">
            <v>1Z6469V00446188939</v>
          </cell>
          <cell r="C2340" t="str">
            <v>Brasiliense</v>
          </cell>
          <cell r="D2340" t="str">
            <v>UPS</v>
          </cell>
          <cell r="E2340" t="str">
            <v>Future</v>
          </cell>
          <cell r="F2340">
            <v>44347</v>
          </cell>
          <cell r="G2340">
            <v>44355</v>
          </cell>
          <cell r="H2340">
            <v>44357</v>
          </cell>
          <cell r="I2340" t="str">
            <v>14.06.2021</v>
          </cell>
          <cell r="J2340" t="str">
            <v>17.06.2021</v>
          </cell>
          <cell r="K2340" t="str">
            <v>15.06.2021</v>
          </cell>
          <cell r="L2340" t="str">
            <v>OK</v>
          </cell>
        </row>
        <row r="2341">
          <cell r="A2341" t="str">
            <v>AMS-42481I21</v>
          </cell>
          <cell r="B2341" t="str">
            <v>1Z6469V00448532580</v>
          </cell>
          <cell r="C2341" t="str">
            <v>Brasiliense</v>
          </cell>
          <cell r="D2341" t="str">
            <v>UPS</v>
          </cell>
          <cell r="E2341" t="str">
            <v>Future</v>
          </cell>
          <cell r="F2341">
            <v>44363</v>
          </cell>
          <cell r="G2341">
            <v>44371</v>
          </cell>
          <cell r="H2341">
            <v>44373</v>
          </cell>
          <cell r="I2341" t="str">
            <v>14.06.2021</v>
          </cell>
          <cell r="J2341" t="str">
            <v>17.06.2021</v>
          </cell>
          <cell r="K2341" t="str">
            <v>15.06.2021</v>
          </cell>
          <cell r="L2341" t="str">
            <v>OK</v>
          </cell>
        </row>
        <row r="2342">
          <cell r="A2342" t="str">
            <v>AMS-42482I21</v>
          </cell>
          <cell r="B2342" t="str">
            <v>1Z6469V00448417375</v>
          </cell>
          <cell r="C2342" t="str">
            <v>Brasiliense</v>
          </cell>
          <cell r="D2342" t="str">
            <v>UPS</v>
          </cell>
          <cell r="E2342" t="str">
            <v>Future</v>
          </cell>
          <cell r="F2342">
            <v>44363</v>
          </cell>
          <cell r="G2342">
            <v>44371</v>
          </cell>
          <cell r="H2342">
            <v>44373</v>
          </cell>
          <cell r="I2342" t="str">
            <v>14.06.2021</v>
          </cell>
          <cell r="J2342" t="str">
            <v>17.06.2021</v>
          </cell>
          <cell r="K2342" t="str">
            <v>15.06.2021</v>
          </cell>
          <cell r="L2342" t="str">
            <v>OK</v>
          </cell>
        </row>
        <row r="2343">
          <cell r="A2343" t="str">
            <v>AMS-42483I21</v>
          </cell>
          <cell r="B2343" t="str">
            <v>1Z6469V00448375394</v>
          </cell>
          <cell r="C2343" t="str">
            <v>Brasiliense</v>
          </cell>
          <cell r="D2343" t="str">
            <v>UPS</v>
          </cell>
          <cell r="E2343" t="str">
            <v>Future</v>
          </cell>
          <cell r="F2343">
            <v>44363</v>
          </cell>
          <cell r="G2343">
            <v>44371</v>
          </cell>
          <cell r="H2343">
            <v>44373</v>
          </cell>
          <cell r="I2343" t="str">
            <v>14.06.2021</v>
          </cell>
          <cell r="J2343" t="str">
            <v>17.06.2021</v>
          </cell>
          <cell r="K2343" t="str">
            <v>15.06.2021</v>
          </cell>
          <cell r="L2343" t="str">
            <v>OK</v>
          </cell>
        </row>
        <row r="2344">
          <cell r="A2344" t="str">
            <v>AMS-42418I21</v>
          </cell>
          <cell r="B2344" t="str">
            <v>1Z6469V00446937745</v>
          </cell>
          <cell r="C2344" t="str">
            <v>Brasiliense</v>
          </cell>
          <cell r="D2344" t="str">
            <v>UPS</v>
          </cell>
          <cell r="E2344" t="str">
            <v>Future</v>
          </cell>
          <cell r="F2344">
            <v>44347</v>
          </cell>
          <cell r="G2344">
            <v>44355</v>
          </cell>
          <cell r="H2344">
            <v>44357</v>
          </cell>
          <cell r="I2344" t="str">
            <v>18.06.2021</v>
          </cell>
          <cell r="J2344" t="str">
            <v>17.06.2021</v>
          </cell>
          <cell r="K2344" t="str">
            <v>21.06.2021</v>
          </cell>
          <cell r="L2344" t="str">
            <v>OK</v>
          </cell>
        </row>
        <row r="2345">
          <cell r="A2345" t="str">
            <v>AMS-42484I21</v>
          </cell>
          <cell r="B2345" t="str">
            <v>1Z6469V00447140040</v>
          </cell>
          <cell r="C2345" t="str">
            <v>Brasiliense</v>
          </cell>
          <cell r="D2345" t="str">
            <v>UPS</v>
          </cell>
          <cell r="E2345" t="str">
            <v>Future</v>
          </cell>
          <cell r="F2345">
            <v>44363</v>
          </cell>
          <cell r="G2345">
            <v>44371</v>
          </cell>
          <cell r="H2345">
            <v>44373</v>
          </cell>
          <cell r="I2345" t="str">
            <v>14.06.2021</v>
          </cell>
          <cell r="J2345" t="str">
            <v>17.06.2021</v>
          </cell>
          <cell r="K2345" t="str">
            <v>21.06.2021</v>
          </cell>
          <cell r="L2345" t="str">
            <v>OK</v>
          </cell>
        </row>
        <row r="2346">
          <cell r="A2346" t="str">
            <v>AMS-42424I21</v>
          </cell>
          <cell r="B2346">
            <v>111000296</v>
          </cell>
          <cell r="C2346" t="str">
            <v>Brasiliense</v>
          </cell>
          <cell r="D2346" t="str">
            <v>UPS</v>
          </cell>
          <cell r="E2346" t="str">
            <v>Future</v>
          </cell>
          <cell r="F2346">
            <v>44347</v>
          </cell>
          <cell r="G2346">
            <v>44355</v>
          </cell>
          <cell r="H2346">
            <v>44357</v>
          </cell>
          <cell r="I2346" t="str">
            <v>13.07.2021</v>
          </cell>
          <cell r="J2346" t="str">
            <v>17.06.2021</v>
          </cell>
          <cell r="K2346" t="str">
            <v>-</v>
          </cell>
          <cell r="L2346" t="str">
            <v>OK</v>
          </cell>
        </row>
        <row r="2347">
          <cell r="A2347" t="str">
            <v>AMS-42646I21</v>
          </cell>
          <cell r="B2347" t="str">
            <v>1Z6469V00446676769</v>
          </cell>
          <cell r="C2347" t="str">
            <v>Brasiliense</v>
          </cell>
          <cell r="D2347" t="str">
            <v>UPS</v>
          </cell>
          <cell r="E2347" t="str">
            <v>Future</v>
          </cell>
          <cell r="F2347">
            <v>44368</v>
          </cell>
          <cell r="G2347">
            <v>44376</v>
          </cell>
          <cell r="H2347">
            <v>44378</v>
          </cell>
          <cell r="I2347" t="str">
            <v>18.06.2021</v>
          </cell>
          <cell r="J2347" t="str">
            <v>17.06.2021</v>
          </cell>
          <cell r="K2347" t="str">
            <v>21.06.2021</v>
          </cell>
          <cell r="L2347" t="str">
            <v>OK</v>
          </cell>
        </row>
        <row r="2348">
          <cell r="A2348" t="str">
            <v>AMS-42749I21</v>
          </cell>
          <cell r="B2348" t="str">
            <v>1Z6469V00447094458</v>
          </cell>
          <cell r="C2348" t="str">
            <v>Brasiliense</v>
          </cell>
          <cell r="D2348" t="str">
            <v>UPS</v>
          </cell>
          <cell r="E2348" t="str">
            <v>Future</v>
          </cell>
          <cell r="F2348">
            <v>44365</v>
          </cell>
          <cell r="G2348">
            <v>44373</v>
          </cell>
          <cell r="H2348">
            <v>44375</v>
          </cell>
          <cell r="I2348" t="str">
            <v>02.07.2021</v>
          </cell>
          <cell r="J2348" t="str">
            <v>21.06.2021</v>
          </cell>
          <cell r="K2348" t="str">
            <v>28.06.2021</v>
          </cell>
          <cell r="L2348" t="str">
            <v>OK</v>
          </cell>
        </row>
        <row r="2349">
          <cell r="A2349" t="str">
            <v>AMS-42750I21</v>
          </cell>
          <cell r="B2349" t="str">
            <v>1Z6469V00447454461</v>
          </cell>
          <cell r="C2349" t="str">
            <v>Brasiliense</v>
          </cell>
          <cell r="D2349" t="str">
            <v>UPS</v>
          </cell>
          <cell r="E2349" t="str">
            <v>Future</v>
          </cell>
          <cell r="F2349">
            <v>44365</v>
          </cell>
          <cell r="G2349">
            <v>44373</v>
          </cell>
          <cell r="H2349">
            <v>44375</v>
          </cell>
          <cell r="I2349" t="str">
            <v>02.07.2021</v>
          </cell>
          <cell r="J2349" t="str">
            <v>21.06.2021</v>
          </cell>
          <cell r="K2349" t="str">
            <v>28.06.2021</v>
          </cell>
          <cell r="L2349" t="str">
            <v>OK</v>
          </cell>
        </row>
        <row r="2350">
          <cell r="A2350" t="str">
            <v>AMS-42752I21</v>
          </cell>
          <cell r="B2350" t="str">
            <v>1Z6469V00446335887</v>
          </cell>
          <cell r="C2350" t="str">
            <v>Brasiliense</v>
          </cell>
          <cell r="D2350" t="str">
            <v>UPS</v>
          </cell>
          <cell r="E2350" t="str">
            <v>Future</v>
          </cell>
          <cell r="F2350">
            <v>44365</v>
          </cell>
          <cell r="G2350">
            <v>44373</v>
          </cell>
          <cell r="H2350">
            <v>44375</v>
          </cell>
          <cell r="I2350" t="str">
            <v>18.06.2021</v>
          </cell>
          <cell r="J2350" t="str">
            <v>21.06.2021</v>
          </cell>
          <cell r="K2350" t="str">
            <v>21.06.2021</v>
          </cell>
          <cell r="L2350" t="str">
            <v>OK</v>
          </cell>
        </row>
        <row r="2351">
          <cell r="A2351" t="str">
            <v>AMS-42751I21</v>
          </cell>
          <cell r="B2351" t="str">
            <v>1Z6469V00448430074</v>
          </cell>
          <cell r="C2351" t="str">
            <v>Brasiliense</v>
          </cell>
          <cell r="D2351" t="str">
            <v>UPS</v>
          </cell>
          <cell r="E2351" t="str">
            <v>Future</v>
          </cell>
          <cell r="F2351">
            <v>44365</v>
          </cell>
          <cell r="G2351">
            <v>44373</v>
          </cell>
          <cell r="H2351">
            <v>44375</v>
          </cell>
          <cell r="I2351" t="str">
            <v>02.07.2021</v>
          </cell>
          <cell r="J2351" t="str">
            <v>01.07.2021</v>
          </cell>
          <cell r="K2351" t="str">
            <v>28.06.2021</v>
          </cell>
          <cell r="L2351" t="str">
            <v>OK</v>
          </cell>
        </row>
        <row r="2352">
          <cell r="A2352" t="str">
            <v>AMS-42806I21</v>
          </cell>
          <cell r="B2352" t="str">
            <v>1Z6469V00447395141</v>
          </cell>
          <cell r="C2352" t="str">
            <v>Brasiliense</v>
          </cell>
          <cell r="D2352" t="str">
            <v>UPS</v>
          </cell>
          <cell r="E2352" t="str">
            <v>Future</v>
          </cell>
          <cell r="F2352">
            <v>44370</v>
          </cell>
          <cell r="G2352">
            <v>44378</v>
          </cell>
          <cell r="H2352">
            <v>44380</v>
          </cell>
          <cell r="I2352" t="str">
            <v>02.07.2021</v>
          </cell>
          <cell r="J2352" t="str">
            <v>01.07.2021</v>
          </cell>
          <cell r="K2352" t="str">
            <v>28.06.2021</v>
          </cell>
          <cell r="L2352" t="str">
            <v>OK</v>
          </cell>
        </row>
        <row r="2353">
          <cell r="A2353" t="str">
            <v>AMS-42807I21</v>
          </cell>
          <cell r="B2353" t="str">
            <v>1Z6469V00447342331</v>
          </cell>
          <cell r="C2353" t="str">
            <v>Brasiliense</v>
          </cell>
          <cell r="D2353" t="str">
            <v>UPS</v>
          </cell>
          <cell r="E2353" t="str">
            <v>Future</v>
          </cell>
          <cell r="F2353">
            <v>44370</v>
          </cell>
          <cell r="G2353">
            <v>44378</v>
          </cell>
          <cell r="H2353">
            <v>44380</v>
          </cell>
          <cell r="I2353" t="str">
            <v>02.07.2021</v>
          </cell>
          <cell r="J2353" t="str">
            <v>01.07.2021</v>
          </cell>
          <cell r="K2353" t="str">
            <v>28.06.2021</v>
          </cell>
          <cell r="L2353" t="str">
            <v>OK</v>
          </cell>
        </row>
        <row r="2354">
          <cell r="A2354" t="str">
            <v>AMS-42808I21</v>
          </cell>
          <cell r="B2354" t="str">
            <v>1Z6469V00447055277</v>
          </cell>
          <cell r="C2354" t="str">
            <v>Brasiliense</v>
          </cell>
          <cell r="D2354" t="str">
            <v>UPS</v>
          </cell>
          <cell r="E2354" t="str">
            <v>Future</v>
          </cell>
          <cell r="F2354">
            <v>44370</v>
          </cell>
          <cell r="G2354">
            <v>44378</v>
          </cell>
          <cell r="H2354">
            <v>44380</v>
          </cell>
          <cell r="I2354" t="str">
            <v>02.07.2021</v>
          </cell>
          <cell r="J2354" t="str">
            <v>01.07.2021</v>
          </cell>
          <cell r="K2354" t="str">
            <v>28.06.2021</v>
          </cell>
          <cell r="L2354" t="str">
            <v>OK</v>
          </cell>
        </row>
        <row r="2355">
          <cell r="A2355" t="str">
            <v>AMS-42843I21</v>
          </cell>
          <cell r="B2355" t="str">
            <v>1Z6469V00448287668</v>
          </cell>
          <cell r="C2355" t="str">
            <v>Brasiliense</v>
          </cell>
          <cell r="D2355" t="str">
            <v>UPS</v>
          </cell>
          <cell r="E2355" t="str">
            <v>Future</v>
          </cell>
          <cell r="F2355">
            <v>44372</v>
          </cell>
          <cell r="G2355">
            <v>44380</v>
          </cell>
          <cell r="H2355">
            <v>44382</v>
          </cell>
          <cell r="I2355" t="str">
            <v>02.07.2021</v>
          </cell>
          <cell r="J2355" t="str">
            <v>01.07.2021</v>
          </cell>
          <cell r="K2355" t="str">
            <v>05.07.2021</v>
          </cell>
          <cell r="L2355" t="str">
            <v>OK</v>
          </cell>
        </row>
        <row r="2356">
          <cell r="A2356" t="str">
            <v>AMS-43214I21</v>
          </cell>
          <cell r="B2356" t="str">
            <v>1Z6469V00446635786</v>
          </cell>
          <cell r="C2356" t="str">
            <v>Brasiliense</v>
          </cell>
          <cell r="D2356" t="str">
            <v>UPS</v>
          </cell>
          <cell r="E2356" t="str">
            <v>Future</v>
          </cell>
          <cell r="F2356">
            <v>44393</v>
          </cell>
          <cell r="G2356">
            <v>44401</v>
          </cell>
          <cell r="H2356">
            <v>44403</v>
          </cell>
          <cell r="I2356" t="str">
            <v>21.07.2021</v>
          </cell>
          <cell r="J2356" t="str">
            <v>02.08.2021</v>
          </cell>
          <cell r="K2356" t="str">
            <v>23.07.2021</v>
          </cell>
          <cell r="L2356" t="str">
            <v>OK</v>
          </cell>
        </row>
        <row r="2357">
          <cell r="A2357" t="str">
            <v>AMS-43215I21</v>
          </cell>
          <cell r="B2357" t="str">
            <v>1Z6469V00448848570</v>
          </cell>
          <cell r="C2357" t="str">
            <v>Brasiliense</v>
          </cell>
          <cell r="D2357" t="str">
            <v>UPS</v>
          </cell>
          <cell r="E2357" t="str">
            <v>Future</v>
          </cell>
          <cell r="F2357">
            <v>44393</v>
          </cell>
          <cell r="G2357">
            <v>44401</v>
          </cell>
          <cell r="H2357">
            <v>44403</v>
          </cell>
          <cell r="I2357" t="str">
            <v>19.07.2021</v>
          </cell>
          <cell r="J2357" t="str">
            <v>02.08.2021</v>
          </cell>
          <cell r="K2357" t="str">
            <v>19.07.2021</v>
          </cell>
          <cell r="L2357" t="str">
            <v>OK</v>
          </cell>
        </row>
        <row r="2358">
          <cell r="A2358" t="str">
            <v>AMS-43216I21</v>
          </cell>
          <cell r="B2358" t="str">
            <v>1Z6469V00447609008</v>
          </cell>
          <cell r="C2358" t="str">
            <v>Brasiliense</v>
          </cell>
          <cell r="D2358" t="str">
            <v>UPS</v>
          </cell>
          <cell r="E2358" t="str">
            <v>Future</v>
          </cell>
          <cell r="F2358">
            <v>44393</v>
          </cell>
          <cell r="G2358">
            <v>44401</v>
          </cell>
          <cell r="H2358">
            <v>44403</v>
          </cell>
          <cell r="I2358" t="str">
            <v>19.07.2021</v>
          </cell>
          <cell r="J2358" t="str">
            <v>02.08.2021</v>
          </cell>
          <cell r="K2358" t="str">
            <v>19.07.2021</v>
          </cell>
          <cell r="L2358" t="str">
            <v>OK</v>
          </cell>
        </row>
        <row r="2359">
          <cell r="A2359" t="str">
            <v>AMS-43217I21</v>
          </cell>
          <cell r="B2359" t="str">
            <v>1Z6469V00448470594</v>
          </cell>
          <cell r="C2359" t="str">
            <v>Brasiliense</v>
          </cell>
          <cell r="D2359" t="str">
            <v>UPS</v>
          </cell>
          <cell r="E2359" t="str">
            <v>Future</v>
          </cell>
          <cell r="F2359">
            <v>44393</v>
          </cell>
          <cell r="G2359">
            <v>44401</v>
          </cell>
          <cell r="H2359">
            <v>44403</v>
          </cell>
          <cell r="I2359" t="str">
            <v>19.07.2021</v>
          </cell>
          <cell r="J2359" t="str">
            <v>02.08.2021</v>
          </cell>
          <cell r="K2359" t="str">
            <v>19.07.2021</v>
          </cell>
          <cell r="L2359" t="str">
            <v>OK</v>
          </cell>
        </row>
        <row r="2360">
          <cell r="A2360" t="str">
            <v>AMS-43218I21</v>
          </cell>
          <cell r="B2360" t="str">
            <v>1Z6469V00447659982</v>
          </cell>
          <cell r="C2360" t="str">
            <v>Brasiliense</v>
          </cell>
          <cell r="D2360" t="str">
            <v>UPS</v>
          </cell>
          <cell r="E2360" t="str">
            <v>Future</v>
          </cell>
          <cell r="F2360">
            <v>44393</v>
          </cell>
          <cell r="G2360">
            <v>44401</v>
          </cell>
          <cell r="H2360">
            <v>44403</v>
          </cell>
          <cell r="I2360" t="str">
            <v>19.07.2021</v>
          </cell>
          <cell r="J2360" t="str">
            <v>02.08.2021</v>
          </cell>
          <cell r="K2360" t="str">
            <v>23.07.2021</v>
          </cell>
          <cell r="L2360" t="str">
            <v>OK</v>
          </cell>
        </row>
        <row r="2361">
          <cell r="A2361" t="str">
            <v>AMS-43219I21</v>
          </cell>
          <cell r="B2361" t="str">
            <v>1Z6469V00448246792</v>
          </cell>
          <cell r="C2361" t="str">
            <v>Brasiliense</v>
          </cell>
          <cell r="D2361" t="str">
            <v>UPS</v>
          </cell>
          <cell r="E2361" t="str">
            <v>Future</v>
          </cell>
          <cell r="F2361">
            <v>44393</v>
          </cell>
          <cell r="G2361">
            <v>44401</v>
          </cell>
          <cell r="H2361">
            <v>44403</v>
          </cell>
          <cell r="I2361" t="str">
            <v>19.07.2021</v>
          </cell>
          <cell r="J2361" t="str">
            <v>02.08.2021</v>
          </cell>
          <cell r="K2361" t="str">
            <v>23.07.2021</v>
          </cell>
          <cell r="L2361" t="str">
            <v>OK</v>
          </cell>
        </row>
        <row r="2362">
          <cell r="A2362" t="str">
            <v>AMS-43221I21</v>
          </cell>
          <cell r="B2362" t="str">
            <v>1Z6469V00446838325</v>
          </cell>
          <cell r="C2362" t="str">
            <v>Brasiliense</v>
          </cell>
          <cell r="D2362" t="str">
            <v>UPS</v>
          </cell>
          <cell r="E2362" t="str">
            <v>Future</v>
          </cell>
          <cell r="F2362">
            <v>44393</v>
          </cell>
          <cell r="G2362">
            <v>44401</v>
          </cell>
          <cell r="H2362">
            <v>44403</v>
          </cell>
          <cell r="I2362" t="str">
            <v>21.07.2021</v>
          </cell>
          <cell r="J2362" t="str">
            <v>02.08.2021</v>
          </cell>
          <cell r="K2362" t="str">
            <v>23.07.2021</v>
          </cell>
          <cell r="L2362" t="str">
            <v>OK</v>
          </cell>
        </row>
        <row r="2363">
          <cell r="A2363" t="str">
            <v>AMS-43222I21</v>
          </cell>
          <cell r="B2363" t="str">
            <v>1Z6469V00448573616</v>
          </cell>
          <cell r="C2363" t="str">
            <v>Brasiliense</v>
          </cell>
          <cell r="D2363" t="str">
            <v>UPS</v>
          </cell>
          <cell r="E2363" t="str">
            <v>Future</v>
          </cell>
          <cell r="F2363">
            <v>44393</v>
          </cell>
          <cell r="G2363">
            <v>44401</v>
          </cell>
          <cell r="H2363">
            <v>44403</v>
          </cell>
          <cell r="I2363" t="str">
            <v>21.07.2021</v>
          </cell>
          <cell r="J2363" t="str">
            <v>02.08.2021</v>
          </cell>
          <cell r="K2363" t="str">
            <v>23.07.2021</v>
          </cell>
          <cell r="L2363" t="str">
            <v>OK</v>
          </cell>
        </row>
        <row r="2364">
          <cell r="A2364" t="str">
            <v>AMS-43223I21</v>
          </cell>
          <cell r="B2364" t="str">
            <v>1Z6469V00448665231</v>
          </cell>
          <cell r="C2364" t="str">
            <v>Brasiliense</v>
          </cell>
          <cell r="D2364" t="str">
            <v>UPS</v>
          </cell>
          <cell r="E2364" t="str">
            <v>Future</v>
          </cell>
          <cell r="F2364">
            <v>44393</v>
          </cell>
          <cell r="G2364">
            <v>44401</v>
          </cell>
          <cell r="H2364">
            <v>44403</v>
          </cell>
          <cell r="I2364" t="str">
            <v>21.07.2021</v>
          </cell>
          <cell r="J2364" t="str">
            <v>02.08.2021</v>
          </cell>
          <cell r="K2364" t="str">
            <v>23.07.2021</v>
          </cell>
          <cell r="L2364" t="str">
            <v>OK</v>
          </cell>
        </row>
        <row r="2365">
          <cell r="A2365" t="str">
            <v>AMS-43224I21</v>
          </cell>
          <cell r="B2365" t="str">
            <v>1Z6469V00448442043</v>
          </cell>
          <cell r="C2365" t="str">
            <v>Brasiliense</v>
          </cell>
          <cell r="D2365" t="str">
            <v>UPS</v>
          </cell>
          <cell r="E2365" t="str">
            <v>Future</v>
          </cell>
          <cell r="F2365">
            <v>44393</v>
          </cell>
          <cell r="G2365">
            <v>44401</v>
          </cell>
          <cell r="H2365">
            <v>44403</v>
          </cell>
          <cell r="I2365" t="str">
            <v>21.07.2021</v>
          </cell>
          <cell r="J2365" t="str">
            <v>02.08.2021</v>
          </cell>
          <cell r="K2365" t="str">
            <v>23.07.2021</v>
          </cell>
          <cell r="L2365" t="str">
            <v>OK</v>
          </cell>
        </row>
        <row r="2366">
          <cell r="A2366" t="str">
            <v>AMS-43404I21</v>
          </cell>
          <cell r="B2366" t="str">
            <v>1Z6469V00448140995</v>
          </cell>
          <cell r="C2366" t="str">
            <v>Brasiliense</v>
          </cell>
          <cell r="D2366" t="str">
            <v>UPS</v>
          </cell>
          <cell r="E2366" t="str">
            <v>Future</v>
          </cell>
          <cell r="F2366">
            <v>44406</v>
          </cell>
          <cell r="G2366">
            <v>44414</v>
          </cell>
          <cell r="H2366">
            <v>44416</v>
          </cell>
          <cell r="I2366" t="str">
            <v>02.08.2021</v>
          </cell>
          <cell r="J2366" t="str">
            <v>10.08.2021</v>
          </cell>
          <cell r="K2366" t="str">
            <v>02.08.2021</v>
          </cell>
          <cell r="L2366" t="str">
            <v>OK</v>
          </cell>
        </row>
        <row r="2367">
          <cell r="A2367" t="str">
            <v>AMS-43710I21</v>
          </cell>
          <cell r="B2367" t="str">
            <v>1Z6469V00447821715</v>
          </cell>
          <cell r="C2367" t="str">
            <v>Brasiliense</v>
          </cell>
          <cell r="D2367" t="str">
            <v>UPS</v>
          </cell>
          <cell r="E2367" t="str">
            <v>Future</v>
          </cell>
          <cell r="F2367">
            <v>44419</v>
          </cell>
          <cell r="G2367">
            <v>44427</v>
          </cell>
          <cell r="H2367">
            <v>44429</v>
          </cell>
          <cell r="I2367" t="str">
            <v>13.08.2021</v>
          </cell>
          <cell r="J2367" t="str">
            <v>25.08.2021</v>
          </cell>
          <cell r="K2367" t="str">
            <v>16.08.2021</v>
          </cell>
          <cell r="L2367" t="str">
            <v>OK</v>
          </cell>
        </row>
        <row r="2368">
          <cell r="A2368" t="str">
            <v>AMS-43711I21</v>
          </cell>
          <cell r="B2368" t="str">
            <v>1Z6469V00446360162</v>
          </cell>
          <cell r="C2368" t="str">
            <v>Brasiliense</v>
          </cell>
          <cell r="D2368" t="str">
            <v>UPS</v>
          </cell>
          <cell r="E2368" t="str">
            <v>Future</v>
          </cell>
          <cell r="F2368">
            <v>44419</v>
          </cell>
          <cell r="G2368">
            <v>44427</v>
          </cell>
          <cell r="H2368">
            <v>44429</v>
          </cell>
          <cell r="I2368" t="str">
            <v>13.08.2021</v>
          </cell>
          <cell r="J2368" t="str">
            <v>25.08.2021</v>
          </cell>
          <cell r="K2368" t="str">
            <v>16.08.2021</v>
          </cell>
          <cell r="L2368" t="str">
            <v>OK</v>
          </cell>
        </row>
        <row r="2369">
          <cell r="A2369" t="str">
            <v>AMS-43712I21</v>
          </cell>
          <cell r="B2369" t="str">
            <v>1Z6469V00446806949</v>
          </cell>
          <cell r="C2369" t="str">
            <v>Brasiliense</v>
          </cell>
          <cell r="D2369" t="str">
            <v>UPS</v>
          </cell>
          <cell r="E2369" t="str">
            <v>Future</v>
          </cell>
          <cell r="F2369">
            <v>44419</v>
          </cell>
          <cell r="G2369">
            <v>44427</v>
          </cell>
          <cell r="H2369">
            <v>44429</v>
          </cell>
          <cell r="I2369" t="str">
            <v>13.08.2021</v>
          </cell>
          <cell r="J2369" t="str">
            <v>25.08.2021</v>
          </cell>
          <cell r="K2369" t="str">
            <v>16.08.2021</v>
          </cell>
          <cell r="L2369" t="str">
            <v>OK</v>
          </cell>
        </row>
        <row r="2370">
          <cell r="A2370" t="str">
            <v>AMS-43713I21</v>
          </cell>
          <cell r="B2370" t="str">
            <v>1Z6469V00446940893</v>
          </cell>
          <cell r="C2370" t="str">
            <v>Brasiliense</v>
          </cell>
          <cell r="D2370" t="str">
            <v>UPS</v>
          </cell>
          <cell r="E2370" t="str">
            <v>Future</v>
          </cell>
          <cell r="F2370">
            <v>44419</v>
          </cell>
          <cell r="G2370">
            <v>44427</v>
          </cell>
          <cell r="H2370">
            <v>44429</v>
          </cell>
          <cell r="I2370" t="str">
            <v>13.08.2021</v>
          </cell>
          <cell r="J2370" t="str">
            <v>25.08.2021</v>
          </cell>
          <cell r="K2370" t="str">
            <v>16.08.2021</v>
          </cell>
          <cell r="L2370" t="str">
            <v>OK</v>
          </cell>
        </row>
        <row r="2371">
          <cell r="A2371" t="str">
            <v>AMS-42584I20</v>
          </cell>
          <cell r="B2371">
            <v>325109381</v>
          </cell>
          <cell r="C2371" t="str">
            <v>Brasiliense</v>
          </cell>
          <cell r="D2371" t="str">
            <v>ACTION CARGO</v>
          </cell>
          <cell r="E2371" t="str">
            <v>Technology</v>
          </cell>
          <cell r="F2371">
            <v>44000</v>
          </cell>
          <cell r="G2371">
            <v>44008</v>
          </cell>
          <cell r="H2371">
            <v>44010</v>
          </cell>
          <cell r="I2371" t="str">
            <v>01.07.2020</v>
          </cell>
          <cell r="J2371" t="str">
            <v>01.07.2020</v>
          </cell>
          <cell r="K2371" t="str">
            <v>-</v>
          </cell>
          <cell r="L2371" t="str">
            <v>OK</v>
          </cell>
        </row>
        <row r="2372">
          <cell r="A2372" t="str">
            <v>AMS-43128I20</v>
          </cell>
          <cell r="B2372">
            <v>328206782</v>
          </cell>
          <cell r="C2372" t="str">
            <v>Brasiliense</v>
          </cell>
          <cell r="D2372" t="str">
            <v>ACTION CARGO</v>
          </cell>
          <cell r="E2372" t="str">
            <v>Technology</v>
          </cell>
          <cell r="F2372">
            <v>44036</v>
          </cell>
          <cell r="G2372">
            <v>44044</v>
          </cell>
          <cell r="H2372">
            <v>44046</v>
          </cell>
          <cell r="I2372" t="str">
            <v>05.08.2020</v>
          </cell>
          <cell r="J2372" t="str">
            <v>05.08.2020</v>
          </cell>
          <cell r="K2372" t="str">
            <v>-</v>
          </cell>
          <cell r="L2372" t="str">
            <v>OK</v>
          </cell>
        </row>
        <row r="2373">
          <cell r="A2373" t="str">
            <v>AMS-43129I20</v>
          </cell>
          <cell r="B2373">
            <v>328211523</v>
          </cell>
          <cell r="C2373" t="str">
            <v>Brasiliense</v>
          </cell>
          <cell r="D2373" t="str">
            <v>ACTION CARGO</v>
          </cell>
          <cell r="E2373" t="str">
            <v>Technology</v>
          </cell>
          <cell r="F2373">
            <v>44036</v>
          </cell>
          <cell r="G2373">
            <v>44044</v>
          </cell>
          <cell r="H2373">
            <v>44046</v>
          </cell>
          <cell r="I2373" t="str">
            <v>05.08.2020</v>
          </cell>
          <cell r="J2373" t="str">
            <v>05.08.2020</v>
          </cell>
          <cell r="K2373" t="str">
            <v>-</v>
          </cell>
          <cell r="L2373" t="str">
            <v>OK</v>
          </cell>
        </row>
        <row r="2374">
          <cell r="A2374" t="str">
            <v>AMS-43300I20</v>
          </cell>
          <cell r="B2374">
            <v>329039546</v>
          </cell>
          <cell r="C2374" t="str">
            <v>Brasiliense</v>
          </cell>
          <cell r="D2374" t="str">
            <v>ACTION CARGO</v>
          </cell>
          <cell r="E2374" t="str">
            <v>Technology</v>
          </cell>
          <cell r="F2374">
            <v>44061</v>
          </cell>
          <cell r="G2374">
            <v>44069</v>
          </cell>
          <cell r="H2374">
            <v>44071</v>
          </cell>
          <cell r="I2374" t="str">
            <v>03.09.2020</v>
          </cell>
          <cell r="J2374" t="str">
            <v>03.09.2020</v>
          </cell>
          <cell r="K2374" t="str">
            <v>-</v>
          </cell>
          <cell r="L2374" t="str">
            <v>OK</v>
          </cell>
        </row>
        <row r="2375">
          <cell r="A2375" t="str">
            <v>AMS-43350I20</v>
          </cell>
          <cell r="B2375">
            <v>329519966</v>
          </cell>
          <cell r="C2375" t="str">
            <v>Brasiliense</v>
          </cell>
          <cell r="D2375" t="str">
            <v>ACTION CARGO</v>
          </cell>
          <cell r="E2375" t="str">
            <v>Technology</v>
          </cell>
          <cell r="F2375">
            <v>44068</v>
          </cell>
          <cell r="G2375">
            <v>44076</v>
          </cell>
          <cell r="H2375">
            <v>44078</v>
          </cell>
          <cell r="I2375" t="str">
            <v>03.09.2020</v>
          </cell>
          <cell r="J2375" t="str">
            <v>25.08.2020</v>
          </cell>
          <cell r="K2375" t="str">
            <v>-</v>
          </cell>
          <cell r="L2375" t="str">
            <v>OK</v>
          </cell>
        </row>
        <row r="2376">
          <cell r="A2376" t="str">
            <v>AMS-43415I20</v>
          </cell>
          <cell r="B2376">
            <v>329519967</v>
          </cell>
          <cell r="C2376" t="str">
            <v>Brasiliense</v>
          </cell>
          <cell r="D2376" t="str">
            <v>ACTION CARGO</v>
          </cell>
          <cell r="E2376" t="str">
            <v>Technology</v>
          </cell>
          <cell r="F2376">
            <v>44077</v>
          </cell>
          <cell r="G2376">
            <v>44085</v>
          </cell>
          <cell r="H2376">
            <v>44087</v>
          </cell>
          <cell r="I2376" t="str">
            <v>17.09.2020</v>
          </cell>
          <cell r="J2376" t="str">
            <v>09.09.2020</v>
          </cell>
          <cell r="K2376" t="str">
            <v>-</v>
          </cell>
          <cell r="L2376" t="str">
            <v>OK</v>
          </cell>
        </row>
        <row r="2377">
          <cell r="A2377" t="str">
            <v>AMS-43591I20</v>
          </cell>
          <cell r="B2377">
            <v>331085120</v>
          </cell>
          <cell r="C2377" t="str">
            <v>Brasiliense</v>
          </cell>
          <cell r="D2377" t="str">
            <v>ACTION CARGO</v>
          </cell>
          <cell r="E2377" t="str">
            <v>Technology</v>
          </cell>
          <cell r="F2377">
            <v>44082</v>
          </cell>
          <cell r="G2377">
            <v>44090</v>
          </cell>
          <cell r="H2377">
            <v>44092</v>
          </cell>
          <cell r="I2377" t="str">
            <v>17.09.2020</v>
          </cell>
          <cell r="J2377" t="str">
            <v>09.09.2020</v>
          </cell>
          <cell r="K2377" t="str">
            <v>-</v>
          </cell>
          <cell r="L2377" t="str">
            <v>OK</v>
          </cell>
        </row>
        <row r="2378">
          <cell r="A2378" t="str">
            <v>AMS-43648I20</v>
          </cell>
          <cell r="B2378" t="str">
            <v>41L0050519</v>
          </cell>
          <cell r="C2378" t="str">
            <v>Brasiliense</v>
          </cell>
          <cell r="D2378" t="str">
            <v>EXPEDITORS</v>
          </cell>
          <cell r="E2378" t="str">
            <v>Expeditors</v>
          </cell>
          <cell r="F2378">
            <v>44083</v>
          </cell>
          <cell r="G2378">
            <v>44091</v>
          </cell>
          <cell r="H2378">
            <v>44093</v>
          </cell>
          <cell r="I2378" t="str">
            <v>09.09.2020</v>
          </cell>
          <cell r="J2378" t="str">
            <v>09.09.2020</v>
          </cell>
          <cell r="K2378" t="str">
            <v>-</v>
          </cell>
          <cell r="L2378" t="str">
            <v>OK</v>
          </cell>
        </row>
        <row r="2379">
          <cell r="A2379" t="str">
            <v>AMS-43649I20</v>
          </cell>
          <cell r="B2379" t="str">
            <v>41L0050555</v>
          </cell>
          <cell r="C2379" t="str">
            <v>Brasiliense</v>
          </cell>
          <cell r="D2379" t="str">
            <v>EXPEDITORS</v>
          </cell>
          <cell r="E2379" t="str">
            <v>Expeditors</v>
          </cell>
          <cell r="F2379">
            <v>44083</v>
          </cell>
          <cell r="G2379">
            <v>44091</v>
          </cell>
          <cell r="H2379">
            <v>44093</v>
          </cell>
          <cell r="I2379" t="str">
            <v>09.09.2020</v>
          </cell>
          <cell r="J2379" t="str">
            <v>09.09.2020</v>
          </cell>
          <cell r="K2379" t="str">
            <v>-</v>
          </cell>
          <cell r="L2379" t="str">
            <v>OK</v>
          </cell>
        </row>
        <row r="2380">
          <cell r="A2380" t="str">
            <v>AMS-43650I20</v>
          </cell>
          <cell r="B2380" t="str">
            <v>41L0050554</v>
          </cell>
          <cell r="C2380" t="str">
            <v>Brasiliense</v>
          </cell>
          <cell r="D2380" t="str">
            <v>EXPEDITORS</v>
          </cell>
          <cell r="E2380" t="str">
            <v>Expeditors</v>
          </cell>
          <cell r="F2380">
            <v>44083</v>
          </cell>
          <cell r="G2380">
            <v>44091</v>
          </cell>
          <cell r="H2380">
            <v>44093</v>
          </cell>
          <cell r="I2380" t="str">
            <v>09.09.2020</v>
          </cell>
          <cell r="J2380" t="str">
            <v>09.09.2020</v>
          </cell>
          <cell r="K2380" t="str">
            <v>-</v>
          </cell>
          <cell r="L2380" t="str">
            <v>OK</v>
          </cell>
        </row>
        <row r="2381">
          <cell r="A2381" t="str">
            <v>AMS-43651I20</v>
          </cell>
          <cell r="B2381" t="str">
            <v>41L0050556</v>
          </cell>
          <cell r="C2381" t="str">
            <v>Brasiliense</v>
          </cell>
          <cell r="D2381" t="str">
            <v>EXPEDITORS</v>
          </cell>
          <cell r="E2381" t="str">
            <v>Expeditors</v>
          </cell>
          <cell r="F2381">
            <v>44083</v>
          </cell>
          <cell r="G2381">
            <v>44091</v>
          </cell>
          <cell r="H2381">
            <v>44093</v>
          </cell>
          <cell r="I2381" t="str">
            <v>09.09.2020</v>
          </cell>
          <cell r="J2381" t="str">
            <v>09.09.2020</v>
          </cell>
          <cell r="K2381" t="str">
            <v>-</v>
          </cell>
          <cell r="L2381" t="str">
            <v>OK</v>
          </cell>
        </row>
        <row r="2382">
          <cell r="A2382" t="str">
            <v>AMS-44138I20</v>
          </cell>
          <cell r="B2382" t="str">
            <v>41L0051749</v>
          </cell>
          <cell r="C2382" t="str">
            <v>Brasiliense</v>
          </cell>
          <cell r="D2382" t="str">
            <v>EXPEDITORS</v>
          </cell>
          <cell r="E2382" t="str">
            <v>Expeditors</v>
          </cell>
          <cell r="F2382">
            <v>44104</v>
          </cell>
          <cell r="G2382">
            <v>44112</v>
          </cell>
          <cell r="H2382">
            <v>44114</v>
          </cell>
          <cell r="I2382" t="str">
            <v>15.10.2020</v>
          </cell>
          <cell r="J2382" t="str">
            <v>09.10.2020</v>
          </cell>
          <cell r="K2382" t="str">
            <v>-</v>
          </cell>
          <cell r="L2382" t="str">
            <v>OK</v>
          </cell>
        </row>
        <row r="2383">
          <cell r="A2383" t="str">
            <v>AMS-44139I20</v>
          </cell>
          <cell r="B2383" t="str">
            <v>41L0051750</v>
          </cell>
          <cell r="C2383" t="str">
            <v>Brasiliense</v>
          </cell>
          <cell r="D2383" t="str">
            <v>EXPEDITORS</v>
          </cell>
          <cell r="E2383" t="str">
            <v>Expeditors</v>
          </cell>
          <cell r="F2383">
            <v>44104</v>
          </cell>
          <cell r="G2383">
            <v>44112</v>
          </cell>
          <cell r="H2383">
            <v>44114</v>
          </cell>
          <cell r="I2383" t="str">
            <v>15.10.2020</v>
          </cell>
          <cell r="J2383" t="str">
            <v>09.10.2020</v>
          </cell>
          <cell r="K2383" t="str">
            <v>-</v>
          </cell>
          <cell r="L2383" t="str">
            <v>OK</v>
          </cell>
        </row>
        <row r="2384">
          <cell r="A2384" t="str">
            <v>AMS-44884I20</v>
          </cell>
          <cell r="B2384" t="str">
            <v>41L0054444</v>
          </cell>
          <cell r="C2384" t="str">
            <v>Brasiliense</v>
          </cell>
          <cell r="D2384" t="str">
            <v>EXPEDITORS</v>
          </cell>
          <cell r="E2384" t="str">
            <v>Expeditors</v>
          </cell>
          <cell r="F2384">
            <v>44167</v>
          </cell>
          <cell r="G2384">
            <v>44175</v>
          </cell>
          <cell r="H2384">
            <v>44177</v>
          </cell>
          <cell r="I2384" t="str">
            <v>02.12.2020</v>
          </cell>
          <cell r="J2384" t="str">
            <v>03.12.2020</v>
          </cell>
          <cell r="K2384" t="str">
            <v>-</v>
          </cell>
          <cell r="L2384" t="str">
            <v>OK</v>
          </cell>
        </row>
        <row r="2385">
          <cell r="A2385" t="str">
            <v>AMS-44892I20</v>
          </cell>
          <cell r="B2385" t="str">
            <v>41L0054443</v>
          </cell>
          <cell r="C2385" t="str">
            <v>Brasiliense</v>
          </cell>
          <cell r="D2385" t="str">
            <v>EXPEDITORS</v>
          </cell>
          <cell r="E2385" t="str">
            <v>Expeditors</v>
          </cell>
          <cell r="F2385">
            <v>44167</v>
          </cell>
          <cell r="G2385">
            <v>44175</v>
          </cell>
          <cell r="H2385">
            <v>44177</v>
          </cell>
          <cell r="I2385" t="str">
            <v>02.12.2020</v>
          </cell>
          <cell r="J2385" t="str">
            <v>03.12.2020</v>
          </cell>
          <cell r="K2385" t="str">
            <v>-</v>
          </cell>
          <cell r="L2385" t="str">
            <v>OK</v>
          </cell>
        </row>
        <row r="2386">
          <cell r="A2386" t="str">
            <v>AMS-44895I20</v>
          </cell>
          <cell r="B2386" t="str">
            <v>41L0051797</v>
          </cell>
          <cell r="C2386" t="str">
            <v>Brasiliense</v>
          </cell>
          <cell r="D2386" t="str">
            <v>EXPEDITORS</v>
          </cell>
          <cell r="E2386" t="str">
            <v>Expeditors</v>
          </cell>
          <cell r="F2386">
            <v>44167</v>
          </cell>
          <cell r="G2386">
            <v>44175</v>
          </cell>
          <cell r="H2386">
            <v>44177</v>
          </cell>
          <cell r="I2386" t="str">
            <v>02.12.2020</v>
          </cell>
          <cell r="J2386" t="str">
            <v>03.12.2020</v>
          </cell>
          <cell r="K2386" t="str">
            <v>-</v>
          </cell>
          <cell r="L2386" t="str">
            <v>OK</v>
          </cell>
        </row>
        <row r="2387">
          <cell r="A2387" t="str">
            <v>AMS-44897I20</v>
          </cell>
          <cell r="B2387" t="str">
            <v>41L0054442</v>
          </cell>
          <cell r="C2387" t="str">
            <v>Brasiliense</v>
          </cell>
          <cell r="D2387" t="str">
            <v>EXPEDITORS</v>
          </cell>
          <cell r="E2387" t="str">
            <v>Expeditors</v>
          </cell>
          <cell r="F2387">
            <v>44167</v>
          </cell>
          <cell r="G2387">
            <v>44175</v>
          </cell>
          <cell r="H2387">
            <v>44177</v>
          </cell>
          <cell r="I2387" t="str">
            <v>02.12.2020</v>
          </cell>
          <cell r="J2387" t="str">
            <v>03.12.2020</v>
          </cell>
          <cell r="K2387" t="str">
            <v>-</v>
          </cell>
          <cell r="L2387" t="str">
            <v>OK</v>
          </cell>
        </row>
        <row r="2388">
          <cell r="A2388" t="str">
            <v>AMS-44945I20</v>
          </cell>
          <cell r="B2388">
            <v>340482319</v>
          </cell>
          <cell r="C2388" t="str">
            <v>Brasiliense</v>
          </cell>
          <cell r="D2388" t="str">
            <v>ACTION CARGO</v>
          </cell>
          <cell r="E2388" t="str">
            <v>Technology</v>
          </cell>
          <cell r="F2388">
            <v>44179</v>
          </cell>
          <cell r="G2388">
            <v>44187</v>
          </cell>
          <cell r="H2388">
            <v>44189</v>
          </cell>
          <cell r="I2388" t="str">
            <v>17.12.2020</v>
          </cell>
          <cell r="J2388" t="str">
            <v>14.12.2020</v>
          </cell>
          <cell r="K2388" t="str">
            <v>-</v>
          </cell>
          <cell r="L2388" t="str">
            <v>OK</v>
          </cell>
        </row>
        <row r="2389">
          <cell r="A2389" t="str">
            <v>AMS-44948I20</v>
          </cell>
          <cell r="B2389">
            <v>340480673</v>
          </cell>
          <cell r="C2389" t="str">
            <v>Brasiliense</v>
          </cell>
          <cell r="D2389" t="str">
            <v>ACTION CARGO</v>
          </cell>
          <cell r="E2389" t="str">
            <v>Technology</v>
          </cell>
          <cell r="F2389">
            <v>44179</v>
          </cell>
          <cell r="G2389">
            <v>44187</v>
          </cell>
          <cell r="H2389">
            <v>44189</v>
          </cell>
          <cell r="I2389" t="str">
            <v>17.12.2020</v>
          </cell>
          <cell r="J2389" t="str">
            <v>14.12.2020</v>
          </cell>
          <cell r="K2389" t="str">
            <v>-</v>
          </cell>
          <cell r="L2389" t="str">
            <v>OK</v>
          </cell>
        </row>
        <row r="2390">
          <cell r="A2390" t="str">
            <v>AMS-44949I20</v>
          </cell>
          <cell r="B2390">
            <v>340484457</v>
          </cell>
          <cell r="C2390" t="str">
            <v>Brasiliense</v>
          </cell>
          <cell r="D2390" t="str">
            <v>ACTION CARGO</v>
          </cell>
          <cell r="E2390" t="str">
            <v>Technology</v>
          </cell>
          <cell r="F2390">
            <v>44176</v>
          </cell>
          <cell r="G2390">
            <v>44184</v>
          </cell>
          <cell r="H2390">
            <v>44186</v>
          </cell>
          <cell r="I2390" t="str">
            <v>17.12.2020</v>
          </cell>
          <cell r="J2390" t="str">
            <v>14.12.2020</v>
          </cell>
          <cell r="K2390" t="str">
            <v>-</v>
          </cell>
          <cell r="L2390" t="str">
            <v>OK</v>
          </cell>
        </row>
        <row r="2391">
          <cell r="A2391" t="str">
            <v>AMS-44978I20</v>
          </cell>
          <cell r="B2391">
            <v>340581062</v>
          </cell>
          <cell r="C2391" t="str">
            <v>Brasiliense</v>
          </cell>
          <cell r="D2391" t="str">
            <v>ACTION CARGO</v>
          </cell>
          <cell r="E2391" t="str">
            <v>Technology</v>
          </cell>
          <cell r="F2391">
            <v>44183</v>
          </cell>
          <cell r="G2391">
            <v>44191</v>
          </cell>
          <cell r="H2391">
            <v>44193</v>
          </cell>
          <cell r="I2391" t="str">
            <v>17.12.2020</v>
          </cell>
          <cell r="J2391" t="str">
            <v>18.12.2020</v>
          </cell>
          <cell r="K2391" t="str">
            <v>-</v>
          </cell>
          <cell r="L2391" t="str">
            <v>OK</v>
          </cell>
        </row>
        <row r="2392">
          <cell r="A2392" t="str">
            <v>AMS-44979I20</v>
          </cell>
          <cell r="B2392">
            <v>340580719</v>
          </cell>
          <cell r="C2392" t="str">
            <v>Brasiliense</v>
          </cell>
          <cell r="D2392" t="str">
            <v>ACTION CARGO</v>
          </cell>
          <cell r="E2392" t="str">
            <v>Technology</v>
          </cell>
          <cell r="F2392">
            <v>44183</v>
          </cell>
          <cell r="G2392">
            <v>44191</v>
          </cell>
          <cell r="H2392">
            <v>44193</v>
          </cell>
          <cell r="I2392" t="str">
            <v>17.12.2020</v>
          </cell>
          <cell r="J2392" t="str">
            <v>18.12.2020</v>
          </cell>
          <cell r="K2392" t="str">
            <v>-</v>
          </cell>
          <cell r="L2392" t="str">
            <v>OK</v>
          </cell>
        </row>
        <row r="2393">
          <cell r="A2393" t="str">
            <v>AMS-44980I20</v>
          </cell>
          <cell r="B2393">
            <v>340488002</v>
          </cell>
          <cell r="C2393" t="str">
            <v>Brasiliense</v>
          </cell>
          <cell r="D2393" t="str">
            <v>ACTION CARGO</v>
          </cell>
          <cell r="E2393" t="str">
            <v>Technology</v>
          </cell>
          <cell r="F2393">
            <v>44182</v>
          </cell>
          <cell r="G2393">
            <v>44190</v>
          </cell>
          <cell r="H2393">
            <v>44192</v>
          </cell>
          <cell r="I2393" t="str">
            <v>17.12.2020</v>
          </cell>
          <cell r="J2393" t="str">
            <v>18.12.2020</v>
          </cell>
          <cell r="K2393" t="str">
            <v>-</v>
          </cell>
          <cell r="L2393" t="str">
            <v>OK</v>
          </cell>
        </row>
        <row r="2394">
          <cell r="A2394" t="str">
            <v>AMS-44981I20</v>
          </cell>
          <cell r="B2394">
            <v>340581714</v>
          </cell>
          <cell r="C2394" t="str">
            <v>Brasiliense</v>
          </cell>
          <cell r="D2394" t="str">
            <v>ACTION CARGO</v>
          </cell>
          <cell r="E2394" t="str">
            <v>Technology</v>
          </cell>
          <cell r="F2394">
            <v>44182</v>
          </cell>
          <cell r="G2394">
            <v>44190</v>
          </cell>
          <cell r="H2394">
            <v>44192</v>
          </cell>
          <cell r="I2394" t="str">
            <v>17.12.2020</v>
          </cell>
          <cell r="J2394" t="str">
            <v>18.12.2020</v>
          </cell>
          <cell r="K2394" t="str">
            <v>-</v>
          </cell>
          <cell r="L2394" t="str">
            <v>OK</v>
          </cell>
        </row>
        <row r="2395">
          <cell r="A2395" t="str">
            <v>AMS-44982I20</v>
          </cell>
          <cell r="B2395">
            <v>340582053</v>
          </cell>
          <cell r="C2395" t="str">
            <v>Brasiliense</v>
          </cell>
          <cell r="D2395" t="str">
            <v>ACTION CARGO</v>
          </cell>
          <cell r="E2395" t="str">
            <v>Technology</v>
          </cell>
          <cell r="F2395">
            <v>44183</v>
          </cell>
          <cell r="G2395">
            <v>44191</v>
          </cell>
          <cell r="H2395">
            <v>44193</v>
          </cell>
          <cell r="I2395" t="str">
            <v>17.12.2020</v>
          </cell>
          <cell r="J2395" t="str">
            <v>18.12.2020</v>
          </cell>
          <cell r="K2395" t="str">
            <v>-</v>
          </cell>
          <cell r="L2395" t="str">
            <v>OK</v>
          </cell>
        </row>
        <row r="2396">
          <cell r="A2396" t="str">
            <v>AMS-44990I20</v>
          </cell>
          <cell r="B2396">
            <v>340575539</v>
          </cell>
          <cell r="C2396" t="str">
            <v>Brasiliense</v>
          </cell>
          <cell r="D2396" t="str">
            <v>ACTION CARGO</v>
          </cell>
          <cell r="E2396" t="str">
            <v>Technology</v>
          </cell>
          <cell r="F2396">
            <v>44181</v>
          </cell>
          <cell r="G2396">
            <v>44189</v>
          </cell>
          <cell r="H2396">
            <v>44191</v>
          </cell>
          <cell r="I2396" t="str">
            <v>17.12.2020</v>
          </cell>
          <cell r="J2396" t="str">
            <v>18.12.2020</v>
          </cell>
          <cell r="K2396" t="str">
            <v>-</v>
          </cell>
          <cell r="L2396" t="str">
            <v>OK</v>
          </cell>
        </row>
        <row r="2397">
          <cell r="A2397" t="str">
            <v>AMS-44991I20</v>
          </cell>
          <cell r="B2397">
            <v>340576022</v>
          </cell>
          <cell r="C2397" t="str">
            <v>Brasiliense</v>
          </cell>
          <cell r="D2397" t="str">
            <v>ACTION CARGO</v>
          </cell>
          <cell r="E2397" t="str">
            <v>Technology</v>
          </cell>
          <cell r="F2397">
            <v>44181</v>
          </cell>
          <cell r="G2397">
            <v>44189</v>
          </cell>
          <cell r="H2397">
            <v>44191</v>
          </cell>
          <cell r="I2397" t="str">
            <v>17.12.2020</v>
          </cell>
          <cell r="J2397" t="str">
            <v>18.12.2020</v>
          </cell>
          <cell r="K2397" t="str">
            <v>-</v>
          </cell>
          <cell r="L2397" t="str">
            <v>OK</v>
          </cell>
        </row>
        <row r="2398">
          <cell r="A2398" t="str">
            <v>AMS-44992I20</v>
          </cell>
          <cell r="B2398">
            <v>340574380</v>
          </cell>
          <cell r="C2398" t="str">
            <v>Brasiliense</v>
          </cell>
          <cell r="D2398" t="str">
            <v>ACTION CARGO</v>
          </cell>
          <cell r="E2398" t="str">
            <v>Technology</v>
          </cell>
          <cell r="F2398">
            <v>44181</v>
          </cell>
          <cell r="G2398">
            <v>44189</v>
          </cell>
          <cell r="H2398">
            <v>44191</v>
          </cell>
          <cell r="I2398" t="str">
            <v>17.12.2020</v>
          </cell>
          <cell r="J2398" t="str">
            <v>18.12.2020</v>
          </cell>
          <cell r="K2398" t="str">
            <v>-</v>
          </cell>
          <cell r="L2398" t="str">
            <v>OK</v>
          </cell>
        </row>
        <row r="2399">
          <cell r="A2399" t="str">
            <v>AMS-44993I20</v>
          </cell>
          <cell r="B2399">
            <v>340612081</v>
          </cell>
          <cell r="C2399" t="str">
            <v>Brasiliense</v>
          </cell>
          <cell r="D2399" t="str">
            <v>ACTION CARGO</v>
          </cell>
          <cell r="E2399" t="str">
            <v>Technology</v>
          </cell>
          <cell r="F2399">
            <v>44180</v>
          </cell>
          <cell r="G2399">
            <v>44188</v>
          </cell>
          <cell r="H2399">
            <v>44190</v>
          </cell>
          <cell r="I2399" t="str">
            <v>17.12.2020</v>
          </cell>
          <cell r="J2399" t="str">
            <v>18.12.2020</v>
          </cell>
          <cell r="K2399" t="str">
            <v>-</v>
          </cell>
          <cell r="L2399" t="str">
            <v>OK</v>
          </cell>
        </row>
        <row r="2400">
          <cell r="A2400" t="str">
            <v>AMS-44994I20</v>
          </cell>
          <cell r="B2400">
            <v>340612268</v>
          </cell>
          <cell r="C2400" t="str">
            <v>Brasiliense</v>
          </cell>
          <cell r="D2400" t="str">
            <v>ACTION CARGO</v>
          </cell>
          <cell r="E2400" t="str">
            <v>Technology</v>
          </cell>
          <cell r="F2400">
            <v>44180</v>
          </cell>
          <cell r="G2400">
            <v>44188</v>
          </cell>
          <cell r="H2400">
            <v>44190</v>
          </cell>
          <cell r="I2400" t="str">
            <v>17.12.2020</v>
          </cell>
          <cell r="J2400" t="str">
            <v>18.12.2020</v>
          </cell>
          <cell r="K2400" t="str">
            <v>-</v>
          </cell>
          <cell r="L2400" t="str">
            <v>OK</v>
          </cell>
        </row>
        <row r="2401">
          <cell r="A2401" t="str">
            <v>AMS-44995I20</v>
          </cell>
          <cell r="B2401">
            <v>340486985</v>
          </cell>
          <cell r="C2401" t="str">
            <v>Brasiliense</v>
          </cell>
          <cell r="D2401" t="str">
            <v>ACTION CARGO</v>
          </cell>
          <cell r="E2401" t="str">
            <v>Technology</v>
          </cell>
          <cell r="F2401">
            <v>44176</v>
          </cell>
          <cell r="G2401">
            <v>44184</v>
          </cell>
          <cell r="H2401">
            <v>44186</v>
          </cell>
          <cell r="I2401" t="str">
            <v>17.12.2020</v>
          </cell>
          <cell r="J2401" t="str">
            <v>18.12.2020</v>
          </cell>
          <cell r="K2401" t="str">
            <v>-</v>
          </cell>
          <cell r="L2401" t="str">
            <v>OK</v>
          </cell>
        </row>
        <row r="2402">
          <cell r="A2402" t="str">
            <v>AMS-44997I20</v>
          </cell>
          <cell r="B2402">
            <v>340580101</v>
          </cell>
          <cell r="C2402" t="str">
            <v>Brasiliense</v>
          </cell>
          <cell r="D2402" t="str">
            <v>ACTION CARGO</v>
          </cell>
          <cell r="E2402" t="str">
            <v>Technology</v>
          </cell>
          <cell r="F2402">
            <v>44183</v>
          </cell>
          <cell r="G2402">
            <v>44191</v>
          </cell>
          <cell r="H2402">
            <v>44193</v>
          </cell>
          <cell r="I2402" t="str">
            <v>18.12.2020</v>
          </cell>
          <cell r="J2402" t="str">
            <v>06.01.2021</v>
          </cell>
          <cell r="K2402" t="str">
            <v>-</v>
          </cell>
          <cell r="L2402" t="str">
            <v>OK</v>
          </cell>
        </row>
        <row r="2403">
          <cell r="A2403" t="str">
            <v>AMS-44998I20</v>
          </cell>
          <cell r="B2403">
            <v>340640005</v>
          </cell>
          <cell r="C2403" t="str">
            <v>Brasiliense</v>
          </cell>
          <cell r="D2403" t="str">
            <v>ACTION CARGO</v>
          </cell>
          <cell r="E2403" t="str">
            <v>Technology</v>
          </cell>
          <cell r="F2403">
            <v>44182</v>
          </cell>
          <cell r="G2403">
            <v>44190</v>
          </cell>
          <cell r="H2403">
            <v>44192</v>
          </cell>
          <cell r="I2403" t="str">
            <v>17.12.2020</v>
          </cell>
          <cell r="J2403" t="str">
            <v>18.12.2020</v>
          </cell>
          <cell r="K2403" t="str">
            <v>-</v>
          </cell>
          <cell r="L2403" t="str">
            <v>OK</v>
          </cell>
        </row>
        <row r="2404">
          <cell r="A2404" t="str">
            <v>AMS-44999I20</v>
          </cell>
          <cell r="B2404">
            <v>340639988</v>
          </cell>
          <cell r="C2404" t="str">
            <v>Brasiliense</v>
          </cell>
          <cell r="D2404" t="str">
            <v>ACTION CARGO</v>
          </cell>
          <cell r="E2404" t="str">
            <v>Technology</v>
          </cell>
          <cell r="F2404">
            <v>44182</v>
          </cell>
          <cell r="G2404">
            <v>44190</v>
          </cell>
          <cell r="H2404">
            <v>44192</v>
          </cell>
          <cell r="I2404" t="str">
            <v>17.12.2020</v>
          </cell>
          <cell r="J2404" t="str">
            <v>18.12.2020</v>
          </cell>
          <cell r="K2404" t="str">
            <v>-</v>
          </cell>
          <cell r="L2404" t="str">
            <v>OK</v>
          </cell>
        </row>
        <row r="2405">
          <cell r="A2405" t="str">
            <v>AMS-45124I20</v>
          </cell>
          <cell r="B2405">
            <v>340612384</v>
          </cell>
          <cell r="C2405" t="str">
            <v>Brasiliense</v>
          </cell>
          <cell r="D2405" t="str">
            <v>ACTION CARGO</v>
          </cell>
          <cell r="E2405" t="str">
            <v>Technology</v>
          </cell>
          <cell r="F2405">
            <v>44181</v>
          </cell>
          <cell r="G2405">
            <v>44189</v>
          </cell>
          <cell r="H2405">
            <v>44191</v>
          </cell>
          <cell r="I2405" t="str">
            <v>17.12.2020</v>
          </cell>
          <cell r="J2405" t="str">
            <v>18.12.2020</v>
          </cell>
          <cell r="K2405" t="str">
            <v>-</v>
          </cell>
          <cell r="L2405" t="str">
            <v>OK</v>
          </cell>
        </row>
        <row r="2406">
          <cell r="A2406" t="str">
            <v>AMS-45532I20</v>
          </cell>
          <cell r="B2406">
            <v>417555447</v>
          </cell>
          <cell r="C2406" t="str">
            <v>Original</v>
          </cell>
          <cell r="D2406" t="str">
            <v>Expeditors</v>
          </cell>
          <cell r="E2406" t="str">
            <v>Expeditors</v>
          </cell>
          <cell r="F2406">
            <v>44207</v>
          </cell>
          <cell r="G2406">
            <v>44215</v>
          </cell>
          <cell r="H2406">
            <v>44217</v>
          </cell>
          <cell r="I2406" t="str">
            <v>04.02.2021</v>
          </cell>
          <cell r="J2406" t="str">
            <v>03.02.2021</v>
          </cell>
          <cell r="K2406" t="str">
            <v>-</v>
          </cell>
          <cell r="L2406" t="str">
            <v>OK</v>
          </cell>
        </row>
        <row r="2407">
          <cell r="A2407" t="str">
            <v>AMS-45533I20</v>
          </cell>
          <cell r="B2407">
            <v>417555448</v>
          </cell>
          <cell r="C2407" t="str">
            <v>Original</v>
          </cell>
          <cell r="D2407" t="str">
            <v>Expeditors</v>
          </cell>
          <cell r="E2407" t="str">
            <v>Expeditors</v>
          </cell>
          <cell r="F2407">
            <v>44207</v>
          </cell>
          <cell r="G2407">
            <v>44215</v>
          </cell>
          <cell r="H2407">
            <v>44217</v>
          </cell>
          <cell r="I2407" t="str">
            <v>04.02.2021</v>
          </cell>
          <cell r="J2407" t="str">
            <v>03.02.2021</v>
          </cell>
          <cell r="K2407" t="str">
            <v>-</v>
          </cell>
          <cell r="L2407" t="str">
            <v>OK</v>
          </cell>
        </row>
        <row r="2408">
          <cell r="A2408" t="str">
            <v>AMS-45534I20</v>
          </cell>
          <cell r="B2408">
            <v>417555449</v>
          </cell>
          <cell r="C2408" t="str">
            <v>Original</v>
          </cell>
          <cell r="D2408" t="str">
            <v>Expeditors</v>
          </cell>
          <cell r="E2408" t="str">
            <v>Expeditors</v>
          </cell>
          <cell r="F2408">
            <v>44207</v>
          </cell>
          <cell r="G2408">
            <v>44215</v>
          </cell>
          <cell r="H2408">
            <v>44217</v>
          </cell>
          <cell r="I2408" t="str">
            <v>04.02.2021</v>
          </cell>
          <cell r="J2408" t="str">
            <v>03.02.2021</v>
          </cell>
          <cell r="K2408" t="str">
            <v>-</v>
          </cell>
          <cell r="L2408" t="str">
            <v>OK</v>
          </cell>
        </row>
        <row r="2409">
          <cell r="A2409" t="str">
            <v>AMS-45535I20</v>
          </cell>
          <cell r="B2409">
            <v>417555446</v>
          </cell>
          <cell r="C2409" t="str">
            <v>Original</v>
          </cell>
          <cell r="D2409" t="str">
            <v>Expeditors</v>
          </cell>
          <cell r="E2409" t="str">
            <v>Expeditors</v>
          </cell>
          <cell r="F2409">
            <v>44207</v>
          </cell>
          <cell r="G2409">
            <v>44215</v>
          </cell>
          <cell r="H2409">
            <v>44217</v>
          </cell>
          <cell r="I2409" t="str">
            <v>04.02.2021</v>
          </cell>
          <cell r="J2409" t="str">
            <v>03.02.2021</v>
          </cell>
          <cell r="K2409" t="str">
            <v>-</v>
          </cell>
          <cell r="L2409" t="str">
            <v>OK</v>
          </cell>
        </row>
        <row r="2410">
          <cell r="A2410" t="str">
            <v>AMS-40023I21</v>
          </cell>
          <cell r="B2410" t="str">
            <v>41l0056596</v>
          </cell>
          <cell r="C2410" t="str">
            <v>Original</v>
          </cell>
          <cell r="D2410" t="str">
            <v>Expeditors</v>
          </cell>
          <cell r="E2410" t="str">
            <v>Expeditors</v>
          </cell>
          <cell r="F2410">
            <v>44214</v>
          </cell>
          <cell r="G2410">
            <v>44222</v>
          </cell>
          <cell r="H2410">
            <v>44224</v>
          </cell>
          <cell r="I2410" t="str">
            <v>04.02.2021</v>
          </cell>
          <cell r="J2410" t="str">
            <v>25.01.2021</v>
          </cell>
          <cell r="K2410" t="str">
            <v>-</v>
          </cell>
          <cell r="L2410" t="str">
            <v>OK</v>
          </cell>
        </row>
        <row r="2411">
          <cell r="A2411" t="str">
            <v>AMS-40440I21</v>
          </cell>
          <cell r="B2411" t="str">
            <v>41L0057737</v>
          </cell>
          <cell r="C2411" t="str">
            <v>Original</v>
          </cell>
          <cell r="D2411" t="str">
            <v>Expeditors</v>
          </cell>
          <cell r="E2411" t="str">
            <v>Expeditors</v>
          </cell>
          <cell r="F2411">
            <v>44237</v>
          </cell>
          <cell r="G2411">
            <v>44245</v>
          </cell>
          <cell r="H2411">
            <v>44247</v>
          </cell>
          <cell r="I2411" t="str">
            <v>23.02.2021</v>
          </cell>
          <cell r="J2411" t="str">
            <v>15.02.2021</v>
          </cell>
          <cell r="K2411" t="str">
            <v>-</v>
          </cell>
          <cell r="L2411" t="str">
            <v>OK</v>
          </cell>
        </row>
        <row r="2412">
          <cell r="A2412" t="str">
            <v>AMS-40468I21</v>
          </cell>
          <cell r="B2412" t="str">
            <v>41L0057971</v>
          </cell>
          <cell r="C2412" t="str">
            <v>Original</v>
          </cell>
          <cell r="D2412" t="str">
            <v>Expeditors</v>
          </cell>
          <cell r="E2412" t="str">
            <v>Expeditors</v>
          </cell>
          <cell r="F2412">
            <v>44249</v>
          </cell>
          <cell r="G2412">
            <v>44257</v>
          </cell>
          <cell r="H2412">
            <v>44259</v>
          </cell>
          <cell r="I2412" t="str">
            <v>23.02.2021</v>
          </cell>
          <cell r="J2412" t="str">
            <v>23.02.2021</v>
          </cell>
          <cell r="K2412" t="str">
            <v>-</v>
          </cell>
          <cell r="L2412" t="str">
            <v>OK</v>
          </cell>
        </row>
        <row r="2413">
          <cell r="A2413" t="str">
            <v>AMS-42344I21</v>
          </cell>
          <cell r="B2413" t="str">
            <v>41L0063537</v>
          </cell>
          <cell r="C2413" t="str">
            <v>Original</v>
          </cell>
          <cell r="D2413" t="str">
            <v>Expeditors</v>
          </cell>
          <cell r="E2413" t="str">
            <v>NASIF</v>
          </cell>
          <cell r="F2413">
            <v>44356</v>
          </cell>
          <cell r="G2413">
            <v>44364</v>
          </cell>
          <cell r="H2413">
            <v>44366</v>
          </cell>
          <cell r="I2413" t="str">
            <v>22.06.2021</v>
          </cell>
          <cell r="J2413" t="str">
            <v>09.06.2021</v>
          </cell>
          <cell r="K2413" t="str">
            <v>-</v>
          </cell>
          <cell r="L2413" t="str">
            <v>OK</v>
          </cell>
        </row>
        <row r="2414">
          <cell r="A2414" t="str">
            <v>AMS-42345I21</v>
          </cell>
          <cell r="B2414" t="str">
            <v>41L0063535</v>
          </cell>
          <cell r="C2414" t="str">
            <v>Original</v>
          </cell>
          <cell r="D2414" t="str">
            <v>Expeditors</v>
          </cell>
          <cell r="E2414" t="str">
            <v>NASIF</v>
          </cell>
          <cell r="F2414">
            <v>44356</v>
          </cell>
          <cell r="G2414">
            <v>44364</v>
          </cell>
          <cell r="H2414">
            <v>44366</v>
          </cell>
          <cell r="I2414" t="str">
            <v>22.06.2021</v>
          </cell>
          <cell r="J2414" t="str">
            <v>09.06.2021</v>
          </cell>
          <cell r="K2414" t="str">
            <v>-</v>
          </cell>
          <cell r="L2414" t="str">
            <v>OK</v>
          </cell>
        </row>
        <row r="2415">
          <cell r="A2415" t="str">
            <v>AMS-42421I21</v>
          </cell>
          <cell r="B2415" t="str">
            <v>41L0063538</v>
          </cell>
          <cell r="C2415" t="str">
            <v>Original</v>
          </cell>
          <cell r="D2415" t="str">
            <v>Expeditors</v>
          </cell>
          <cell r="E2415" t="str">
            <v>NASIF</v>
          </cell>
          <cell r="F2415">
            <v>44356</v>
          </cell>
          <cell r="G2415">
            <v>44364</v>
          </cell>
          <cell r="H2415">
            <v>44366</v>
          </cell>
          <cell r="I2415" t="str">
            <v>22.06.2021</v>
          </cell>
          <cell r="J2415" t="str">
            <v>09.06.2021</v>
          </cell>
          <cell r="K2415" t="str">
            <v>-</v>
          </cell>
          <cell r="L2415" t="str">
            <v>OK</v>
          </cell>
        </row>
        <row r="2416">
          <cell r="A2416" t="str">
            <v>AMS-42425I21</v>
          </cell>
          <cell r="B2416" t="str">
            <v>41L0063539</v>
          </cell>
          <cell r="C2416" t="str">
            <v>Original</v>
          </cell>
          <cell r="D2416" t="str">
            <v>Expeditors</v>
          </cell>
          <cell r="E2416" t="str">
            <v>NASIF</v>
          </cell>
          <cell r="F2416">
            <v>44356</v>
          </cell>
          <cell r="G2416">
            <v>44364</v>
          </cell>
          <cell r="H2416">
            <v>44366</v>
          </cell>
          <cell r="I2416" t="str">
            <v>22.06.2021</v>
          </cell>
          <cell r="J2416" t="str">
            <v>09.06.2021</v>
          </cell>
          <cell r="K2416" t="str">
            <v>-</v>
          </cell>
          <cell r="L2416" t="str">
            <v>OK</v>
          </cell>
        </row>
        <row r="2417">
          <cell r="A2417" t="str">
            <v>AMS-42463I21</v>
          </cell>
          <cell r="B2417">
            <v>417556791</v>
          </cell>
          <cell r="C2417" t="str">
            <v>Original</v>
          </cell>
          <cell r="D2417" t="str">
            <v>Expeditors</v>
          </cell>
          <cell r="E2417" t="str">
            <v>Expeditors</v>
          </cell>
          <cell r="F2417">
            <v>44361</v>
          </cell>
          <cell r="G2417">
            <v>44369</v>
          </cell>
          <cell r="H2417">
            <v>44371</v>
          </cell>
          <cell r="I2417" t="str">
            <v>22.06.2021</v>
          </cell>
          <cell r="J2417" t="str">
            <v>15.06.2021</v>
          </cell>
          <cell r="K2417" t="str">
            <v>-</v>
          </cell>
          <cell r="L2417" t="str">
            <v>OK</v>
          </cell>
        </row>
        <row r="2418">
          <cell r="A2418" t="str">
            <v>AMS-42464I21</v>
          </cell>
          <cell r="B2418">
            <v>417556792</v>
          </cell>
          <cell r="C2418" t="str">
            <v>Original</v>
          </cell>
          <cell r="D2418" t="str">
            <v>Expeditors</v>
          </cell>
          <cell r="E2418" t="str">
            <v>Expeditors</v>
          </cell>
          <cell r="F2418">
            <v>44361</v>
          </cell>
          <cell r="G2418">
            <v>44369</v>
          </cell>
          <cell r="H2418">
            <v>44371</v>
          </cell>
          <cell r="I2418" t="str">
            <v>22.06.2021</v>
          </cell>
          <cell r="J2418" t="str">
            <v>15.06.2021</v>
          </cell>
          <cell r="K2418" t="str">
            <v>-</v>
          </cell>
          <cell r="L2418" t="str">
            <v>OK</v>
          </cell>
        </row>
        <row r="2419">
          <cell r="A2419" t="str">
            <v>AMS-42465I21</v>
          </cell>
          <cell r="B2419">
            <v>417556793</v>
          </cell>
          <cell r="C2419" t="str">
            <v>Original</v>
          </cell>
          <cell r="D2419" t="str">
            <v>Expeditors</v>
          </cell>
          <cell r="E2419" t="str">
            <v>Expeditors</v>
          </cell>
          <cell r="F2419">
            <v>44361</v>
          </cell>
          <cell r="G2419">
            <v>44369</v>
          </cell>
          <cell r="H2419">
            <v>44371</v>
          </cell>
          <cell r="I2419" t="str">
            <v>22.06.2021</v>
          </cell>
          <cell r="J2419" t="str">
            <v>15.06.2021</v>
          </cell>
          <cell r="K2419" t="str">
            <v>-</v>
          </cell>
          <cell r="L2419" t="str">
            <v>OK</v>
          </cell>
        </row>
        <row r="2420">
          <cell r="A2420" t="str">
            <v>AMS-42466I21</v>
          </cell>
          <cell r="B2420">
            <v>417556794</v>
          </cell>
          <cell r="C2420" t="str">
            <v>Original</v>
          </cell>
          <cell r="D2420" t="str">
            <v>Expeditors</v>
          </cell>
          <cell r="E2420" t="str">
            <v>Expeditors</v>
          </cell>
          <cell r="F2420">
            <v>44361</v>
          </cell>
          <cell r="G2420">
            <v>44369</v>
          </cell>
          <cell r="H2420">
            <v>44371</v>
          </cell>
          <cell r="I2420" t="str">
            <v>22.06.2021</v>
          </cell>
          <cell r="J2420" t="str">
            <v>15.06.2021</v>
          </cell>
          <cell r="K2420" t="str">
            <v>-</v>
          </cell>
          <cell r="L2420" t="str">
            <v>OK</v>
          </cell>
        </row>
        <row r="2421">
          <cell r="A2421" t="str">
            <v>AMS-42768I21</v>
          </cell>
          <cell r="B2421" t="str">
            <v>41L0065105</v>
          </cell>
          <cell r="C2421" t="str">
            <v>Original</v>
          </cell>
          <cell r="D2421" t="str">
            <v>Expeditors</v>
          </cell>
          <cell r="E2421" t="str">
            <v>Expeditors</v>
          </cell>
          <cell r="F2421">
            <v>44377</v>
          </cell>
          <cell r="G2421">
            <v>44385</v>
          </cell>
          <cell r="H2421">
            <v>44387</v>
          </cell>
          <cell r="I2421" t="str">
            <v>05.07.2021</v>
          </cell>
          <cell r="J2421" t="str">
            <v>01.07.2021</v>
          </cell>
          <cell r="K2421" t="str">
            <v>-</v>
          </cell>
          <cell r="L2421" t="str">
            <v>OK</v>
          </cell>
        </row>
        <row r="2422">
          <cell r="A2422" t="str">
            <v>AMS-42769I21</v>
          </cell>
          <cell r="B2422" t="str">
            <v>41L0065104</v>
          </cell>
          <cell r="C2422" t="str">
            <v>Original</v>
          </cell>
          <cell r="D2422" t="str">
            <v>Expeditors</v>
          </cell>
          <cell r="E2422" t="str">
            <v>Expeditors</v>
          </cell>
          <cell r="F2422">
            <v>44378</v>
          </cell>
          <cell r="G2422">
            <v>44386</v>
          </cell>
          <cell r="H2422">
            <v>44388</v>
          </cell>
          <cell r="I2422" t="str">
            <v>05.07.2021</v>
          </cell>
          <cell r="J2422" t="str">
            <v>01.07.2021</v>
          </cell>
          <cell r="K2422" t="str">
            <v>-</v>
          </cell>
          <cell r="L2422" t="str">
            <v>OK</v>
          </cell>
        </row>
        <row r="2423">
          <cell r="A2423" t="str">
            <v>AMS-42770I21</v>
          </cell>
          <cell r="B2423" t="str">
            <v>41L0065101</v>
          </cell>
          <cell r="C2423" t="str">
            <v>Original</v>
          </cell>
          <cell r="D2423" t="str">
            <v>Expeditors</v>
          </cell>
          <cell r="E2423" t="str">
            <v>Expeditors</v>
          </cell>
          <cell r="F2423">
            <v>44377</v>
          </cell>
          <cell r="G2423">
            <v>44385</v>
          </cell>
          <cell r="H2423">
            <v>44387</v>
          </cell>
          <cell r="I2423" t="str">
            <v>05.07.2021</v>
          </cell>
          <cell r="J2423" t="str">
            <v>01.07.2021</v>
          </cell>
          <cell r="K2423" t="str">
            <v>-</v>
          </cell>
          <cell r="L2423" t="str">
            <v>OK</v>
          </cell>
        </row>
        <row r="2424">
          <cell r="A2424" t="str">
            <v>AMS-42771I21</v>
          </cell>
          <cell r="B2424" t="str">
            <v>41L0065102</v>
          </cell>
          <cell r="C2424" t="str">
            <v>Original</v>
          </cell>
          <cell r="D2424" t="str">
            <v>Expeditors</v>
          </cell>
          <cell r="E2424" t="str">
            <v>Expeditors</v>
          </cell>
          <cell r="F2424">
            <v>44378</v>
          </cell>
          <cell r="G2424">
            <v>44386</v>
          </cell>
          <cell r="H2424">
            <v>44388</v>
          </cell>
          <cell r="I2424" t="str">
            <v>05.07.2021</v>
          </cell>
          <cell r="J2424" t="str">
            <v>01.07.2021</v>
          </cell>
          <cell r="K2424" t="str">
            <v>-</v>
          </cell>
          <cell r="L2424" t="str">
            <v>OK</v>
          </cell>
        </row>
        <row r="2425">
          <cell r="A2425" t="str">
            <v>AMS-42772I21</v>
          </cell>
          <cell r="B2425" t="str">
            <v>41L0065005</v>
          </cell>
          <cell r="C2425" t="str">
            <v>Original</v>
          </cell>
          <cell r="D2425" t="str">
            <v>Expeditors</v>
          </cell>
          <cell r="E2425" t="str">
            <v>Expeditors</v>
          </cell>
          <cell r="F2425">
            <v>44378</v>
          </cell>
          <cell r="G2425">
            <v>44386</v>
          </cell>
          <cell r="H2425">
            <v>44388</v>
          </cell>
          <cell r="I2425" t="str">
            <v>05.07.2021</v>
          </cell>
          <cell r="J2425" t="str">
            <v>01.07.2021</v>
          </cell>
          <cell r="K2425" t="str">
            <v>-</v>
          </cell>
          <cell r="L2425" t="str">
            <v>OK</v>
          </cell>
        </row>
        <row r="2426">
          <cell r="A2426" t="str">
            <v>AMS-42773I21</v>
          </cell>
          <cell r="B2426" t="str">
            <v>41L0065103</v>
          </cell>
          <cell r="C2426" t="str">
            <v>Original</v>
          </cell>
          <cell r="D2426" t="str">
            <v>Expeditors</v>
          </cell>
          <cell r="E2426" t="str">
            <v>Expeditors</v>
          </cell>
          <cell r="F2426">
            <v>44377</v>
          </cell>
          <cell r="G2426">
            <v>44385</v>
          </cell>
          <cell r="H2426">
            <v>44387</v>
          </cell>
          <cell r="I2426" t="str">
            <v>05.07.2021</v>
          </cell>
          <cell r="J2426" t="str">
            <v>01.07.2021</v>
          </cell>
          <cell r="K2426" t="str">
            <v>-</v>
          </cell>
          <cell r="L2426" t="str">
            <v>OK</v>
          </cell>
        </row>
        <row r="2427">
          <cell r="A2427" t="str">
            <v>AMS-42774I21</v>
          </cell>
          <cell r="B2427" t="str">
            <v>41L0064998</v>
          </cell>
          <cell r="C2427" t="str">
            <v>Original</v>
          </cell>
          <cell r="D2427" t="str">
            <v>Expeditors</v>
          </cell>
          <cell r="E2427" t="str">
            <v>Expeditors</v>
          </cell>
          <cell r="F2427">
            <v>44377</v>
          </cell>
          <cell r="G2427">
            <v>44385</v>
          </cell>
          <cell r="H2427">
            <v>44387</v>
          </cell>
          <cell r="I2427" t="str">
            <v>05.07.2021</v>
          </cell>
          <cell r="J2427" t="str">
            <v>01.07.2021</v>
          </cell>
          <cell r="K2427" t="str">
            <v>-</v>
          </cell>
          <cell r="L2427" t="str">
            <v>OK</v>
          </cell>
        </row>
        <row r="2428">
          <cell r="A2428" t="str">
            <v>AMS-42800I21</v>
          </cell>
          <cell r="B2428">
            <v>359260007</v>
          </cell>
          <cell r="C2428" t="str">
            <v>Original</v>
          </cell>
          <cell r="D2428" t="str">
            <v>PGL</v>
          </cell>
          <cell r="E2428" t="str">
            <v>BUICK (LBL141)</v>
          </cell>
          <cell r="F2428">
            <v>44382</v>
          </cell>
          <cell r="G2428">
            <v>44390</v>
          </cell>
          <cell r="H2428">
            <v>44392</v>
          </cell>
          <cell r="I2428" t="str">
            <v>08.07.2021</v>
          </cell>
          <cell r="J2428" t="str">
            <v>05.07.2021</v>
          </cell>
          <cell r="K2428" t="str">
            <v>-</v>
          </cell>
          <cell r="L2428" t="str">
            <v>OK</v>
          </cell>
        </row>
        <row r="2429">
          <cell r="A2429" t="str">
            <v>AMS-42801I21</v>
          </cell>
          <cell r="B2429">
            <v>358996158</v>
          </cell>
          <cell r="C2429" t="str">
            <v>Original</v>
          </cell>
          <cell r="D2429" t="str">
            <v>PGL</v>
          </cell>
          <cell r="E2429" t="str">
            <v>BUICK (LBL141)</v>
          </cell>
          <cell r="F2429">
            <v>44382</v>
          </cell>
          <cell r="G2429">
            <v>44390</v>
          </cell>
          <cell r="H2429">
            <v>44392</v>
          </cell>
          <cell r="I2429" t="str">
            <v>08.07.2021</v>
          </cell>
          <cell r="J2429" t="str">
            <v>05.07.2021</v>
          </cell>
          <cell r="K2429" t="str">
            <v>-</v>
          </cell>
          <cell r="L2429" t="str">
            <v>OK</v>
          </cell>
        </row>
        <row r="2430">
          <cell r="A2430" t="str">
            <v>AMS-42802I21</v>
          </cell>
          <cell r="B2430">
            <v>358996472</v>
          </cell>
          <cell r="C2430" t="str">
            <v>Original</v>
          </cell>
          <cell r="D2430" t="str">
            <v>PGL</v>
          </cell>
          <cell r="E2430" t="str">
            <v>BUICK (LBL141)</v>
          </cell>
          <cell r="F2430">
            <v>44382</v>
          </cell>
          <cell r="G2430">
            <v>44390</v>
          </cell>
          <cell r="H2430">
            <v>44392</v>
          </cell>
          <cell r="I2430" t="str">
            <v>08.07.2021</v>
          </cell>
          <cell r="J2430" t="str">
            <v>05.07.2021</v>
          </cell>
          <cell r="K2430" t="str">
            <v>-</v>
          </cell>
          <cell r="L2430" t="str">
            <v>OK</v>
          </cell>
        </row>
        <row r="2431">
          <cell r="A2431" t="str">
            <v>AMS-42803I21</v>
          </cell>
          <cell r="B2431">
            <v>358995385</v>
          </cell>
          <cell r="C2431" t="str">
            <v>Original</v>
          </cell>
          <cell r="D2431" t="str">
            <v>PGL</v>
          </cell>
          <cell r="E2431" t="str">
            <v>BUICK (LBL141)</v>
          </cell>
          <cell r="F2431">
            <v>44382</v>
          </cell>
          <cell r="G2431">
            <v>44390</v>
          </cell>
          <cell r="H2431">
            <v>44392</v>
          </cell>
          <cell r="I2431" t="str">
            <v>08.07.2021</v>
          </cell>
          <cell r="J2431" t="str">
            <v>05.07.2021</v>
          </cell>
          <cell r="K2431" t="str">
            <v>-</v>
          </cell>
          <cell r="L2431" t="str">
            <v>OK</v>
          </cell>
        </row>
        <row r="2432">
          <cell r="A2432" t="str">
            <v>AMS-42753I21</v>
          </cell>
          <cell r="B2432" t="str">
            <v>42K0007838</v>
          </cell>
          <cell r="C2432" t="str">
            <v>Original</v>
          </cell>
          <cell r="D2432" t="str">
            <v>Expeditors</v>
          </cell>
          <cell r="E2432" t="str">
            <v>Expeditors</v>
          </cell>
          <cell r="F2432">
            <v>44389</v>
          </cell>
          <cell r="G2432">
            <v>44397</v>
          </cell>
          <cell r="H2432">
            <v>44399</v>
          </cell>
          <cell r="I2432" t="str">
            <v>20.07.2021</v>
          </cell>
          <cell r="J2432" t="str">
            <v>13.07.2021</v>
          </cell>
          <cell r="K2432" t="str">
            <v>-</v>
          </cell>
          <cell r="L2432" t="str">
            <v>OK</v>
          </cell>
        </row>
        <row r="2433">
          <cell r="A2433" t="str">
            <v>AMS-42754I21</v>
          </cell>
          <cell r="B2433" t="str">
            <v>42K0007839</v>
          </cell>
          <cell r="C2433" t="str">
            <v>Original</v>
          </cell>
          <cell r="D2433" t="str">
            <v>Expeditors</v>
          </cell>
          <cell r="E2433" t="str">
            <v>Expeditors</v>
          </cell>
          <cell r="F2433">
            <v>44389</v>
          </cell>
          <cell r="G2433">
            <v>44397</v>
          </cell>
          <cell r="H2433">
            <v>44399</v>
          </cell>
          <cell r="I2433" t="str">
            <v>14.07.2021</v>
          </cell>
          <cell r="J2433" t="str">
            <v>14.07.2021</v>
          </cell>
          <cell r="K2433" t="str">
            <v>-</v>
          </cell>
          <cell r="L2433" t="str">
            <v>OK</v>
          </cell>
        </row>
        <row r="2434">
          <cell r="A2434" t="str">
            <v>AMS-42755I21</v>
          </cell>
          <cell r="B2434" t="str">
            <v>42K0007835</v>
          </cell>
          <cell r="C2434" t="str">
            <v>Original</v>
          </cell>
          <cell r="D2434" t="str">
            <v>Expeditors</v>
          </cell>
          <cell r="E2434" t="str">
            <v>Expeditors</v>
          </cell>
          <cell r="F2434">
            <v>44389</v>
          </cell>
          <cell r="G2434">
            <v>44397</v>
          </cell>
          <cell r="H2434">
            <v>44399</v>
          </cell>
          <cell r="I2434" t="str">
            <v>14.07.2021</v>
          </cell>
          <cell r="J2434" t="str">
            <v>13.07.2021</v>
          </cell>
          <cell r="K2434" t="str">
            <v>-</v>
          </cell>
          <cell r="L2434" t="str">
            <v>OK</v>
          </cell>
        </row>
        <row r="2435">
          <cell r="A2435" t="str">
            <v>AMS-42756I21</v>
          </cell>
          <cell r="B2435" t="str">
            <v>42K0007837</v>
          </cell>
          <cell r="C2435" t="str">
            <v>Original</v>
          </cell>
          <cell r="D2435" t="str">
            <v>Expeditors</v>
          </cell>
          <cell r="E2435" t="str">
            <v>Expeditors</v>
          </cell>
          <cell r="F2435">
            <v>44389</v>
          </cell>
          <cell r="G2435">
            <v>44397</v>
          </cell>
          <cell r="H2435">
            <v>44399</v>
          </cell>
          <cell r="I2435" t="str">
            <v>14.07.2021</v>
          </cell>
          <cell r="J2435" t="str">
            <v>13.07.2021</v>
          </cell>
          <cell r="K2435" t="str">
            <v>-</v>
          </cell>
          <cell r="L2435" t="str">
            <v>OK</v>
          </cell>
        </row>
        <row r="2436">
          <cell r="A2436" t="str">
            <v>AMS-42757I21</v>
          </cell>
          <cell r="B2436" t="str">
            <v>42K0007836</v>
          </cell>
          <cell r="C2436" t="str">
            <v>Original</v>
          </cell>
          <cell r="D2436" t="str">
            <v>Expeditors</v>
          </cell>
          <cell r="E2436" t="str">
            <v>Expeditors</v>
          </cell>
          <cell r="F2436">
            <v>44389</v>
          </cell>
          <cell r="G2436">
            <v>44397</v>
          </cell>
          <cell r="H2436">
            <v>44399</v>
          </cell>
          <cell r="I2436" t="str">
            <v>20.07.2021</v>
          </cell>
          <cell r="J2436" t="str">
            <v>13.07.2021</v>
          </cell>
          <cell r="K2436" t="str">
            <v>-</v>
          </cell>
          <cell r="L2436" t="str">
            <v>OK</v>
          </cell>
        </row>
        <row r="2437">
          <cell r="A2437" t="str">
            <v>AMS-42899I21</v>
          </cell>
          <cell r="B2437" t="str">
            <v>41L0066048</v>
          </cell>
          <cell r="C2437" t="str">
            <v>Original</v>
          </cell>
          <cell r="D2437" t="str">
            <v>Expeditors</v>
          </cell>
          <cell r="E2437" t="str">
            <v>Expeditors</v>
          </cell>
          <cell r="F2437">
            <v>44389</v>
          </cell>
          <cell r="G2437">
            <v>44397</v>
          </cell>
          <cell r="H2437">
            <v>44399</v>
          </cell>
          <cell r="I2437" t="str">
            <v>14.07.2021</v>
          </cell>
          <cell r="J2437" t="str">
            <v>13.07.2021</v>
          </cell>
          <cell r="K2437" t="str">
            <v>-</v>
          </cell>
          <cell r="L2437" t="str">
            <v>OK</v>
          </cell>
        </row>
        <row r="2438">
          <cell r="A2438" t="str">
            <v>AMS-42900I21</v>
          </cell>
          <cell r="B2438" t="str">
            <v xml:space="preserve">41L0066047 </v>
          </cell>
          <cell r="C2438" t="str">
            <v>Original</v>
          </cell>
          <cell r="D2438" t="str">
            <v>Expeditors</v>
          </cell>
          <cell r="E2438" t="str">
            <v>Expeditors</v>
          </cell>
          <cell r="F2438">
            <v>44389</v>
          </cell>
          <cell r="G2438">
            <v>44397</v>
          </cell>
          <cell r="H2438">
            <v>44399</v>
          </cell>
          <cell r="I2438" t="str">
            <v>16.07.2021</v>
          </cell>
          <cell r="J2438" t="str">
            <v>12.07.2022</v>
          </cell>
          <cell r="K2438" t="str">
            <v>-</v>
          </cell>
          <cell r="L2438" t="str">
            <v>OK</v>
          </cell>
        </row>
        <row r="2439">
          <cell r="A2439" t="str">
            <v>AMS-43183I21</v>
          </cell>
          <cell r="B2439" t="str">
            <v>41L0066597</v>
          </cell>
          <cell r="C2439" t="str">
            <v>Original</v>
          </cell>
          <cell r="D2439" t="str">
            <v>Expeditors</v>
          </cell>
          <cell r="E2439" t="str">
            <v>Expeditors</v>
          </cell>
          <cell r="F2439">
            <v>44396</v>
          </cell>
          <cell r="G2439">
            <v>44404</v>
          </cell>
          <cell r="H2439">
            <v>44406</v>
          </cell>
          <cell r="I2439" t="str">
            <v>21.07.2021</v>
          </cell>
          <cell r="J2439" t="str">
            <v>21.07.2021</v>
          </cell>
          <cell r="K2439" t="str">
            <v>-</v>
          </cell>
          <cell r="L2439" t="str">
            <v>OK</v>
          </cell>
        </row>
        <row r="2440">
          <cell r="A2440" t="str">
            <v>AMS-43184I21</v>
          </cell>
          <cell r="B2440" t="str">
            <v>41L0066598</v>
          </cell>
          <cell r="C2440" t="str">
            <v>Original</v>
          </cell>
          <cell r="D2440" t="str">
            <v>Expeditors</v>
          </cell>
          <cell r="E2440" t="str">
            <v>Expeditors</v>
          </cell>
          <cell r="F2440">
            <v>44396</v>
          </cell>
          <cell r="G2440">
            <v>44404</v>
          </cell>
          <cell r="H2440">
            <v>44406</v>
          </cell>
          <cell r="I2440" t="str">
            <v>21.07.2021</v>
          </cell>
          <cell r="J2440" t="str">
            <v>21.07.2021</v>
          </cell>
          <cell r="K2440" t="str">
            <v>-</v>
          </cell>
          <cell r="L2440" t="str">
            <v>OK</v>
          </cell>
        </row>
        <row r="2441">
          <cell r="A2441" t="str">
            <v>AMS-43364I21</v>
          </cell>
          <cell r="B2441">
            <v>362310088</v>
          </cell>
          <cell r="C2441" t="str">
            <v>Original</v>
          </cell>
          <cell r="D2441" t="str">
            <v>PGL</v>
          </cell>
          <cell r="E2441" t="str">
            <v>Technology</v>
          </cell>
          <cell r="F2441">
            <v>44417</v>
          </cell>
          <cell r="G2441">
            <v>44425</v>
          </cell>
          <cell r="H2441">
            <v>44427</v>
          </cell>
          <cell r="I2441" t="str">
            <v>09.08.2021</v>
          </cell>
          <cell r="J2441" t="str">
            <v>17.08.2021</v>
          </cell>
          <cell r="K2441" t="str">
            <v>-</v>
          </cell>
          <cell r="L2441" t="str">
            <v>OK</v>
          </cell>
        </row>
        <row r="2442">
          <cell r="A2442" t="str">
            <v>AMS-43373I21</v>
          </cell>
          <cell r="B2442" t="str">
            <v>41L0067403</v>
          </cell>
          <cell r="C2442" t="str">
            <v>Original</v>
          </cell>
          <cell r="D2442" t="str">
            <v>EXPEDITORS</v>
          </cell>
          <cell r="E2442" t="str">
            <v>Expeditors</v>
          </cell>
          <cell r="F2442">
            <v>44417</v>
          </cell>
          <cell r="G2442">
            <v>44425</v>
          </cell>
          <cell r="H2442">
            <v>44427</v>
          </cell>
          <cell r="I2442" t="str">
            <v>11.08.2021</v>
          </cell>
          <cell r="J2442" t="str">
            <v>17.08.2021</v>
          </cell>
          <cell r="K2442" t="str">
            <v>-</v>
          </cell>
          <cell r="L2442" t="str">
            <v>OK</v>
          </cell>
        </row>
        <row r="2443">
          <cell r="A2443" t="str">
            <v>AMS-43405I21</v>
          </cell>
          <cell r="B2443" t="str">
            <v>41L0067402</v>
          </cell>
          <cell r="C2443" t="str">
            <v>Original</v>
          </cell>
          <cell r="D2443" t="str">
            <v>EXPEDITORS</v>
          </cell>
          <cell r="E2443" t="str">
            <v>Expeditors</v>
          </cell>
          <cell r="F2443">
            <v>44418</v>
          </cell>
          <cell r="G2443">
            <v>44426</v>
          </cell>
          <cell r="H2443">
            <v>44428</v>
          </cell>
          <cell r="I2443" t="str">
            <v>09.08.2021</v>
          </cell>
          <cell r="J2443" t="str">
            <v>17.08.2021</v>
          </cell>
          <cell r="K2443" t="str">
            <v>-</v>
          </cell>
          <cell r="L2443" t="str">
            <v>OK</v>
          </cell>
        </row>
        <row r="2444">
          <cell r="A2444" t="str">
            <v>AMS-43708I21</v>
          </cell>
          <cell r="B2444" t="str">
            <v>41L0068317</v>
          </cell>
          <cell r="C2444" t="str">
            <v>Original</v>
          </cell>
          <cell r="D2444" t="str">
            <v>EXPEDITORS</v>
          </cell>
          <cell r="E2444" t="str">
            <v>Expeditors</v>
          </cell>
          <cell r="F2444">
            <v>44425</v>
          </cell>
          <cell r="G2444">
            <v>44433</v>
          </cell>
          <cell r="H2444">
            <v>44435</v>
          </cell>
          <cell r="I2444" t="str">
            <v>08.09.2021</v>
          </cell>
          <cell r="J2444" t="str">
            <v>19.08.2021</v>
          </cell>
          <cell r="K2444" t="str">
            <v>-</v>
          </cell>
          <cell r="L2444" t="str">
            <v>OK</v>
          </cell>
        </row>
        <row r="2445">
          <cell r="A2445" t="str">
            <v>AMS-43709I21</v>
          </cell>
          <cell r="B2445" t="str">
            <v>41L0068316</v>
          </cell>
          <cell r="C2445" t="str">
            <v>Original</v>
          </cell>
          <cell r="D2445" t="str">
            <v>EXPEDITORS</v>
          </cell>
          <cell r="E2445" t="str">
            <v>Expeditors</v>
          </cell>
          <cell r="F2445">
            <v>44425</v>
          </cell>
          <cell r="G2445">
            <v>44433</v>
          </cell>
          <cell r="H2445">
            <v>44435</v>
          </cell>
          <cell r="I2445" t="str">
            <v>08.09.2021</v>
          </cell>
          <cell r="J2445" t="str">
            <v>19.08.2021</v>
          </cell>
          <cell r="K2445" t="str">
            <v>-</v>
          </cell>
          <cell r="L2445" t="str">
            <v>OK</v>
          </cell>
        </row>
        <row r="2446">
          <cell r="A2446" t="str">
            <v>AMS-43795I21</v>
          </cell>
          <cell r="B2446" t="str">
            <v>41L0068318</v>
          </cell>
          <cell r="C2446" t="str">
            <v>Original</v>
          </cell>
          <cell r="D2446" t="str">
            <v>EXPEDITORS</v>
          </cell>
          <cell r="E2446" t="str">
            <v>Expeditors</v>
          </cell>
          <cell r="F2446">
            <v>44419</v>
          </cell>
          <cell r="G2446">
            <v>44427</v>
          </cell>
          <cell r="H2446">
            <v>44429</v>
          </cell>
          <cell r="I2446" t="str">
            <v>19.08.2021</v>
          </cell>
          <cell r="J2446" t="str">
            <v>26.08.2021</v>
          </cell>
          <cell r="K2446" t="str">
            <v>-</v>
          </cell>
          <cell r="L2446" t="str">
            <v>OK</v>
          </cell>
        </row>
        <row r="2447">
          <cell r="A2447" t="str">
            <v>AMS-43796I21</v>
          </cell>
          <cell r="B2447" t="str">
            <v>41L0068319</v>
          </cell>
          <cell r="C2447" t="str">
            <v>Original</v>
          </cell>
          <cell r="D2447" t="str">
            <v>EXPEDITORS</v>
          </cell>
          <cell r="E2447" t="str">
            <v>Expeditors</v>
          </cell>
          <cell r="F2447">
            <v>44419</v>
          </cell>
          <cell r="G2447">
            <v>44427</v>
          </cell>
          <cell r="H2447">
            <v>44429</v>
          </cell>
          <cell r="I2447" t="str">
            <v>26.08.2021</v>
          </cell>
          <cell r="J2447" t="str">
            <v>26.08.2021</v>
          </cell>
          <cell r="K2447" t="str">
            <v>-</v>
          </cell>
          <cell r="L2447" t="str">
            <v>OK</v>
          </cell>
        </row>
        <row r="2448">
          <cell r="A2448" t="str">
            <v>AMS-43797I21</v>
          </cell>
          <cell r="B2448">
            <v>362955479</v>
          </cell>
          <cell r="C2448" t="str">
            <v>Original</v>
          </cell>
          <cell r="D2448" t="str">
            <v>PGL</v>
          </cell>
          <cell r="E2448" t="str">
            <v>Technology</v>
          </cell>
          <cell r="F2448">
            <v>44424</v>
          </cell>
          <cell r="G2448">
            <v>44432</v>
          </cell>
          <cell r="H2448">
            <v>44434</v>
          </cell>
          <cell r="I2448" t="str">
            <v>19.08.2021</v>
          </cell>
          <cell r="J2448" t="str">
            <v>19.08.2021</v>
          </cell>
          <cell r="K2448" t="str">
            <v>-</v>
          </cell>
          <cell r="L2448" t="str">
            <v>OK</v>
          </cell>
        </row>
        <row r="2449">
          <cell r="A2449" t="str">
            <v>AMS-43798I21</v>
          </cell>
          <cell r="B2449">
            <v>362955478</v>
          </cell>
          <cell r="C2449" t="str">
            <v>Original</v>
          </cell>
          <cell r="D2449" t="str">
            <v>PGL</v>
          </cell>
          <cell r="E2449" t="str">
            <v>Technology</v>
          </cell>
          <cell r="F2449">
            <v>44424</v>
          </cell>
          <cell r="G2449">
            <v>44432</v>
          </cell>
          <cell r="H2449">
            <v>44434</v>
          </cell>
          <cell r="I2449" t="str">
            <v>19.08.2021</v>
          </cell>
          <cell r="J2449" t="str">
            <v>19.08.2021</v>
          </cell>
          <cell r="K2449" t="str">
            <v>-</v>
          </cell>
          <cell r="L2449" t="str">
            <v>OK</v>
          </cell>
        </row>
        <row r="2450">
          <cell r="A2450" t="str">
            <v>AMS-43799I21</v>
          </cell>
          <cell r="B2450">
            <v>363585321</v>
          </cell>
          <cell r="C2450" t="str">
            <v>Original</v>
          </cell>
          <cell r="D2450" t="str">
            <v>PGL</v>
          </cell>
          <cell r="E2450" t="str">
            <v>Technology</v>
          </cell>
          <cell r="F2450">
            <v>44424</v>
          </cell>
          <cell r="G2450">
            <v>44432</v>
          </cell>
          <cell r="H2450">
            <v>44434</v>
          </cell>
          <cell r="I2450" t="str">
            <v>19.08.2021</v>
          </cell>
          <cell r="J2450" t="str">
            <v>19.08.2021</v>
          </cell>
          <cell r="K2450" t="str">
            <v>-</v>
          </cell>
          <cell r="L2450" t="str">
            <v>OK</v>
          </cell>
        </row>
        <row r="2451">
          <cell r="A2451" t="str">
            <v>AMS-43800I21</v>
          </cell>
          <cell r="B2451">
            <v>363585317</v>
          </cell>
          <cell r="C2451" t="str">
            <v>Original</v>
          </cell>
          <cell r="D2451" t="str">
            <v>PGL</v>
          </cell>
          <cell r="E2451" t="str">
            <v>Technology</v>
          </cell>
          <cell r="F2451">
            <v>44424</v>
          </cell>
          <cell r="G2451">
            <v>44432</v>
          </cell>
          <cell r="H2451">
            <v>44434</v>
          </cell>
          <cell r="I2451" t="str">
            <v>19.08.2021</v>
          </cell>
          <cell r="J2451" t="str">
            <v>19.08.2021</v>
          </cell>
          <cell r="K2451" t="str">
            <v>-</v>
          </cell>
          <cell r="L2451" t="str">
            <v>OK</v>
          </cell>
        </row>
        <row r="2452">
          <cell r="A2452" t="str">
            <v>AHW-43107I22</v>
          </cell>
          <cell r="B2452">
            <v>4008800</v>
          </cell>
          <cell r="C2452" t="str">
            <v>Original</v>
          </cell>
          <cell r="D2452" t="str">
            <v>CTS</v>
          </cell>
          <cell r="E2452" t="str">
            <v>JP</v>
          </cell>
          <cell r="F2452">
            <v>44748</v>
          </cell>
          <cell r="G2452">
            <v>44756</v>
          </cell>
          <cell r="H2452">
            <v>44758</v>
          </cell>
          <cell r="I2452" t="str">
            <v>14.07.2022</v>
          </cell>
          <cell r="J2452" t="str">
            <v>15.07.2022</v>
          </cell>
          <cell r="K2452" t="str">
            <v>-</v>
          </cell>
          <cell r="L2452" t="str">
            <v>OK</v>
          </cell>
        </row>
        <row r="2453">
          <cell r="A2453" t="str">
            <v>AHW-43161I22</v>
          </cell>
          <cell r="B2453">
            <v>4008804</v>
          </cell>
          <cell r="C2453" t="str">
            <v>Original</v>
          </cell>
          <cell r="D2453" t="str">
            <v>CTS</v>
          </cell>
          <cell r="E2453" t="str">
            <v>JP</v>
          </cell>
          <cell r="F2453">
            <v>44748</v>
          </cell>
          <cell r="G2453">
            <v>44756</v>
          </cell>
          <cell r="H2453">
            <v>44758</v>
          </cell>
          <cell r="I2453" t="str">
            <v>14.07.2022</v>
          </cell>
          <cell r="J2453" t="str">
            <v>15.07.2022</v>
          </cell>
          <cell r="K2453" t="str">
            <v>-</v>
          </cell>
          <cell r="L2453" t="str">
            <v>OK</v>
          </cell>
        </row>
        <row r="2454">
          <cell r="A2454" t="str">
            <v>AMS-43283I22</v>
          </cell>
          <cell r="B2454" t="str">
            <v>1Z6469V00475782705 1Z6469V00475253518 1Z6469V00474916929</v>
          </cell>
          <cell r="C2454" t="str">
            <v>Brasiliense</v>
          </cell>
          <cell r="D2454" t="str">
            <v>UPS</v>
          </cell>
          <cell r="E2454" t="str">
            <v>Future</v>
          </cell>
          <cell r="F2454">
            <v>44748</v>
          </cell>
          <cell r="G2454">
            <v>44756</v>
          </cell>
          <cell r="H2454">
            <v>44758</v>
          </cell>
          <cell r="I2454" t="str">
            <v>12.07.2022</v>
          </cell>
          <cell r="J2454" t="str">
            <v>15.07.2022</v>
          </cell>
          <cell r="K2454" t="str">
            <v>12.07.2022</v>
          </cell>
          <cell r="L2454" t="str">
            <v>OK</v>
          </cell>
        </row>
        <row r="2455">
          <cell r="A2455" t="str">
            <v>AMS-43284I22</v>
          </cell>
          <cell r="B2455" t="str">
            <v>1Z6469V00473365875 1Z6469V00475268495 1Z6469V00473434880</v>
          </cell>
          <cell r="C2455" t="str">
            <v>Brasiliense</v>
          </cell>
          <cell r="D2455" t="str">
            <v>UPS</v>
          </cell>
          <cell r="E2455" t="str">
            <v>Future</v>
          </cell>
          <cell r="F2455">
            <v>44748</v>
          </cell>
          <cell r="G2455">
            <v>44756</v>
          </cell>
          <cell r="H2455">
            <v>44758</v>
          </cell>
          <cell r="I2455" t="str">
            <v>12.07.2022</v>
          </cell>
          <cell r="J2455" t="str">
            <v>15.07.2022</v>
          </cell>
          <cell r="K2455" t="str">
            <v>12.07.2022</v>
          </cell>
          <cell r="L2455" t="str">
            <v>OK</v>
          </cell>
        </row>
        <row r="2456">
          <cell r="A2456" t="str">
            <v>AMS-43285I22</v>
          </cell>
          <cell r="B2456" t="str">
            <v>1Z6469V00474415836 1Z6469V00474905468 1Z6469V00474386449 1Z6469V00474057652</v>
          </cell>
          <cell r="C2456" t="str">
            <v>Brasiliense</v>
          </cell>
          <cell r="D2456" t="str">
            <v>UPS</v>
          </cell>
          <cell r="E2456" t="str">
            <v>Future</v>
          </cell>
          <cell r="F2456">
            <v>44748</v>
          </cell>
          <cell r="G2456">
            <v>44756</v>
          </cell>
          <cell r="H2456">
            <v>44758</v>
          </cell>
          <cell r="I2456" t="str">
            <v>12.07.2022</v>
          </cell>
          <cell r="J2456" t="str">
            <v>15.07.2022</v>
          </cell>
          <cell r="K2456" t="str">
            <v>12.07.2022</v>
          </cell>
          <cell r="L2456" t="str">
            <v>OK</v>
          </cell>
        </row>
        <row r="2457">
          <cell r="A2457" t="str">
            <v>AMS-43286I22</v>
          </cell>
          <cell r="B2457" t="str">
            <v>1Z6469V00473352558 1Z6469V00475408771 1Z6469V00473654366</v>
          </cell>
          <cell r="C2457" t="str">
            <v>Brasiliense</v>
          </cell>
          <cell r="D2457" t="str">
            <v>UPS</v>
          </cell>
          <cell r="E2457" t="str">
            <v>Future</v>
          </cell>
          <cell r="F2457">
            <v>44748</v>
          </cell>
          <cell r="G2457">
            <v>44756</v>
          </cell>
          <cell r="H2457">
            <v>44758</v>
          </cell>
          <cell r="I2457" t="str">
            <v>12.07.2022</v>
          </cell>
          <cell r="J2457" t="str">
            <v>15.07.2022</v>
          </cell>
          <cell r="K2457" t="str">
            <v>12.07.2022</v>
          </cell>
          <cell r="L2457" t="str">
            <v>OK</v>
          </cell>
        </row>
        <row r="2458">
          <cell r="A2458" t="str">
            <v>AMS-43287I22</v>
          </cell>
          <cell r="B2458" t="str">
            <v>1Z6469V00474283069 1Z6469V00475764485 1Z6469V00475711111 1Z6469V00475578534 1Z6469V00475414095 1Z6469V00474639470 1Z6469V00474104305 1Z6469V00473791146 1Z6469V00473070522 1Z6469V00473024359</v>
          </cell>
          <cell r="C2458" t="str">
            <v>Brasiliense</v>
          </cell>
          <cell r="D2458" t="str">
            <v>UPS</v>
          </cell>
          <cell r="E2458" t="str">
            <v>Future</v>
          </cell>
          <cell r="F2458">
            <v>44748</v>
          </cell>
          <cell r="G2458">
            <v>44756</v>
          </cell>
          <cell r="H2458">
            <v>44758</v>
          </cell>
          <cell r="I2458" t="str">
            <v>12.07.2022</v>
          </cell>
          <cell r="J2458" t="str">
            <v>15.07.2022</v>
          </cell>
          <cell r="K2458" t="str">
            <v>12.07.2022</v>
          </cell>
          <cell r="L2458" t="str">
            <v>OK</v>
          </cell>
        </row>
        <row r="2459">
          <cell r="A2459" t="str">
            <v>AMS-43288I22</v>
          </cell>
          <cell r="B2459" t="str">
            <v>1Z6469V00473011783 1Z6469V00475019398 1Z6469V00474872413 1Z6469V00474747602 1Z6469V00473029827</v>
          </cell>
          <cell r="C2459" t="str">
            <v>Brasiliense</v>
          </cell>
          <cell r="D2459" t="str">
            <v>UPS</v>
          </cell>
          <cell r="E2459" t="str">
            <v>Future</v>
          </cell>
          <cell r="F2459">
            <v>44748</v>
          </cell>
          <cell r="G2459">
            <v>44756</v>
          </cell>
          <cell r="H2459">
            <v>44758</v>
          </cell>
          <cell r="I2459" t="str">
            <v>12.07.2022</v>
          </cell>
          <cell r="J2459" t="str">
            <v>15.07.2022</v>
          </cell>
          <cell r="K2459" t="str">
            <v>12.07.2022</v>
          </cell>
          <cell r="L2459" t="str">
            <v>OK</v>
          </cell>
        </row>
        <row r="2460">
          <cell r="A2460" t="str">
            <v>SHW-42609I22</v>
          </cell>
          <cell r="B2460" t="str">
            <v>EGLV149204030722</v>
          </cell>
          <cell r="C2460" t="str">
            <v>Original</v>
          </cell>
          <cell r="D2460" t="str">
            <v>Shenker</v>
          </cell>
          <cell r="E2460" t="str">
            <v>Unitrading</v>
          </cell>
          <cell r="F2460">
            <v>44749</v>
          </cell>
          <cell r="G2460">
            <v>44757</v>
          </cell>
          <cell r="H2460">
            <v>44759</v>
          </cell>
          <cell r="I2460" t="str">
            <v>12.07.2022</v>
          </cell>
          <cell r="J2460" t="str">
            <v>12.07.2022</v>
          </cell>
          <cell r="K2460" t="str">
            <v>-</v>
          </cell>
          <cell r="L2460" t="str">
            <v>OK</v>
          </cell>
        </row>
        <row r="2461">
          <cell r="A2461" t="str">
            <v>AHW-43270I22</v>
          </cell>
          <cell r="B2461">
            <v>4008816</v>
          </cell>
          <cell r="C2461" t="str">
            <v>Original</v>
          </cell>
          <cell r="D2461" t="str">
            <v>CTS</v>
          </cell>
          <cell r="E2461" t="str">
            <v>JP</v>
          </cell>
          <cell r="F2461">
            <v>44753</v>
          </cell>
          <cell r="G2461">
            <v>44761</v>
          </cell>
          <cell r="H2461">
            <v>44763</v>
          </cell>
          <cell r="I2461" t="str">
            <v>22.07.2022</v>
          </cell>
          <cell r="J2461" t="str">
            <v>25.07.2022</v>
          </cell>
          <cell r="K2461" t="str">
            <v>-</v>
          </cell>
          <cell r="L2461" t="str">
            <v>OK</v>
          </cell>
        </row>
        <row r="2462">
          <cell r="A2462" t="str">
            <v>AHW-43279I22</v>
          </cell>
          <cell r="B2462">
            <v>4008824</v>
          </cell>
          <cell r="C2462" t="str">
            <v>Original</v>
          </cell>
          <cell r="D2462" t="str">
            <v>CTS</v>
          </cell>
          <cell r="E2462" t="str">
            <v>JP</v>
          </cell>
          <cell r="F2462">
            <v>44753</v>
          </cell>
          <cell r="G2462">
            <v>44761</v>
          </cell>
          <cell r="H2462">
            <v>44763</v>
          </cell>
          <cell r="I2462" t="str">
            <v>15.07.2022</v>
          </cell>
          <cell r="J2462" t="str">
            <v>24.07.2022</v>
          </cell>
          <cell r="K2462" t="str">
            <v>-</v>
          </cell>
          <cell r="L2462" t="str">
            <v>OK</v>
          </cell>
        </row>
        <row r="2463">
          <cell r="A2463" t="str">
            <v>SHW-42323I22</v>
          </cell>
          <cell r="B2463" t="str">
            <v>EGLV149203278267</v>
          </cell>
          <cell r="C2463" t="str">
            <v>Original</v>
          </cell>
          <cell r="D2463" t="str">
            <v>Shenker</v>
          </cell>
          <cell r="E2463" t="str">
            <v>Unitrading</v>
          </cell>
          <cell r="F2463">
            <v>44753</v>
          </cell>
          <cell r="G2463">
            <v>44761</v>
          </cell>
          <cell r="H2463">
            <v>44763</v>
          </cell>
          <cell r="I2463" t="str">
            <v>14.07.2022</v>
          </cell>
          <cell r="J2463" t="str">
            <v>14.07.2022</v>
          </cell>
          <cell r="K2463" t="str">
            <v>-</v>
          </cell>
          <cell r="L2463" t="str">
            <v>OK</v>
          </cell>
        </row>
        <row r="2464">
          <cell r="A2464" t="str">
            <v>SHW-42324I22</v>
          </cell>
          <cell r="B2464" t="str">
            <v>EGLV149203419146</v>
          </cell>
          <cell r="C2464" t="str">
            <v>Original</v>
          </cell>
          <cell r="D2464" t="str">
            <v>Shenker</v>
          </cell>
          <cell r="E2464" t="str">
            <v>Unitrading</v>
          </cell>
          <cell r="F2464">
            <v>44753</v>
          </cell>
          <cell r="G2464">
            <v>44761</v>
          </cell>
          <cell r="H2464">
            <v>44763</v>
          </cell>
          <cell r="I2464" t="str">
            <v>14.07.2022</v>
          </cell>
          <cell r="J2464" t="str">
            <v>14.07.2022</v>
          </cell>
          <cell r="K2464" t="str">
            <v>-</v>
          </cell>
          <cell r="L2464" t="str">
            <v>OK</v>
          </cell>
        </row>
        <row r="2465">
          <cell r="A2465" t="str">
            <v>SHW-42325I22</v>
          </cell>
          <cell r="B2465" t="str">
            <v>EGLV149203456700</v>
          </cell>
          <cell r="C2465" t="str">
            <v>Original</v>
          </cell>
          <cell r="D2465" t="str">
            <v>Shenker</v>
          </cell>
          <cell r="E2465" t="str">
            <v>Unitrading</v>
          </cell>
          <cell r="F2465">
            <v>44753</v>
          </cell>
          <cell r="G2465">
            <v>44761</v>
          </cell>
          <cell r="H2465">
            <v>44763</v>
          </cell>
          <cell r="I2465" t="str">
            <v>14.07.2022</v>
          </cell>
          <cell r="J2465" t="str">
            <v>14.07.2022</v>
          </cell>
          <cell r="K2465" t="str">
            <v>-</v>
          </cell>
          <cell r="L2465" t="str">
            <v>OK</v>
          </cell>
        </row>
        <row r="2466">
          <cell r="A2466" t="str">
            <v>AHW-43160I22</v>
          </cell>
          <cell r="B2466">
            <v>4008808</v>
          </cell>
          <cell r="C2466" t="str">
            <v>Original</v>
          </cell>
          <cell r="D2466" t="str">
            <v>CTS</v>
          </cell>
          <cell r="E2466" t="str">
            <v>JP</v>
          </cell>
          <cell r="F2466">
            <v>44754</v>
          </cell>
          <cell r="G2466">
            <v>44762</v>
          </cell>
          <cell r="H2466">
            <v>44764</v>
          </cell>
          <cell r="I2466" t="str">
            <v>20.07.2022</v>
          </cell>
          <cell r="J2466" t="str">
            <v>24.07.2022</v>
          </cell>
          <cell r="K2466" t="str">
            <v>-</v>
          </cell>
          <cell r="L2466" t="str">
            <v>OK</v>
          </cell>
        </row>
        <row r="2467">
          <cell r="A2467" t="str">
            <v>AHW-43162I22</v>
          </cell>
          <cell r="B2467">
            <v>4008809</v>
          </cell>
          <cell r="C2467" t="str">
            <v>Original</v>
          </cell>
          <cell r="D2467" t="str">
            <v>CTS</v>
          </cell>
          <cell r="E2467" t="str">
            <v>JP</v>
          </cell>
          <cell r="F2467">
            <v>44754</v>
          </cell>
          <cell r="G2467">
            <v>44762</v>
          </cell>
          <cell r="H2467">
            <v>44764</v>
          </cell>
          <cell r="I2467" t="str">
            <v>20.07.2022</v>
          </cell>
          <cell r="J2467" t="str">
            <v>24.07.2022</v>
          </cell>
          <cell r="K2467" t="str">
            <v>-</v>
          </cell>
          <cell r="L2467" t="str">
            <v>OK</v>
          </cell>
        </row>
        <row r="2468">
          <cell r="A2468" t="str">
            <v>AHW-43163I22</v>
          </cell>
          <cell r="B2468">
            <v>4008811</v>
          </cell>
          <cell r="C2468" t="str">
            <v>Original</v>
          </cell>
          <cell r="D2468" t="str">
            <v>CTS</v>
          </cell>
          <cell r="E2468" t="str">
            <v>JP</v>
          </cell>
          <cell r="F2468">
            <v>44754</v>
          </cell>
          <cell r="G2468">
            <v>44762</v>
          </cell>
          <cell r="H2468">
            <v>44764</v>
          </cell>
          <cell r="I2468" t="str">
            <v>15.07.2022</v>
          </cell>
          <cell r="J2468" t="str">
            <v>24.07.2022</v>
          </cell>
          <cell r="K2468" t="str">
            <v>-</v>
          </cell>
          <cell r="L2468" t="str">
            <v>OK</v>
          </cell>
        </row>
        <row r="2469">
          <cell r="A2469" t="str">
            <v>AHW-43164I22</v>
          </cell>
          <cell r="B2469">
            <v>4008812</v>
          </cell>
          <cell r="C2469" t="str">
            <v>Original</v>
          </cell>
          <cell r="D2469" t="str">
            <v>CTS</v>
          </cell>
          <cell r="E2469" t="str">
            <v>JP</v>
          </cell>
          <cell r="F2469">
            <v>44754</v>
          </cell>
          <cell r="G2469">
            <v>44762</v>
          </cell>
          <cell r="H2469">
            <v>44764</v>
          </cell>
          <cell r="I2469" t="str">
            <v>15.07.2022</v>
          </cell>
          <cell r="J2469" t="str">
            <v>24.07.2022</v>
          </cell>
          <cell r="K2469" t="str">
            <v>-</v>
          </cell>
          <cell r="L2469" t="str">
            <v>OK</v>
          </cell>
        </row>
        <row r="2470">
          <cell r="A2470" t="str">
            <v>SHW-42870I22</v>
          </cell>
          <cell r="B2470" t="str">
            <v>EGLV149204409772</v>
          </cell>
          <cell r="C2470" t="str">
            <v>Original</v>
          </cell>
          <cell r="D2470" t="str">
            <v>Shenker</v>
          </cell>
          <cell r="E2470" t="str">
            <v>Unitrading</v>
          </cell>
          <cell r="F2470">
            <v>44757</v>
          </cell>
          <cell r="G2470">
            <v>44765</v>
          </cell>
          <cell r="H2470">
            <v>44767</v>
          </cell>
          <cell r="I2470" t="str">
            <v>22.07.2022</v>
          </cell>
          <cell r="J2470" t="str">
            <v>15.07.2022</v>
          </cell>
          <cell r="K2470" t="str">
            <v>-</v>
          </cell>
          <cell r="L2470" t="str">
            <v>OK</v>
          </cell>
        </row>
        <row r="2471">
          <cell r="A2471" t="str">
            <v>SHW-42893I22</v>
          </cell>
          <cell r="B2471" t="str">
            <v>EGLV149204232147</v>
          </cell>
          <cell r="C2471" t="str">
            <v>Original</v>
          </cell>
          <cell r="D2471" t="str">
            <v>Shenker</v>
          </cell>
          <cell r="E2471" t="str">
            <v>Unitrading</v>
          </cell>
          <cell r="F2471">
            <v>44757</v>
          </cell>
          <cell r="G2471">
            <v>44765</v>
          </cell>
          <cell r="H2471">
            <v>44767</v>
          </cell>
          <cell r="I2471" t="str">
            <v>22.07.2022</v>
          </cell>
          <cell r="J2471" t="str">
            <v>15.07.2022</v>
          </cell>
          <cell r="K2471" t="str">
            <v>-</v>
          </cell>
          <cell r="L2471" t="str">
            <v>OK</v>
          </cell>
        </row>
        <row r="2472">
          <cell r="A2472" t="str">
            <v>AMS-43414I22</v>
          </cell>
          <cell r="B2472" t="str">
            <v>1Z6469V00473612535</v>
          </cell>
          <cell r="C2472" t="str">
            <v>Brasiliense</v>
          </cell>
          <cell r="D2472" t="str">
            <v>UPS</v>
          </cell>
          <cell r="E2472" t="str">
            <v>Future</v>
          </cell>
          <cell r="F2472">
            <v>44757</v>
          </cell>
          <cell r="G2472">
            <v>44765</v>
          </cell>
          <cell r="H2472">
            <v>44767</v>
          </cell>
          <cell r="I2472" t="str">
            <v>20.07.2022</v>
          </cell>
          <cell r="J2472" t="str">
            <v>24.07.2022</v>
          </cell>
          <cell r="K2472" t="str">
            <v>20.07.2022</v>
          </cell>
          <cell r="L2472" t="str">
            <v>OK</v>
          </cell>
        </row>
        <row r="2473">
          <cell r="A2473" t="str">
            <v>AHW-43384I22</v>
          </cell>
          <cell r="B2473">
            <v>4008865</v>
          </cell>
          <cell r="C2473" t="str">
            <v>Original</v>
          </cell>
          <cell r="D2473" t="str">
            <v>CTS</v>
          </cell>
          <cell r="E2473" t="str">
            <v>JP</v>
          </cell>
          <cell r="F2473">
            <v>44761</v>
          </cell>
          <cell r="G2473">
            <v>44769</v>
          </cell>
          <cell r="H2473">
            <v>44771</v>
          </cell>
          <cell r="I2473" t="str">
            <v>04.08.2022</v>
          </cell>
          <cell r="J2473" t="str">
            <v>27.07.2022</v>
          </cell>
          <cell r="K2473" t="str">
            <v>-</v>
          </cell>
          <cell r="L2473" t="str">
            <v>OK</v>
          </cell>
        </row>
        <row r="2474">
          <cell r="A2474" t="str">
            <v>AHW-43099I22</v>
          </cell>
          <cell r="B2474">
            <v>4008786</v>
          </cell>
          <cell r="C2474" t="str">
            <v>Original</v>
          </cell>
          <cell r="D2474" t="str">
            <v>CTS</v>
          </cell>
          <cell r="E2474" t="str">
            <v>JP</v>
          </cell>
          <cell r="F2474">
            <v>44761</v>
          </cell>
          <cell r="G2474">
            <v>44769</v>
          </cell>
          <cell r="H2474">
            <v>44771</v>
          </cell>
          <cell r="I2474" t="str">
            <v>04.08.2022</v>
          </cell>
          <cell r="J2474" t="str">
            <v>27.07.2022</v>
          </cell>
          <cell r="K2474" t="str">
            <v>-</v>
          </cell>
          <cell r="L2474" t="str">
            <v>OK</v>
          </cell>
        </row>
        <row r="2475">
          <cell r="A2475" t="str">
            <v>AHW-42979I22</v>
          </cell>
          <cell r="B2475">
            <v>4008777</v>
          </cell>
          <cell r="C2475" t="str">
            <v>Original</v>
          </cell>
          <cell r="D2475" t="str">
            <v>CTS</v>
          </cell>
          <cell r="E2475" t="str">
            <v>JP</v>
          </cell>
          <cell r="F2475">
            <v>44762</v>
          </cell>
          <cell r="G2475">
            <v>44770</v>
          </cell>
          <cell r="H2475">
            <v>44772</v>
          </cell>
          <cell r="I2475" t="str">
            <v>04.08.2022</v>
          </cell>
          <cell r="J2475" t="str">
            <v>27.07.2022</v>
          </cell>
          <cell r="K2475" t="str">
            <v>-</v>
          </cell>
          <cell r="L2475" t="str">
            <v>OK</v>
          </cell>
        </row>
        <row r="2476">
          <cell r="A2476" t="str">
            <v>AHW-43069I22</v>
          </cell>
          <cell r="B2476">
            <v>4008781</v>
          </cell>
          <cell r="C2476" t="str">
            <v>Original</v>
          </cell>
          <cell r="D2476" t="str">
            <v>CTS</v>
          </cell>
          <cell r="E2476" t="str">
            <v>JP</v>
          </cell>
          <cell r="F2476">
            <v>44762</v>
          </cell>
          <cell r="G2476">
            <v>44770</v>
          </cell>
          <cell r="H2476">
            <v>44772</v>
          </cell>
          <cell r="I2476" t="str">
            <v>04.08.2022</v>
          </cell>
          <cell r="J2476" t="str">
            <v>27.07.2022</v>
          </cell>
          <cell r="K2476" t="str">
            <v>-</v>
          </cell>
          <cell r="L2476" t="str">
            <v>OK</v>
          </cell>
        </row>
        <row r="2477">
          <cell r="A2477" t="str">
            <v>AHW-43280I22</v>
          </cell>
          <cell r="B2477">
            <v>4008826</v>
          </cell>
          <cell r="C2477" t="str">
            <v>Original</v>
          </cell>
          <cell r="D2477" t="str">
            <v>CTS</v>
          </cell>
          <cell r="E2477" t="str">
            <v>JP</v>
          </cell>
          <cell r="F2477">
            <v>44762</v>
          </cell>
          <cell r="G2477">
            <v>44770</v>
          </cell>
          <cell r="H2477">
            <v>44772</v>
          </cell>
          <cell r="I2477" t="str">
            <v>04.08.2022</v>
          </cell>
          <cell r="J2477" t="str">
            <v>27.07.2022</v>
          </cell>
          <cell r="K2477" t="str">
            <v>-</v>
          </cell>
          <cell r="L2477" t="str">
            <v>OK</v>
          </cell>
        </row>
        <row r="2478">
          <cell r="A2478" t="str">
            <v>AHW-43281I22</v>
          </cell>
          <cell r="B2478">
            <v>4008828</v>
          </cell>
          <cell r="C2478" t="str">
            <v>Original</v>
          </cell>
          <cell r="D2478" t="str">
            <v>CTS</v>
          </cell>
          <cell r="E2478" t="str">
            <v>JP</v>
          </cell>
          <cell r="F2478">
            <v>44762</v>
          </cell>
          <cell r="G2478">
            <v>44770</v>
          </cell>
          <cell r="H2478">
            <v>44772</v>
          </cell>
          <cell r="I2478" t="str">
            <v>04.08.2022</v>
          </cell>
          <cell r="J2478" t="str">
            <v>27.07.2022</v>
          </cell>
          <cell r="K2478" t="str">
            <v>-</v>
          </cell>
          <cell r="L2478" t="str">
            <v>OK</v>
          </cell>
        </row>
        <row r="2479">
          <cell r="A2479" t="str">
            <v>AHW-43380I22</v>
          </cell>
          <cell r="B2479">
            <v>4008868</v>
          </cell>
          <cell r="C2479" t="str">
            <v>Original</v>
          </cell>
          <cell r="D2479" t="str">
            <v>CTS</v>
          </cell>
          <cell r="E2479" t="str">
            <v>JP</v>
          </cell>
          <cell r="F2479">
            <v>44762</v>
          </cell>
          <cell r="G2479">
            <v>44770</v>
          </cell>
          <cell r="H2479">
            <v>44772</v>
          </cell>
          <cell r="I2479" t="str">
            <v>10.08.2022</v>
          </cell>
          <cell r="J2479" t="str">
            <v>05.08.2022</v>
          </cell>
          <cell r="K2479" t="str">
            <v>-</v>
          </cell>
          <cell r="L2479" t="str">
            <v>OK</v>
          </cell>
        </row>
        <row r="2480">
          <cell r="A2480" t="str">
            <v>AHW-43381I22</v>
          </cell>
          <cell r="B2480">
            <v>4008864</v>
          </cell>
          <cell r="C2480" t="str">
            <v>Original</v>
          </cell>
          <cell r="D2480" t="str">
            <v>CTS</v>
          </cell>
          <cell r="E2480" t="str">
            <v>JP</v>
          </cell>
          <cell r="F2480">
            <v>44762</v>
          </cell>
          <cell r="G2480">
            <v>44770</v>
          </cell>
          <cell r="H2480">
            <v>44772</v>
          </cell>
          <cell r="I2480" t="str">
            <v>04.08.2022</v>
          </cell>
          <cell r="J2480" t="str">
            <v>27.07.2022</v>
          </cell>
          <cell r="K2480" t="str">
            <v>-</v>
          </cell>
          <cell r="L2480" t="str">
            <v>OK</v>
          </cell>
        </row>
        <row r="2481">
          <cell r="A2481" t="str">
            <v>AHW-43382I22</v>
          </cell>
          <cell r="B2481">
            <v>4008863</v>
          </cell>
          <cell r="C2481" t="str">
            <v>Original</v>
          </cell>
          <cell r="D2481" t="str">
            <v>CTS</v>
          </cell>
          <cell r="E2481" t="str">
            <v>JP</v>
          </cell>
          <cell r="F2481">
            <v>44762</v>
          </cell>
          <cell r="G2481">
            <v>44770</v>
          </cell>
          <cell r="H2481">
            <v>44772</v>
          </cell>
          <cell r="I2481" t="str">
            <v>04.08.2022</v>
          </cell>
          <cell r="J2481" t="str">
            <v>27.07.2022</v>
          </cell>
          <cell r="K2481" t="str">
            <v>-</v>
          </cell>
          <cell r="L2481" t="str">
            <v>OK</v>
          </cell>
        </row>
        <row r="2482">
          <cell r="A2482" t="str">
            <v>AHW-43386I22</v>
          </cell>
          <cell r="B2482">
            <v>4008887</v>
          </cell>
          <cell r="C2482" t="str">
            <v>Original</v>
          </cell>
          <cell r="D2482" t="str">
            <v>CTS</v>
          </cell>
          <cell r="E2482" t="str">
            <v>JP</v>
          </cell>
          <cell r="F2482">
            <v>44762</v>
          </cell>
          <cell r="G2482">
            <v>44770</v>
          </cell>
          <cell r="H2482">
            <v>44772</v>
          </cell>
          <cell r="I2482" t="str">
            <v>04.08.2022</v>
          </cell>
          <cell r="J2482" t="str">
            <v>27.07.2022</v>
          </cell>
          <cell r="K2482" t="str">
            <v>-</v>
          </cell>
          <cell r="L2482" t="str">
            <v>OK</v>
          </cell>
        </row>
        <row r="2483">
          <cell r="A2483" t="str">
            <v>AHW-43387I22</v>
          </cell>
          <cell r="B2483">
            <v>4008839</v>
          </cell>
          <cell r="C2483" t="str">
            <v>Original</v>
          </cell>
          <cell r="D2483" t="str">
            <v>CTS</v>
          </cell>
          <cell r="E2483" t="str">
            <v>JP</v>
          </cell>
          <cell r="F2483">
            <v>44762</v>
          </cell>
          <cell r="G2483">
            <v>44770</v>
          </cell>
          <cell r="H2483">
            <v>44772</v>
          </cell>
          <cell r="I2483" t="str">
            <v>10.08.2022</v>
          </cell>
          <cell r="J2483" t="str">
            <v>05.08.2022</v>
          </cell>
          <cell r="K2483" t="str">
            <v>-</v>
          </cell>
          <cell r="L2483" t="str">
            <v>OK</v>
          </cell>
        </row>
        <row r="2484">
          <cell r="A2484" t="str">
            <v>SHW-42747I22</v>
          </cell>
          <cell r="B2484" t="str">
            <v>EGLV149204030374</v>
          </cell>
          <cell r="C2484" t="str">
            <v>Original</v>
          </cell>
          <cell r="D2484" t="str">
            <v>Shenker</v>
          </cell>
          <cell r="E2484" t="str">
            <v>Unitrading</v>
          </cell>
          <cell r="F2484">
            <v>44762</v>
          </cell>
          <cell r="G2484">
            <v>44770</v>
          </cell>
          <cell r="H2484">
            <v>44772</v>
          </cell>
          <cell r="I2484" t="str">
            <v>22.07.2022</v>
          </cell>
          <cell r="J2484" t="str">
            <v>22.07.2022</v>
          </cell>
          <cell r="K2484" t="str">
            <v>-</v>
          </cell>
          <cell r="L2484" t="str">
            <v>OK</v>
          </cell>
        </row>
        <row r="2485">
          <cell r="A2485" t="str">
            <v>AMS-43474I22</v>
          </cell>
          <cell r="B2485" t="str">
            <v>1Z6469V00474568930</v>
          </cell>
          <cell r="C2485" t="str">
            <v>Brasiliense</v>
          </cell>
          <cell r="D2485" t="str">
            <v>UPS</v>
          </cell>
          <cell r="E2485" t="str">
            <v>Future</v>
          </cell>
          <cell r="F2485">
            <v>44762</v>
          </cell>
          <cell r="G2485">
            <v>44770</v>
          </cell>
          <cell r="H2485">
            <v>44772</v>
          </cell>
          <cell r="I2485" t="str">
            <v>05.08.2022</v>
          </cell>
          <cell r="J2485" t="str">
            <v>27.07.2022</v>
          </cell>
          <cell r="K2485" t="str">
            <v>03.08.2022</v>
          </cell>
          <cell r="L2485" t="str">
            <v>OK</v>
          </cell>
        </row>
        <row r="2486">
          <cell r="A2486" t="str">
            <v>AMS-43289I22</v>
          </cell>
          <cell r="B2486" t="str">
            <v>1Z6469V00474663363</v>
          </cell>
          <cell r="C2486" t="str">
            <v>Brasiliense</v>
          </cell>
          <cell r="D2486" t="str">
            <v>UPS</v>
          </cell>
          <cell r="E2486" t="str">
            <v>Future</v>
          </cell>
          <cell r="F2486">
            <v>44762</v>
          </cell>
          <cell r="G2486">
            <v>44770</v>
          </cell>
          <cell r="H2486">
            <v>44772</v>
          </cell>
          <cell r="I2486" t="str">
            <v>05.08.2022</v>
          </cell>
          <cell r="J2486" t="str">
            <v>27.07.2022</v>
          </cell>
          <cell r="K2486" t="str">
            <v>03.08.2022</v>
          </cell>
          <cell r="L2486" t="str">
            <v>OK</v>
          </cell>
        </row>
        <row r="2487">
          <cell r="A2487" t="str">
            <v>AMS-43408I22</v>
          </cell>
          <cell r="B2487" t="str">
            <v>1Z6469V00474985391</v>
          </cell>
          <cell r="C2487" t="str">
            <v>Brasiliense</v>
          </cell>
          <cell r="D2487" t="str">
            <v>UPS</v>
          </cell>
          <cell r="E2487" t="str">
            <v>Future</v>
          </cell>
          <cell r="F2487">
            <v>44762</v>
          </cell>
          <cell r="G2487">
            <v>44770</v>
          </cell>
          <cell r="H2487">
            <v>44772</v>
          </cell>
          <cell r="I2487" t="str">
            <v>05.08.2022</v>
          </cell>
          <cell r="J2487" t="str">
            <v>27.07.2022</v>
          </cell>
          <cell r="K2487" t="str">
            <v>03.08.2022</v>
          </cell>
          <cell r="L2487" t="str">
            <v>OK</v>
          </cell>
        </row>
        <row r="2488">
          <cell r="A2488" t="str">
            <v>AMS-43410I22</v>
          </cell>
          <cell r="B2488" t="str">
            <v>1Z6469V00475073605</v>
          </cell>
          <cell r="C2488" t="str">
            <v>Brasiliense</v>
          </cell>
          <cell r="D2488" t="str">
            <v>UPS</v>
          </cell>
          <cell r="E2488" t="str">
            <v>Future</v>
          </cell>
          <cell r="F2488">
            <v>44762</v>
          </cell>
          <cell r="G2488">
            <v>44770</v>
          </cell>
          <cell r="H2488">
            <v>44772</v>
          </cell>
          <cell r="I2488" t="str">
            <v>05.08.2022</v>
          </cell>
          <cell r="J2488" t="str">
            <v>27.07.2022</v>
          </cell>
          <cell r="K2488" t="str">
            <v>03.08.2022</v>
          </cell>
          <cell r="L2488" t="str">
            <v>OK</v>
          </cell>
        </row>
        <row r="2489">
          <cell r="A2489" t="str">
            <v>SHW-43079I22</v>
          </cell>
          <cell r="B2489" t="str">
            <v>EGLV149204542961</v>
          </cell>
          <cell r="C2489" t="str">
            <v>Original</v>
          </cell>
          <cell r="D2489" t="str">
            <v>Shenker</v>
          </cell>
          <cell r="E2489" t="str">
            <v>Unitrading</v>
          </cell>
          <cell r="F2489">
            <v>44763</v>
          </cell>
          <cell r="G2489">
            <v>44771</v>
          </cell>
          <cell r="H2489">
            <v>44773</v>
          </cell>
          <cell r="I2489" t="str">
            <v>11.08.2022</v>
          </cell>
          <cell r="J2489" t="str">
            <v>22.07.2022</v>
          </cell>
          <cell r="K2489" t="str">
            <v>-</v>
          </cell>
          <cell r="L2489" t="str">
            <v>OK</v>
          </cell>
        </row>
        <row r="2490">
          <cell r="A2490" t="str">
            <v>AHW-43415I22</v>
          </cell>
          <cell r="B2490" t="str">
            <v>CTS4009114</v>
          </cell>
          <cell r="C2490" t="str">
            <v>Original</v>
          </cell>
          <cell r="D2490" t="str">
            <v>CTS</v>
          </cell>
          <cell r="E2490" t="str">
            <v>JP</v>
          </cell>
          <cell r="F2490">
            <v>44763</v>
          </cell>
          <cell r="G2490">
            <v>44771</v>
          </cell>
          <cell r="H2490">
            <v>44773</v>
          </cell>
          <cell r="I2490" t="str">
            <v>10.08.2022</v>
          </cell>
          <cell r="J2490" t="str">
            <v>08.08.2022</v>
          </cell>
          <cell r="K2490" t="str">
            <v>-</v>
          </cell>
          <cell r="L2490" t="str">
            <v>OK</v>
          </cell>
        </row>
        <row r="2491">
          <cell r="A2491" t="str">
            <v>AHW-43468I22</v>
          </cell>
          <cell r="B2491" t="str">
            <v>CTS4009129</v>
          </cell>
          <cell r="C2491" t="str">
            <v>Original</v>
          </cell>
          <cell r="D2491" t="str">
            <v>CTS</v>
          </cell>
          <cell r="E2491" t="str">
            <v>JP</v>
          </cell>
          <cell r="F2491">
            <v>44763</v>
          </cell>
          <cell r="G2491">
            <v>44771</v>
          </cell>
          <cell r="H2491">
            <v>44773</v>
          </cell>
          <cell r="I2491" t="str">
            <v>10.08.2022</v>
          </cell>
          <cell r="J2491" t="str">
            <v>08.08.2022</v>
          </cell>
          <cell r="K2491" t="str">
            <v>-</v>
          </cell>
          <cell r="L2491" t="str">
            <v>OK</v>
          </cell>
        </row>
        <row r="2492">
          <cell r="A2492" t="str">
            <v>AHW-43383I22</v>
          </cell>
          <cell r="B2492">
            <v>4008900</v>
          </cell>
          <cell r="C2492" t="str">
            <v>Original</v>
          </cell>
          <cell r="D2492" t="str">
            <v>CTS</v>
          </cell>
          <cell r="E2492" t="str">
            <v>JP</v>
          </cell>
          <cell r="F2492">
            <v>44767</v>
          </cell>
          <cell r="G2492">
            <v>44775</v>
          </cell>
          <cell r="H2492">
            <v>44777</v>
          </cell>
          <cell r="I2492" t="str">
            <v>10.08.2022</v>
          </cell>
          <cell r="J2492" t="str">
            <v>05.08.2022</v>
          </cell>
          <cell r="K2492" t="str">
            <v>-</v>
          </cell>
          <cell r="L2492" t="str">
            <v>OK</v>
          </cell>
        </row>
        <row r="2493">
          <cell r="A2493" t="str">
            <v>AHW-43394I22</v>
          </cell>
          <cell r="B2493">
            <v>4009107</v>
          </cell>
          <cell r="C2493" t="str">
            <v>Original</v>
          </cell>
          <cell r="D2493" t="str">
            <v>CTS</v>
          </cell>
          <cell r="E2493" t="str">
            <v>JP</v>
          </cell>
          <cell r="F2493">
            <v>44767</v>
          </cell>
          <cell r="G2493">
            <v>44775</v>
          </cell>
          <cell r="H2493">
            <v>44777</v>
          </cell>
          <cell r="I2493" t="str">
            <v>04.08.2022</v>
          </cell>
          <cell r="J2493" t="str">
            <v>07.08.2022</v>
          </cell>
          <cell r="K2493" t="str">
            <v>-</v>
          </cell>
          <cell r="L2493" t="str">
            <v>OK</v>
          </cell>
        </row>
        <row r="2494">
          <cell r="A2494" t="str">
            <v>AHW-43398I22</v>
          </cell>
          <cell r="B2494">
            <v>4008917</v>
          </cell>
          <cell r="C2494" t="str">
            <v>Original</v>
          </cell>
          <cell r="D2494" t="str">
            <v>CTS</v>
          </cell>
          <cell r="E2494" t="str">
            <v>JP</v>
          </cell>
          <cell r="F2494">
            <v>44768</v>
          </cell>
          <cell r="G2494">
            <v>44776</v>
          </cell>
          <cell r="H2494">
            <v>44778</v>
          </cell>
          <cell r="I2494" t="str">
            <v>10.08.2022</v>
          </cell>
          <cell r="J2494" t="str">
            <v>05.08.2022</v>
          </cell>
          <cell r="K2494" t="str">
            <v>-</v>
          </cell>
          <cell r="L2494" t="str">
            <v>OK</v>
          </cell>
        </row>
        <row r="2495">
          <cell r="A2495" t="str">
            <v>AMS-43409I22</v>
          </cell>
          <cell r="B2495" t="str">
            <v>1Z6469V00474881305</v>
          </cell>
          <cell r="C2495" t="str">
            <v>Brasiliense</v>
          </cell>
          <cell r="D2495" t="str">
            <v>UPS</v>
          </cell>
          <cell r="E2495" t="str">
            <v>Future</v>
          </cell>
          <cell r="F2495">
            <v>44767</v>
          </cell>
          <cell r="G2495">
            <v>44775</v>
          </cell>
          <cell r="H2495">
            <v>44777</v>
          </cell>
          <cell r="I2495" t="str">
            <v>05.08.2022</v>
          </cell>
          <cell r="J2495" t="str">
            <v>27.07.2022</v>
          </cell>
          <cell r="K2495" t="str">
            <v>04.08.2022</v>
          </cell>
          <cell r="L2495" t="str">
            <v>OK</v>
          </cell>
        </row>
        <row r="2496">
          <cell r="A2496" t="str">
            <v>AMS-43476I22</v>
          </cell>
          <cell r="B2496" t="str">
            <v>1Z6469V00474419047</v>
          </cell>
          <cell r="C2496" t="str">
            <v>Brasiliense</v>
          </cell>
          <cell r="D2496" t="str">
            <v>UPS</v>
          </cell>
          <cell r="E2496" t="str">
            <v>Future</v>
          </cell>
          <cell r="F2496">
            <v>44767</v>
          </cell>
          <cell r="G2496">
            <v>44775</v>
          </cell>
          <cell r="H2496">
            <v>44777</v>
          </cell>
          <cell r="I2496" t="str">
            <v>05.08.2022</v>
          </cell>
          <cell r="J2496" t="str">
            <v>07.08.2022</v>
          </cell>
          <cell r="K2496" t="str">
            <v>04.08.2022</v>
          </cell>
          <cell r="L2496" t="str">
            <v>OK</v>
          </cell>
        </row>
        <row r="2497">
          <cell r="A2497" t="str">
            <v>AMS-43477I22</v>
          </cell>
          <cell r="B2497" t="str">
            <v>1Z6469V00473611483</v>
          </cell>
          <cell r="C2497" t="str">
            <v>Brasiliense</v>
          </cell>
          <cell r="D2497" t="str">
            <v>UPS</v>
          </cell>
          <cell r="E2497" t="str">
            <v>Future</v>
          </cell>
          <cell r="F2497">
            <v>44767</v>
          </cell>
          <cell r="G2497">
            <v>44775</v>
          </cell>
          <cell r="H2497">
            <v>44777</v>
          </cell>
          <cell r="I2497" t="str">
            <v>05.08.2022</v>
          </cell>
          <cell r="J2497" t="str">
            <v>07.08.2022</v>
          </cell>
          <cell r="K2497" t="str">
            <v>04.08.2022</v>
          </cell>
          <cell r="L2497" t="str">
            <v>OK</v>
          </cell>
        </row>
        <row r="2498">
          <cell r="A2498" t="str">
            <v>AMS-43478I22</v>
          </cell>
          <cell r="B2498" t="str">
            <v>1Z6469V00473706774</v>
          </cell>
          <cell r="C2498" t="str">
            <v>Brasiliense</v>
          </cell>
          <cell r="D2498" t="str">
            <v>UPS</v>
          </cell>
          <cell r="E2498" t="str">
            <v>Future</v>
          </cell>
          <cell r="F2498">
            <v>44767</v>
          </cell>
          <cell r="G2498">
            <v>44775</v>
          </cell>
          <cell r="H2498">
            <v>44777</v>
          </cell>
          <cell r="I2498" t="str">
            <v>05.08.2022</v>
          </cell>
          <cell r="J2498" t="str">
            <v>07.08.2022</v>
          </cell>
          <cell r="K2498" t="str">
            <v>04.08.2022</v>
          </cell>
          <cell r="L2498" t="str">
            <v>OK</v>
          </cell>
        </row>
        <row r="2499">
          <cell r="A2499" t="str">
            <v>AMS-43479I22</v>
          </cell>
          <cell r="B2499" t="str">
            <v>1Z6469V00473468399</v>
          </cell>
          <cell r="C2499" t="str">
            <v>Brasiliense</v>
          </cell>
          <cell r="D2499" t="str">
            <v>UPS</v>
          </cell>
          <cell r="E2499" t="str">
            <v>Future</v>
          </cell>
          <cell r="F2499">
            <v>44767</v>
          </cell>
          <cell r="G2499">
            <v>44775</v>
          </cell>
          <cell r="H2499">
            <v>44777</v>
          </cell>
          <cell r="I2499" t="str">
            <v>05.08.2022</v>
          </cell>
          <cell r="J2499" t="str">
            <v>07.08.2022</v>
          </cell>
          <cell r="K2499" t="str">
            <v>04.08.2022</v>
          </cell>
          <cell r="L2499" t="str">
            <v>OK</v>
          </cell>
        </row>
        <row r="2500">
          <cell r="A2500" t="str">
            <v>AMS-43480I22</v>
          </cell>
          <cell r="B2500" t="str">
            <v>1Z6469V00473736607</v>
          </cell>
          <cell r="C2500" t="str">
            <v>Brasiliense</v>
          </cell>
          <cell r="D2500" t="str">
            <v>UPS</v>
          </cell>
          <cell r="E2500" t="str">
            <v>Future</v>
          </cell>
          <cell r="F2500">
            <v>44767</v>
          </cell>
          <cell r="G2500">
            <v>44775</v>
          </cell>
          <cell r="H2500">
            <v>44777</v>
          </cell>
          <cell r="I2500" t="str">
            <v>05.08.2022</v>
          </cell>
          <cell r="J2500" t="str">
            <v>07.08.2022</v>
          </cell>
          <cell r="K2500" t="str">
            <v>04.08.2022</v>
          </cell>
          <cell r="L2500" t="str">
            <v>OK</v>
          </cell>
        </row>
        <row r="2501">
          <cell r="A2501" t="str">
            <v>AMS-43411I22</v>
          </cell>
          <cell r="B2501" t="str">
            <v>1Z6469V00474224613</v>
          </cell>
          <cell r="C2501" t="str">
            <v>Brasiliense</v>
          </cell>
          <cell r="D2501" t="str">
            <v>UPS</v>
          </cell>
          <cell r="E2501" t="str">
            <v>Future</v>
          </cell>
          <cell r="F2501">
            <v>44768</v>
          </cell>
          <cell r="G2501">
            <v>44776</v>
          </cell>
          <cell r="H2501">
            <v>44778</v>
          </cell>
          <cell r="I2501" t="str">
            <v>05.08.2022</v>
          </cell>
          <cell r="J2501" t="str">
            <v>07.08.2022</v>
          </cell>
          <cell r="K2501" t="str">
            <v>04.08.2022</v>
          </cell>
          <cell r="L2501" t="str">
            <v>OK</v>
          </cell>
        </row>
        <row r="2502">
          <cell r="A2502" t="str">
            <v>AMS-43412I22</v>
          </cell>
          <cell r="B2502" t="str">
            <v>1Z6469V00473007805</v>
          </cell>
          <cell r="C2502" t="str">
            <v>Brasiliense</v>
          </cell>
          <cell r="D2502" t="str">
            <v>UPS</v>
          </cell>
          <cell r="E2502" t="str">
            <v>Future</v>
          </cell>
          <cell r="F2502">
            <v>44768</v>
          </cell>
          <cell r="G2502">
            <v>44776</v>
          </cell>
          <cell r="H2502">
            <v>44778</v>
          </cell>
          <cell r="I2502" t="str">
            <v>05.08.2022</v>
          </cell>
          <cell r="J2502" t="str">
            <v>07.08.2022</v>
          </cell>
          <cell r="K2502" t="str">
            <v>04.08.2022</v>
          </cell>
          <cell r="L2502" t="str">
            <v>OK</v>
          </cell>
        </row>
        <row r="2503">
          <cell r="A2503" t="str">
            <v>AMS-43413I22</v>
          </cell>
          <cell r="B2503" t="str">
            <v>1Z6469V00475307595</v>
          </cell>
          <cell r="C2503" t="str">
            <v>Brasiliense</v>
          </cell>
          <cell r="D2503" t="str">
            <v>UPS</v>
          </cell>
          <cell r="E2503" t="str">
            <v>Future</v>
          </cell>
          <cell r="F2503">
            <v>44768</v>
          </cell>
          <cell r="G2503">
            <v>44776</v>
          </cell>
          <cell r="H2503">
            <v>44778</v>
          </cell>
          <cell r="I2503" t="str">
            <v>05.08.2022</v>
          </cell>
          <cell r="J2503" t="str">
            <v>07.08.2022</v>
          </cell>
          <cell r="K2503" t="str">
            <v>04.08.2022</v>
          </cell>
          <cell r="L2503" t="str">
            <v>OK</v>
          </cell>
        </row>
        <row r="2504">
          <cell r="A2504" t="str">
            <v>SHW-43080I22</v>
          </cell>
          <cell r="B2504" t="str">
            <v>EGLV149204819385</v>
          </cell>
          <cell r="C2504" t="str">
            <v>Original</v>
          </cell>
          <cell r="D2504" t="str">
            <v>Shenker</v>
          </cell>
          <cell r="E2504" t="str">
            <v>Unitrading</v>
          </cell>
          <cell r="F2504">
            <v>44767</v>
          </cell>
          <cell r="G2504">
            <v>44775</v>
          </cell>
          <cell r="H2504">
            <v>44777</v>
          </cell>
          <cell r="I2504" t="str">
            <v>11.08.2022</v>
          </cell>
          <cell r="J2504" t="str">
            <v>03.08.2022</v>
          </cell>
          <cell r="K2504" t="str">
            <v>-</v>
          </cell>
          <cell r="L2504" t="str">
            <v>OK</v>
          </cell>
        </row>
        <row r="2505">
          <cell r="A2505" t="str">
            <v>AMS-43481I22</v>
          </cell>
          <cell r="B2505" t="str">
            <v>1Z6469V00475880644</v>
          </cell>
          <cell r="C2505" t="str">
            <v>Brasiliense</v>
          </cell>
          <cell r="D2505" t="str">
            <v>UPS</v>
          </cell>
          <cell r="E2505" t="str">
            <v>Future</v>
          </cell>
          <cell r="F2505">
            <v>44771</v>
          </cell>
          <cell r="G2505">
            <v>44779</v>
          </cell>
          <cell r="H2505">
            <v>44781</v>
          </cell>
          <cell r="I2505" t="str">
            <v>05.08.2022</v>
          </cell>
          <cell r="J2505" t="str">
            <v>07.08.2022</v>
          </cell>
          <cell r="K2505" t="str">
            <v>16.08.2022</v>
          </cell>
          <cell r="L2505" t="str">
            <v>OK</v>
          </cell>
        </row>
        <row r="2506">
          <cell r="A2506" t="str">
            <v>AMS-43629I22</v>
          </cell>
          <cell r="B2506" t="str">
            <v>1Z6469V00474697407</v>
          </cell>
          <cell r="C2506" t="str">
            <v>Brasiliense</v>
          </cell>
          <cell r="D2506" t="str">
            <v>UPS</v>
          </cell>
          <cell r="E2506" t="str">
            <v>Future</v>
          </cell>
          <cell r="F2506">
            <v>44771</v>
          </cell>
          <cell r="G2506">
            <v>44779</v>
          </cell>
          <cell r="H2506">
            <v>44781</v>
          </cell>
          <cell r="I2506" t="str">
            <v>05.08.2022</v>
          </cell>
          <cell r="J2506" t="str">
            <v>07.08.2022</v>
          </cell>
          <cell r="K2506" t="str">
            <v>16.08.2022</v>
          </cell>
          <cell r="L2506" t="str">
            <v>OK</v>
          </cell>
        </row>
        <row r="2507">
          <cell r="A2507" t="str">
            <v>AMS-43630I22</v>
          </cell>
          <cell r="B2507" t="str">
            <v>1Z6469V00474330212</v>
          </cell>
          <cell r="C2507" t="str">
            <v>Brasiliense</v>
          </cell>
          <cell r="D2507" t="str">
            <v>UPS</v>
          </cell>
          <cell r="E2507" t="str">
            <v>Future</v>
          </cell>
          <cell r="F2507">
            <v>44771</v>
          </cell>
          <cell r="G2507">
            <v>44779</v>
          </cell>
          <cell r="H2507">
            <v>44781</v>
          </cell>
          <cell r="I2507" t="str">
            <v>05.08.2022</v>
          </cell>
          <cell r="J2507" t="str">
            <v>07.08.2022</v>
          </cell>
          <cell r="K2507" t="str">
            <v>16.08.2022</v>
          </cell>
          <cell r="L2507" t="str">
            <v>OK</v>
          </cell>
        </row>
        <row r="2508">
          <cell r="A2508" t="str">
            <v>AMS-43633I22</v>
          </cell>
          <cell r="B2508" t="str">
            <v>1Z6469V00473388010</v>
          </cell>
          <cell r="C2508" t="str">
            <v>Brasiliense</v>
          </cell>
          <cell r="D2508" t="str">
            <v>UPS</v>
          </cell>
          <cell r="E2508" t="str">
            <v>Future</v>
          </cell>
          <cell r="F2508">
            <v>44774</v>
          </cell>
          <cell r="G2508">
            <v>44782</v>
          </cell>
          <cell r="H2508">
            <v>44784</v>
          </cell>
          <cell r="I2508" t="str">
            <v>05.08.2022</v>
          </cell>
          <cell r="J2508" t="str">
            <v>26.08.2022</v>
          </cell>
          <cell r="K2508" t="str">
            <v>16.08.2022</v>
          </cell>
          <cell r="L2508" t="str">
            <v>OK</v>
          </cell>
        </row>
        <row r="2509">
          <cell r="A2509" t="str">
            <v>AMS-43634I22</v>
          </cell>
          <cell r="B2509" t="str">
            <v>1Z6469V00474510045</v>
          </cell>
          <cell r="C2509" t="str">
            <v>Brasiliense</v>
          </cell>
          <cell r="D2509" t="str">
            <v>UPS</v>
          </cell>
          <cell r="E2509" t="str">
            <v>Future</v>
          </cell>
          <cell r="F2509">
            <v>44774</v>
          </cell>
          <cell r="G2509">
            <v>44782</v>
          </cell>
          <cell r="H2509">
            <v>44784</v>
          </cell>
          <cell r="I2509" t="str">
            <v>05.08.2022</v>
          </cell>
          <cell r="J2509" t="str">
            <v>26.08.2022</v>
          </cell>
          <cell r="K2509" t="str">
            <v>16.08.2022</v>
          </cell>
          <cell r="L2509" t="str">
            <v>OK</v>
          </cell>
        </row>
        <row r="2510">
          <cell r="A2510" t="str">
            <v>AHW-43483I22</v>
          </cell>
          <cell r="B2510">
            <v>4009142</v>
          </cell>
          <cell r="C2510" t="str">
            <v>Original</v>
          </cell>
          <cell r="D2510" t="str">
            <v>CTS</v>
          </cell>
          <cell r="E2510" t="str">
            <v>JP</v>
          </cell>
          <cell r="F2510">
            <v>44769</v>
          </cell>
          <cell r="G2510">
            <v>44777</v>
          </cell>
          <cell r="H2510">
            <v>44779</v>
          </cell>
          <cell r="I2510" t="str">
            <v>16.08.2022</v>
          </cell>
          <cell r="J2510" t="str">
            <v>16.08.2022</v>
          </cell>
          <cell r="K2510" t="str">
            <v>-</v>
          </cell>
          <cell r="L2510" t="str">
            <v>OK</v>
          </cell>
        </row>
        <row r="2511">
          <cell r="A2511" t="str">
            <v>AHW-43809I22</v>
          </cell>
          <cell r="B2511">
            <v>4009270</v>
          </cell>
          <cell r="C2511" t="str">
            <v>Original</v>
          </cell>
          <cell r="D2511" t="str">
            <v>CTS</v>
          </cell>
          <cell r="E2511" t="str">
            <v>JP</v>
          </cell>
          <cell r="F2511">
            <v>44775</v>
          </cell>
          <cell r="G2511">
            <v>44783</v>
          </cell>
          <cell r="H2511">
            <v>44785</v>
          </cell>
          <cell r="I2511" t="str">
            <v>14.09.2022</v>
          </cell>
          <cell r="J2511" t="str">
            <v>24.08.2022</v>
          </cell>
          <cell r="K2511" t="str">
            <v>-</v>
          </cell>
          <cell r="L2511" t="str">
            <v>OK</v>
          </cell>
        </row>
        <row r="2512">
          <cell r="A2512" t="str">
            <v>AHW-43810I22</v>
          </cell>
          <cell r="B2512">
            <v>4009275</v>
          </cell>
          <cell r="C2512" t="str">
            <v>Original</v>
          </cell>
          <cell r="D2512" t="str">
            <v>CTS</v>
          </cell>
          <cell r="E2512" t="str">
            <v>JP</v>
          </cell>
          <cell r="F2512">
            <v>44775</v>
          </cell>
          <cell r="G2512">
            <v>44783</v>
          </cell>
          <cell r="H2512">
            <v>44785</v>
          </cell>
          <cell r="I2512" t="str">
            <v>14.09.2022</v>
          </cell>
          <cell r="J2512" t="str">
            <v>24.08.2022</v>
          </cell>
          <cell r="K2512" t="str">
            <v>-</v>
          </cell>
          <cell r="L2512" t="str">
            <v>OK</v>
          </cell>
        </row>
        <row r="2513">
          <cell r="A2513" t="str">
            <v>AHW-43714I22</v>
          </cell>
          <cell r="B2513">
            <v>4009239</v>
          </cell>
          <cell r="C2513" t="str">
            <v>Original</v>
          </cell>
          <cell r="D2513" t="str">
            <v>CTS</v>
          </cell>
          <cell r="E2513" t="str">
            <v>JP</v>
          </cell>
          <cell r="F2513">
            <v>44775</v>
          </cell>
          <cell r="G2513">
            <v>44783</v>
          </cell>
          <cell r="H2513">
            <v>44785</v>
          </cell>
          <cell r="I2513" t="str">
            <v>16.09.2022</v>
          </cell>
          <cell r="J2513" t="str">
            <v>24.08.2022</v>
          </cell>
          <cell r="K2513" t="str">
            <v>-</v>
          </cell>
          <cell r="L2513" t="str">
            <v>OK</v>
          </cell>
        </row>
        <row r="2514">
          <cell r="A2514" t="str">
            <v>AHW-43715I22</v>
          </cell>
          <cell r="B2514">
            <v>4009269</v>
          </cell>
          <cell r="C2514" t="str">
            <v>Original</v>
          </cell>
          <cell r="D2514" t="str">
            <v>CTS</v>
          </cell>
          <cell r="E2514" t="str">
            <v>JP</v>
          </cell>
          <cell r="F2514">
            <v>44775</v>
          </cell>
          <cell r="G2514">
            <v>44783</v>
          </cell>
          <cell r="H2514">
            <v>44785</v>
          </cell>
          <cell r="I2514" t="str">
            <v>14.09.2022</v>
          </cell>
          <cell r="J2514" t="str">
            <v>24.08.2022</v>
          </cell>
          <cell r="K2514" t="str">
            <v>-</v>
          </cell>
          <cell r="L2514" t="str">
            <v>OK</v>
          </cell>
        </row>
        <row r="2515">
          <cell r="A2515" t="str">
            <v>AHW-43716I22</v>
          </cell>
          <cell r="B2515">
            <v>4009221</v>
          </cell>
          <cell r="C2515" t="str">
            <v>Original</v>
          </cell>
          <cell r="D2515" t="str">
            <v>CTS</v>
          </cell>
          <cell r="E2515" t="str">
            <v>JP</v>
          </cell>
          <cell r="F2515">
            <v>44776</v>
          </cell>
          <cell r="G2515">
            <v>44784</v>
          </cell>
          <cell r="H2515">
            <v>44786</v>
          </cell>
          <cell r="I2515" t="str">
            <v>16.08.2022</v>
          </cell>
          <cell r="J2515" t="str">
            <v>26.08.2022</v>
          </cell>
          <cell r="K2515" t="str">
            <v>-</v>
          </cell>
          <cell r="L2515" t="str">
            <v>OK</v>
          </cell>
        </row>
        <row r="2516">
          <cell r="A2516" t="str">
            <v>SHW-43082I22</v>
          </cell>
          <cell r="B2516">
            <v>219309241</v>
          </cell>
          <cell r="C2516" t="str">
            <v>Original</v>
          </cell>
          <cell r="D2516" t="str">
            <v>Shenker</v>
          </cell>
          <cell r="E2516" t="str">
            <v>Unitrading</v>
          </cell>
          <cell r="F2516">
            <v>44770</v>
          </cell>
          <cell r="G2516">
            <v>44778</v>
          </cell>
          <cell r="H2516">
            <v>44780</v>
          </cell>
          <cell r="I2516" t="str">
            <v>11.08.2022</v>
          </cell>
          <cell r="J2516" t="str">
            <v>03.08.2022</v>
          </cell>
          <cell r="K2516" t="str">
            <v>-</v>
          </cell>
          <cell r="L2516" t="str">
            <v>OK</v>
          </cell>
        </row>
        <row r="2517">
          <cell r="A2517" t="str">
            <v>AHW-43393I22</v>
          </cell>
          <cell r="B2517">
            <v>4009102</v>
          </cell>
          <cell r="C2517" t="str">
            <v>Original</v>
          </cell>
          <cell r="D2517" t="str">
            <v>CTS</v>
          </cell>
          <cell r="E2517" t="str">
            <v>JP</v>
          </cell>
          <cell r="F2517">
            <v>44782</v>
          </cell>
          <cell r="G2517">
            <v>44790</v>
          </cell>
          <cell r="H2517">
            <v>44792</v>
          </cell>
          <cell r="I2517" t="str">
            <v>17.08.2022</v>
          </cell>
          <cell r="J2517" t="str">
            <v>26.08.2022</v>
          </cell>
          <cell r="K2517" t="str">
            <v>-</v>
          </cell>
          <cell r="L2517" t="str">
            <v>OK</v>
          </cell>
        </row>
        <row r="2518">
          <cell r="A2518" t="str">
            <v>AHW-43397I22</v>
          </cell>
          <cell r="B2518">
            <v>4009110</v>
          </cell>
          <cell r="C2518" t="str">
            <v>Original</v>
          </cell>
          <cell r="D2518" t="str">
            <v>CTS</v>
          </cell>
          <cell r="E2518" t="str">
            <v>JP</v>
          </cell>
          <cell r="F2518">
            <v>44782</v>
          </cell>
          <cell r="G2518">
            <v>44790</v>
          </cell>
          <cell r="H2518">
            <v>44792</v>
          </cell>
          <cell r="I2518" t="str">
            <v>17.08.2022</v>
          </cell>
          <cell r="J2518" t="str">
            <v>26.08.2022</v>
          </cell>
          <cell r="K2518" t="str">
            <v>-</v>
          </cell>
          <cell r="L2518" t="str">
            <v>OK</v>
          </cell>
        </row>
        <row r="2519">
          <cell r="A2519" t="str">
            <v>AHW-43544I22</v>
          </cell>
          <cell r="B2519">
            <v>4009159</v>
          </cell>
          <cell r="C2519" t="str">
            <v>Original</v>
          </cell>
          <cell r="D2519" t="str">
            <v>CTS</v>
          </cell>
          <cell r="E2519" t="str">
            <v>JP</v>
          </cell>
          <cell r="F2519">
            <v>44782</v>
          </cell>
          <cell r="G2519">
            <v>44790</v>
          </cell>
          <cell r="H2519">
            <v>44792</v>
          </cell>
          <cell r="I2519" t="str">
            <v>24.08.2022</v>
          </cell>
          <cell r="J2519" t="str">
            <v>26.08.2022</v>
          </cell>
          <cell r="K2519" t="str">
            <v>-</v>
          </cell>
          <cell r="L2519" t="str">
            <v>OK</v>
          </cell>
        </row>
        <row r="2520">
          <cell r="A2520" t="str">
            <v>AHW-43545I22</v>
          </cell>
          <cell r="B2520">
            <v>4009156</v>
          </cell>
          <cell r="C2520" t="str">
            <v>Original</v>
          </cell>
          <cell r="D2520" t="str">
            <v>CTS</v>
          </cell>
          <cell r="E2520" t="str">
            <v>JP</v>
          </cell>
          <cell r="F2520">
            <v>44782</v>
          </cell>
          <cell r="G2520">
            <v>44790</v>
          </cell>
          <cell r="H2520">
            <v>44792</v>
          </cell>
          <cell r="I2520" t="str">
            <v>17.08.2022</v>
          </cell>
          <cell r="J2520" t="str">
            <v>26.08.2022</v>
          </cell>
          <cell r="K2520" t="str">
            <v>-</v>
          </cell>
          <cell r="L2520" t="str">
            <v>OK</v>
          </cell>
        </row>
        <row r="2521">
          <cell r="A2521" t="str">
            <v>AHW-43546I22</v>
          </cell>
          <cell r="B2521">
            <v>4009177</v>
          </cell>
          <cell r="C2521" t="str">
            <v>Original</v>
          </cell>
          <cell r="D2521" t="str">
            <v>CTS</v>
          </cell>
          <cell r="E2521" t="str">
            <v>JP</v>
          </cell>
          <cell r="F2521">
            <v>44782</v>
          </cell>
          <cell r="G2521">
            <v>44790</v>
          </cell>
          <cell r="H2521">
            <v>44792</v>
          </cell>
          <cell r="I2521" t="str">
            <v>17.08.2022</v>
          </cell>
          <cell r="J2521" t="str">
            <v>26.08.2022</v>
          </cell>
          <cell r="K2521" t="str">
            <v>-</v>
          </cell>
          <cell r="L2521" t="str">
            <v>OK</v>
          </cell>
        </row>
        <row r="2522">
          <cell r="A2522" t="str">
            <v>AHW-43622I22</v>
          </cell>
          <cell r="B2522">
            <v>4009188</v>
          </cell>
          <cell r="C2522" t="str">
            <v>Original</v>
          </cell>
          <cell r="D2522" t="str">
            <v>CTS</v>
          </cell>
          <cell r="E2522" t="str">
            <v>JP</v>
          </cell>
          <cell r="F2522">
            <v>44782</v>
          </cell>
          <cell r="G2522">
            <v>44790</v>
          </cell>
          <cell r="H2522">
            <v>44792</v>
          </cell>
          <cell r="I2522" t="str">
            <v>17.08.2022</v>
          </cell>
          <cell r="J2522" t="str">
            <v>26.08.2022</v>
          </cell>
          <cell r="K2522" t="str">
            <v>-</v>
          </cell>
          <cell r="L2522" t="str">
            <v>OK</v>
          </cell>
        </row>
        <row r="2523">
          <cell r="A2523" t="str">
            <v>AHW-43623I22</v>
          </cell>
          <cell r="B2523">
            <v>4009189</v>
          </cell>
          <cell r="C2523" t="str">
            <v>Original</v>
          </cell>
          <cell r="D2523" t="str">
            <v>CTS</v>
          </cell>
          <cell r="E2523" t="str">
            <v>JP</v>
          </cell>
          <cell r="F2523">
            <v>44782</v>
          </cell>
          <cell r="G2523">
            <v>44790</v>
          </cell>
          <cell r="H2523">
            <v>44792</v>
          </cell>
          <cell r="I2523" t="str">
            <v>17.08.2022</v>
          </cell>
          <cell r="J2523" t="str">
            <v>26.08.2022</v>
          </cell>
          <cell r="K2523" t="str">
            <v>-</v>
          </cell>
          <cell r="L2523" t="str">
            <v>OK</v>
          </cell>
        </row>
        <row r="2524">
          <cell r="A2524" t="str">
            <v>AHW-43631I22</v>
          </cell>
          <cell r="B2524">
            <v>4009207</v>
          </cell>
          <cell r="C2524" t="str">
            <v>Original</v>
          </cell>
          <cell r="D2524" t="str">
            <v>CTS</v>
          </cell>
          <cell r="E2524" t="str">
            <v>JP</v>
          </cell>
          <cell r="F2524">
            <v>44782</v>
          </cell>
          <cell r="G2524">
            <v>44790</v>
          </cell>
          <cell r="H2524">
            <v>44792</v>
          </cell>
          <cell r="I2524" t="str">
            <v>17.08.2022</v>
          </cell>
          <cell r="J2524" t="str">
            <v>26.08.2022</v>
          </cell>
          <cell r="K2524" t="str">
            <v>-</v>
          </cell>
          <cell r="L2524" t="str">
            <v>OK</v>
          </cell>
        </row>
        <row r="2525">
          <cell r="A2525" t="str">
            <v>AHW-43717I22</v>
          </cell>
          <cell r="B2525">
            <v>4009243</v>
          </cell>
          <cell r="C2525" t="str">
            <v>Original</v>
          </cell>
          <cell r="D2525" t="str">
            <v>CTS</v>
          </cell>
          <cell r="E2525" t="str">
            <v>JP</v>
          </cell>
          <cell r="F2525">
            <v>44782</v>
          </cell>
          <cell r="G2525">
            <v>44790</v>
          </cell>
          <cell r="H2525">
            <v>44792</v>
          </cell>
          <cell r="I2525" t="str">
            <v>17.08.2022</v>
          </cell>
          <cell r="J2525" t="str">
            <v>26.08.2022</v>
          </cell>
          <cell r="K2525" t="str">
            <v>-</v>
          </cell>
          <cell r="L2525" t="str">
            <v>OK</v>
          </cell>
        </row>
        <row r="2526">
          <cell r="A2526" t="str">
            <v>AHW-43718I22</v>
          </cell>
          <cell r="B2526">
            <v>4009258</v>
          </cell>
          <cell r="C2526" t="str">
            <v>Original</v>
          </cell>
          <cell r="D2526" t="str">
            <v>CTS</v>
          </cell>
          <cell r="E2526" t="str">
            <v>JP</v>
          </cell>
          <cell r="F2526">
            <v>44782</v>
          </cell>
          <cell r="G2526">
            <v>44790</v>
          </cell>
          <cell r="H2526">
            <v>44792</v>
          </cell>
          <cell r="I2526" t="str">
            <v>17.08.2022</v>
          </cell>
          <cell r="J2526" t="str">
            <v>26.08.2022</v>
          </cell>
          <cell r="K2526" t="str">
            <v>-</v>
          </cell>
          <cell r="L2526" t="str">
            <v>OK</v>
          </cell>
        </row>
        <row r="2527">
          <cell r="A2527" t="str">
            <v>AHW-43811I22</v>
          </cell>
          <cell r="B2527">
            <v>4009276</v>
          </cell>
          <cell r="C2527" t="str">
            <v>Original</v>
          </cell>
          <cell r="D2527" t="str">
            <v>CTS</v>
          </cell>
          <cell r="E2527" t="str">
            <v>JP</v>
          </cell>
          <cell r="F2527">
            <v>44782</v>
          </cell>
          <cell r="G2527">
            <v>44790</v>
          </cell>
          <cell r="H2527">
            <v>44792</v>
          </cell>
          <cell r="I2527" t="str">
            <v>17.08.2022</v>
          </cell>
          <cell r="J2527" t="str">
            <v>26.08.2022</v>
          </cell>
          <cell r="K2527" t="str">
            <v>-</v>
          </cell>
          <cell r="L2527" t="str">
            <v>OK</v>
          </cell>
        </row>
        <row r="2528">
          <cell r="A2528" t="str">
            <v>AHW-43482I22</v>
          </cell>
          <cell r="B2528">
            <v>4008918</v>
          </cell>
          <cell r="C2528" t="str">
            <v>Original</v>
          </cell>
          <cell r="D2528" t="str">
            <v>CTS</v>
          </cell>
          <cell r="E2528" t="str">
            <v>JP</v>
          </cell>
          <cell r="F2528">
            <v>44783</v>
          </cell>
          <cell r="G2528">
            <v>44791</v>
          </cell>
          <cell r="H2528">
            <v>44793</v>
          </cell>
          <cell r="I2528" t="str">
            <v>23.08.2022</v>
          </cell>
          <cell r="J2528" t="str">
            <v>25.08.2022</v>
          </cell>
          <cell r="K2528" t="str">
            <v>-</v>
          </cell>
          <cell r="L2528" t="str">
            <v>OK</v>
          </cell>
        </row>
        <row r="2529">
          <cell r="A2529" t="str">
            <v>AHW-43821I22</v>
          </cell>
          <cell r="B2529">
            <v>4009320</v>
          </cell>
          <cell r="C2529" t="str">
            <v>Original</v>
          </cell>
          <cell r="D2529" t="str">
            <v>CTS</v>
          </cell>
          <cell r="E2529" t="str">
            <v>JP</v>
          </cell>
          <cell r="F2529">
            <v>44783</v>
          </cell>
          <cell r="G2529">
            <v>44791</v>
          </cell>
          <cell r="H2529">
            <v>44793</v>
          </cell>
          <cell r="I2529" t="str">
            <v>30.08.2022</v>
          </cell>
          <cell r="J2529" t="str">
            <v>30.08.2022</v>
          </cell>
          <cell r="K2529" t="str">
            <v>-</v>
          </cell>
          <cell r="L2529" t="str">
            <v>OK</v>
          </cell>
        </row>
        <row r="2530">
          <cell r="A2530" t="str">
            <v>AHW-43823I22</v>
          </cell>
          <cell r="B2530">
            <v>4009315</v>
          </cell>
          <cell r="C2530" t="str">
            <v>Original</v>
          </cell>
          <cell r="D2530" t="str">
            <v>CTS</v>
          </cell>
          <cell r="E2530" t="str">
            <v>JP</v>
          </cell>
          <cell r="F2530">
            <v>44783</v>
          </cell>
          <cell r="G2530">
            <v>44791</v>
          </cell>
          <cell r="H2530">
            <v>44793</v>
          </cell>
          <cell r="I2530" t="str">
            <v>30.08.2022</v>
          </cell>
          <cell r="J2530" t="str">
            <v>30.08.2022</v>
          </cell>
          <cell r="K2530" t="str">
            <v>-</v>
          </cell>
          <cell r="L2530" t="str">
            <v>OK</v>
          </cell>
        </row>
        <row r="2531">
          <cell r="A2531" t="str">
            <v>AHW-43972I22</v>
          </cell>
          <cell r="B2531">
            <v>4009343</v>
          </cell>
          <cell r="C2531" t="str">
            <v>Original</v>
          </cell>
          <cell r="D2531" t="str">
            <v>CTS</v>
          </cell>
          <cell r="E2531" t="str">
            <v>JP</v>
          </cell>
          <cell r="F2531">
            <v>44783</v>
          </cell>
          <cell r="G2531">
            <v>44791</v>
          </cell>
          <cell r="H2531">
            <v>44793</v>
          </cell>
          <cell r="I2531" t="str">
            <v>30.08.2022</v>
          </cell>
          <cell r="J2531" t="str">
            <v>25.08.2022</v>
          </cell>
          <cell r="K2531" t="str">
            <v>-</v>
          </cell>
          <cell r="L2531" t="str">
            <v>OK</v>
          </cell>
        </row>
        <row r="2532">
          <cell r="A2532" t="str">
            <v>AHW-43814I22</v>
          </cell>
          <cell r="B2532">
            <v>4009281</v>
          </cell>
          <cell r="C2532" t="str">
            <v>Original</v>
          </cell>
          <cell r="D2532" t="str">
            <v>CTS</v>
          </cell>
          <cell r="E2532" t="str">
            <v>JP</v>
          </cell>
          <cell r="F2532">
            <v>44783</v>
          </cell>
          <cell r="G2532">
            <v>44791</v>
          </cell>
          <cell r="H2532">
            <v>44793</v>
          </cell>
          <cell r="I2532" t="str">
            <v>14.09.2022</v>
          </cell>
          <cell r="J2532" t="str">
            <v>24.08.2022</v>
          </cell>
          <cell r="K2532" t="str">
            <v>-</v>
          </cell>
          <cell r="L2532" t="str">
            <v>OK</v>
          </cell>
        </row>
        <row r="2533">
          <cell r="A2533" t="str">
            <v>AHW-43815I22</v>
          </cell>
          <cell r="B2533">
            <v>4009282</v>
          </cell>
          <cell r="C2533" t="str">
            <v>Original</v>
          </cell>
          <cell r="D2533" t="str">
            <v>CTS</v>
          </cell>
          <cell r="E2533" t="str">
            <v>JP</v>
          </cell>
          <cell r="F2533">
            <v>44783</v>
          </cell>
          <cell r="G2533">
            <v>44791</v>
          </cell>
          <cell r="H2533">
            <v>44793</v>
          </cell>
          <cell r="I2533" t="str">
            <v>23.08.2022</v>
          </cell>
          <cell r="J2533" t="str">
            <v>26.08.2022</v>
          </cell>
          <cell r="K2533" t="str">
            <v>-</v>
          </cell>
          <cell r="L2533" t="str">
            <v>OK</v>
          </cell>
        </row>
        <row r="2534">
          <cell r="A2534" t="str">
            <v>AHW-43816I22</v>
          </cell>
          <cell r="B2534">
            <v>4009290</v>
          </cell>
          <cell r="C2534" t="str">
            <v>Original</v>
          </cell>
          <cell r="D2534" t="str">
            <v>CTS</v>
          </cell>
          <cell r="E2534" t="str">
            <v>JP</v>
          </cell>
          <cell r="F2534">
            <v>44783</v>
          </cell>
          <cell r="G2534">
            <v>44791</v>
          </cell>
          <cell r="H2534">
            <v>44793</v>
          </cell>
          <cell r="I2534" t="str">
            <v>14.09.2022</v>
          </cell>
          <cell r="J2534" t="str">
            <v>24.08.2022</v>
          </cell>
          <cell r="K2534" t="str">
            <v>-</v>
          </cell>
          <cell r="L2534" t="str">
            <v>OK</v>
          </cell>
        </row>
        <row r="2535">
          <cell r="A2535" t="str">
            <v>AMS-43475I22</v>
          </cell>
          <cell r="B2535" t="str">
            <v>1Z6469V00473283856</v>
          </cell>
          <cell r="C2535" t="str">
            <v>Brasiliense</v>
          </cell>
          <cell r="D2535" t="str">
            <v>UPS</v>
          </cell>
          <cell r="E2535" t="str">
            <v>Future</v>
          </cell>
          <cell r="F2535">
            <v>44781</v>
          </cell>
          <cell r="G2535">
            <v>44789</v>
          </cell>
          <cell r="H2535">
            <v>44791</v>
          </cell>
          <cell r="I2535" t="str">
            <v>17.08.2022</v>
          </cell>
          <cell r="J2535" t="str">
            <v>26.08.2022</v>
          </cell>
          <cell r="K2535" t="str">
            <v>16.08.2022</v>
          </cell>
          <cell r="L2535" t="str">
            <v>OK</v>
          </cell>
        </row>
        <row r="2536">
          <cell r="A2536" t="str">
            <v>AMS-44045I22</v>
          </cell>
          <cell r="B2536" t="str">
            <v>1Z6469V00475655834</v>
          </cell>
          <cell r="C2536" t="str">
            <v>Brasiliense</v>
          </cell>
          <cell r="D2536" t="str">
            <v>UPS</v>
          </cell>
          <cell r="E2536" t="str">
            <v>Future</v>
          </cell>
          <cell r="F2536">
            <v>44781</v>
          </cell>
          <cell r="G2536">
            <v>44789</v>
          </cell>
          <cell r="H2536">
            <v>44791</v>
          </cell>
          <cell r="I2536" t="str">
            <v>17.08.2022</v>
          </cell>
          <cell r="J2536" t="str">
            <v>26.08.2022</v>
          </cell>
          <cell r="K2536" t="str">
            <v>16.08.2022</v>
          </cell>
          <cell r="L2536" t="str">
            <v>OK</v>
          </cell>
        </row>
        <row r="2537">
          <cell r="A2537" t="str">
            <v>AMS-44042I22</v>
          </cell>
          <cell r="B2537" t="str">
            <v>1Z6469V00473714541
1Z6469V00473511751</v>
          </cell>
          <cell r="C2537" t="str">
            <v>Brasiliense</v>
          </cell>
          <cell r="D2537" t="str">
            <v>UPS</v>
          </cell>
          <cell r="E2537" t="str">
            <v>Future</v>
          </cell>
          <cell r="F2537">
            <v>44781</v>
          </cell>
          <cell r="G2537">
            <v>44789</v>
          </cell>
          <cell r="H2537">
            <v>44791</v>
          </cell>
          <cell r="I2537" t="str">
            <v>17.08.2022</v>
          </cell>
          <cell r="J2537" t="str">
            <v>26.08.2022</v>
          </cell>
          <cell r="K2537" t="str">
            <v>16.08.2022</v>
          </cell>
          <cell r="L2537" t="str">
            <v>OK</v>
          </cell>
        </row>
        <row r="2538">
          <cell r="A2538" t="str">
            <v>AMS-44043I22</v>
          </cell>
          <cell r="B2538" t="str">
            <v>1Z6469V00475826597
1Z6469V00475733026
1Z6469V00475266808
1Z6469V00474623610</v>
          </cell>
          <cell r="C2538" t="str">
            <v>Brasiliense</v>
          </cell>
          <cell r="D2538" t="str">
            <v>UPS</v>
          </cell>
          <cell r="E2538" t="str">
            <v>Future</v>
          </cell>
          <cell r="F2538">
            <v>44781</v>
          </cell>
          <cell r="G2538">
            <v>44789</v>
          </cell>
          <cell r="H2538">
            <v>44791</v>
          </cell>
          <cell r="I2538" t="str">
            <v>17.08.2022</v>
          </cell>
          <cell r="J2538" t="str">
            <v>26.08.2022</v>
          </cell>
          <cell r="K2538" t="str">
            <v>16.08.2022</v>
          </cell>
          <cell r="L2538" t="str">
            <v>OK</v>
          </cell>
        </row>
        <row r="2539">
          <cell r="A2539" t="str">
            <v>AMS-44044I22</v>
          </cell>
          <cell r="B2539" t="str">
            <v>1Z6469V00475991033
1Z6469V00474953648
1Z6469V00474936854</v>
          </cell>
          <cell r="C2539" t="str">
            <v>Brasiliense</v>
          </cell>
          <cell r="D2539" t="str">
            <v>UPS</v>
          </cell>
          <cell r="E2539" t="str">
            <v>Future</v>
          </cell>
          <cell r="F2539">
            <v>44781</v>
          </cell>
          <cell r="G2539">
            <v>44789</v>
          </cell>
          <cell r="H2539">
            <v>44791</v>
          </cell>
          <cell r="I2539" t="str">
            <v>17.08.2022</v>
          </cell>
          <cell r="J2539" t="str">
            <v>26.08.2022</v>
          </cell>
          <cell r="K2539" t="str">
            <v>16.08.2022</v>
          </cell>
          <cell r="L2539" t="str">
            <v>OK</v>
          </cell>
        </row>
        <row r="2540">
          <cell r="A2540" t="str">
            <v>SHW-43277I22</v>
          </cell>
          <cell r="B2540" t="str">
            <v>EGLV149205149472</v>
          </cell>
          <cell r="C2540" t="str">
            <v>Original</v>
          </cell>
          <cell r="D2540" t="str">
            <v>Shenker</v>
          </cell>
          <cell r="E2540" t="str">
            <v>Unitrading</v>
          </cell>
          <cell r="F2540">
            <v>44783</v>
          </cell>
          <cell r="G2540">
            <v>44791</v>
          </cell>
          <cell r="H2540">
            <v>44793</v>
          </cell>
          <cell r="I2540" t="str">
            <v>16.08.2022</v>
          </cell>
          <cell r="J2540" t="str">
            <v>24.08.2022</v>
          </cell>
          <cell r="K2540" t="str">
            <v>-</v>
          </cell>
          <cell r="L2540" t="str">
            <v>OK</v>
          </cell>
        </row>
        <row r="2541">
          <cell r="A2541" t="str">
            <v>SHW-43275I22</v>
          </cell>
          <cell r="B2541" t="str">
            <v>EGLV149205153462</v>
          </cell>
          <cell r="C2541" t="str">
            <v>Original</v>
          </cell>
          <cell r="D2541" t="str">
            <v>Shenker</v>
          </cell>
          <cell r="E2541" t="str">
            <v>Unitrading</v>
          </cell>
          <cell r="F2541">
            <v>44783</v>
          </cell>
          <cell r="G2541">
            <v>44791</v>
          </cell>
          <cell r="H2541">
            <v>44793</v>
          </cell>
          <cell r="I2541" t="str">
            <v>16.08.2022</v>
          </cell>
          <cell r="J2541" t="str">
            <v>16.08.2022</v>
          </cell>
          <cell r="K2541" t="str">
            <v>-</v>
          </cell>
          <cell r="L2541" t="str">
            <v>OK</v>
          </cell>
        </row>
        <row r="2542">
          <cell r="A2542" t="str">
            <v>SHW-43278I22</v>
          </cell>
          <cell r="B2542" t="str">
            <v>EGLV149205152597</v>
          </cell>
          <cell r="C2542" t="str">
            <v>Original</v>
          </cell>
          <cell r="D2542" t="str">
            <v>Shenker</v>
          </cell>
          <cell r="E2542" t="str">
            <v>Unitrading</v>
          </cell>
          <cell r="F2542">
            <v>44783</v>
          </cell>
          <cell r="G2542">
            <v>44791</v>
          </cell>
          <cell r="H2542">
            <v>44793</v>
          </cell>
          <cell r="I2542" t="str">
            <v>16.08.2022</v>
          </cell>
          <cell r="J2542" t="str">
            <v>24.08.2022</v>
          </cell>
          <cell r="K2542" t="str">
            <v>-</v>
          </cell>
          <cell r="L2542" t="str">
            <v>OK</v>
          </cell>
        </row>
        <row r="2543">
          <cell r="A2543" t="str">
            <v>SHW-43276I22</v>
          </cell>
          <cell r="B2543" t="str">
            <v>EGLV149205097120</v>
          </cell>
          <cell r="C2543" t="str">
            <v>Original</v>
          </cell>
          <cell r="D2543" t="str">
            <v>Shenker</v>
          </cell>
          <cell r="E2543" t="str">
            <v>Unitrading</v>
          </cell>
          <cell r="F2543">
            <v>44783</v>
          </cell>
          <cell r="G2543">
            <v>44791</v>
          </cell>
          <cell r="H2543">
            <v>44793</v>
          </cell>
          <cell r="I2543" t="str">
            <v>16.08.2022</v>
          </cell>
          <cell r="J2543" t="str">
            <v>16.08.2022</v>
          </cell>
          <cell r="K2543" t="str">
            <v>-</v>
          </cell>
          <cell r="L2543" t="str">
            <v>OK</v>
          </cell>
        </row>
        <row r="2544">
          <cell r="A2544" t="str">
            <v>SHW-43282I22</v>
          </cell>
          <cell r="B2544" t="str">
            <v>EGLV149205184472</v>
          </cell>
          <cell r="C2544" t="str">
            <v>Original</v>
          </cell>
          <cell r="D2544" t="str">
            <v>Shenker</v>
          </cell>
          <cell r="E2544" t="str">
            <v>Unitrading</v>
          </cell>
          <cell r="F2544">
            <v>44783</v>
          </cell>
          <cell r="G2544">
            <v>44791</v>
          </cell>
          <cell r="H2544">
            <v>44793</v>
          </cell>
          <cell r="I2544" t="str">
            <v>16.08.2022</v>
          </cell>
          <cell r="J2544" t="str">
            <v>24.08.2022</v>
          </cell>
          <cell r="K2544" t="str">
            <v>-</v>
          </cell>
          <cell r="L2544" t="str">
            <v>OK</v>
          </cell>
        </row>
        <row r="2545">
          <cell r="A2545" t="str">
            <v>SHW-43109I22</v>
          </cell>
          <cell r="B2545" t="str">
            <v>EGLV149204232163</v>
          </cell>
          <cell r="C2545" t="str">
            <v>Original</v>
          </cell>
          <cell r="D2545" t="str">
            <v>Shenker</v>
          </cell>
          <cell r="E2545" t="str">
            <v>Unitrading</v>
          </cell>
          <cell r="F2545">
            <v>44783</v>
          </cell>
          <cell r="G2545">
            <v>44791</v>
          </cell>
          <cell r="H2545">
            <v>44793</v>
          </cell>
          <cell r="I2545" t="str">
            <v>16.08.2022</v>
          </cell>
          <cell r="J2545" t="str">
            <v>16.08.2022</v>
          </cell>
          <cell r="K2545" t="str">
            <v>-</v>
          </cell>
          <cell r="L2545" t="str">
            <v>OK</v>
          </cell>
        </row>
        <row r="2546">
          <cell r="A2546" t="str">
            <v>SHW-43388I22</v>
          </cell>
          <cell r="B2546" t="str">
            <v>EGLV149205089968</v>
          </cell>
          <cell r="C2546" t="str">
            <v>Original</v>
          </cell>
          <cell r="D2546" t="str">
            <v>Shenker</v>
          </cell>
          <cell r="E2546" t="str">
            <v>Unitrading</v>
          </cell>
          <cell r="F2546">
            <v>44785</v>
          </cell>
          <cell r="G2546">
            <v>44793</v>
          </cell>
          <cell r="H2546">
            <v>44795</v>
          </cell>
          <cell r="I2546" t="str">
            <v>17.08.2022</v>
          </cell>
          <cell r="J2546" t="str">
            <v>16.08.2022</v>
          </cell>
          <cell r="K2546" t="str">
            <v>-</v>
          </cell>
          <cell r="L2546" t="str">
            <v>OK</v>
          </cell>
        </row>
        <row r="2547">
          <cell r="A2547" t="str">
            <v>SHW-43389I22</v>
          </cell>
          <cell r="B2547" t="str">
            <v>EGLV149205233767</v>
          </cell>
          <cell r="C2547" t="str">
            <v>Original</v>
          </cell>
          <cell r="D2547" t="str">
            <v>Shenker</v>
          </cell>
          <cell r="E2547" t="str">
            <v>Unitrading</v>
          </cell>
          <cell r="F2547">
            <v>44785</v>
          </cell>
          <cell r="G2547">
            <v>44793</v>
          </cell>
          <cell r="H2547">
            <v>44795</v>
          </cell>
          <cell r="I2547" t="str">
            <v>17.08.2022</v>
          </cell>
          <cell r="J2547" t="str">
            <v>21.08.2022</v>
          </cell>
          <cell r="K2547" t="str">
            <v>-</v>
          </cell>
          <cell r="L2547" t="str">
            <v>OK</v>
          </cell>
        </row>
        <row r="2548">
          <cell r="A2548" t="str">
            <v>AHW-43817I22</v>
          </cell>
          <cell r="B2548">
            <v>4009291</v>
          </cell>
          <cell r="C2548" t="str">
            <v>Original</v>
          </cell>
          <cell r="D2548" t="str">
            <v>CTS</v>
          </cell>
          <cell r="E2548" t="str">
            <v>JP</v>
          </cell>
          <cell r="F2548">
            <v>44789</v>
          </cell>
          <cell r="G2548">
            <v>44797</v>
          </cell>
          <cell r="H2548">
            <v>44799</v>
          </cell>
          <cell r="I2548" t="str">
            <v>23.08.2022</v>
          </cell>
          <cell r="J2548" t="str">
            <v>05.09.2022</v>
          </cell>
          <cell r="K2548" t="str">
            <v>-</v>
          </cell>
          <cell r="L2548" t="str">
            <v>OK</v>
          </cell>
        </row>
        <row r="2549">
          <cell r="A2549" t="str">
            <v>AHW-43822I22</v>
          </cell>
          <cell r="B2549">
            <v>4009321</v>
          </cell>
          <cell r="C2549" t="str">
            <v>Original</v>
          </cell>
          <cell r="D2549" t="str">
            <v>CTS</v>
          </cell>
          <cell r="E2549" t="str">
            <v>JP</v>
          </cell>
          <cell r="F2549">
            <v>44789</v>
          </cell>
          <cell r="G2549">
            <v>44797</v>
          </cell>
          <cell r="H2549">
            <v>44799</v>
          </cell>
          <cell r="I2549" t="str">
            <v>25.08.2022</v>
          </cell>
          <cell r="J2549" t="str">
            <v>05.09.2022</v>
          </cell>
          <cell r="K2549" t="str">
            <v>-</v>
          </cell>
          <cell r="L2549" t="str">
            <v>OK</v>
          </cell>
        </row>
        <row r="2550">
          <cell r="A2550" t="str">
            <v>AHW-43824I22</v>
          </cell>
          <cell r="B2550">
            <v>4009316</v>
          </cell>
          <cell r="C2550" t="str">
            <v>Original</v>
          </cell>
          <cell r="D2550" t="str">
            <v>CTS</v>
          </cell>
          <cell r="E2550" t="str">
            <v>JP</v>
          </cell>
          <cell r="F2550">
            <v>44789</v>
          </cell>
          <cell r="G2550">
            <v>44797</v>
          </cell>
          <cell r="H2550">
            <v>44799</v>
          </cell>
          <cell r="I2550" t="str">
            <v>30.08.2022</v>
          </cell>
          <cell r="J2550" t="str">
            <v>05.09.2022</v>
          </cell>
          <cell r="K2550" t="str">
            <v>-</v>
          </cell>
          <cell r="L2550" t="str">
            <v>OK</v>
          </cell>
        </row>
        <row r="2551">
          <cell r="A2551" t="str">
            <v>AHW-43919I22</v>
          </cell>
          <cell r="B2551">
            <v>4009336</v>
          </cell>
          <cell r="C2551" t="str">
            <v>Original</v>
          </cell>
          <cell r="D2551" t="str">
            <v>CTS</v>
          </cell>
          <cell r="E2551" t="str">
            <v>JP</v>
          </cell>
          <cell r="F2551">
            <v>44789</v>
          </cell>
          <cell r="G2551">
            <v>44797</v>
          </cell>
          <cell r="H2551">
            <v>44799</v>
          </cell>
          <cell r="I2551" t="str">
            <v>30.08.2022</v>
          </cell>
          <cell r="J2551" t="str">
            <v>05.09.2022</v>
          </cell>
          <cell r="K2551" t="str">
            <v>-</v>
          </cell>
          <cell r="L2551" t="str">
            <v>OK</v>
          </cell>
        </row>
        <row r="2552">
          <cell r="A2552" t="str">
            <v>AHW-43920I22</v>
          </cell>
          <cell r="B2552">
            <v>4009022</v>
          </cell>
          <cell r="C2552" t="str">
            <v>Original</v>
          </cell>
          <cell r="D2552" t="str">
            <v>CTS</v>
          </cell>
          <cell r="E2552" t="str">
            <v>JP</v>
          </cell>
          <cell r="F2552">
            <v>44789</v>
          </cell>
          <cell r="G2552">
            <v>44797</v>
          </cell>
          <cell r="H2552">
            <v>44799</v>
          </cell>
          <cell r="I2552" t="str">
            <v>30.08.2022</v>
          </cell>
          <cell r="J2552" t="str">
            <v>05.09.2022</v>
          </cell>
          <cell r="K2552" t="str">
            <v>-</v>
          </cell>
          <cell r="L2552" t="str">
            <v>OK</v>
          </cell>
        </row>
        <row r="2553">
          <cell r="A2553" t="str">
            <v>AHW-43921I22</v>
          </cell>
          <cell r="B2553">
            <v>4009334</v>
          </cell>
          <cell r="C2553" t="str">
            <v>Original</v>
          </cell>
          <cell r="D2553" t="str">
            <v>CTS</v>
          </cell>
          <cell r="E2553" t="str">
            <v>JP</v>
          </cell>
          <cell r="F2553">
            <v>44789</v>
          </cell>
          <cell r="G2553">
            <v>44797</v>
          </cell>
          <cell r="H2553">
            <v>44799</v>
          </cell>
          <cell r="I2553" t="str">
            <v>30.08.2022</v>
          </cell>
          <cell r="J2553" t="str">
            <v>05.09.2022</v>
          </cell>
          <cell r="K2553" t="str">
            <v>-</v>
          </cell>
          <cell r="L2553" t="str">
            <v>OK</v>
          </cell>
        </row>
        <row r="2554">
          <cell r="A2554" t="str">
            <v>AHW-43922I22</v>
          </cell>
          <cell r="B2554">
            <v>4009335</v>
          </cell>
          <cell r="C2554" t="str">
            <v>Original</v>
          </cell>
          <cell r="D2554" t="str">
            <v>CTS</v>
          </cell>
          <cell r="E2554" t="str">
            <v>JP</v>
          </cell>
          <cell r="F2554">
            <v>44789</v>
          </cell>
          <cell r="G2554">
            <v>44797</v>
          </cell>
          <cell r="H2554">
            <v>44799</v>
          </cell>
          <cell r="I2554" t="str">
            <v>25.08.2022</v>
          </cell>
          <cell r="J2554" t="str">
            <v>25.08.2022</v>
          </cell>
          <cell r="K2554" t="str">
            <v>-</v>
          </cell>
          <cell r="L2554" t="str">
            <v>OK</v>
          </cell>
        </row>
        <row r="2555">
          <cell r="A2555" t="str">
            <v>AHW-43973I22</v>
          </cell>
          <cell r="B2555">
            <v>4009342</v>
          </cell>
          <cell r="C2555" t="str">
            <v>Original</v>
          </cell>
          <cell r="D2555" t="str">
            <v>CTS</v>
          </cell>
          <cell r="E2555" t="str">
            <v>JP</v>
          </cell>
          <cell r="F2555">
            <v>44789</v>
          </cell>
          <cell r="G2555">
            <v>44797</v>
          </cell>
          <cell r="H2555">
            <v>44799</v>
          </cell>
          <cell r="I2555" t="str">
            <v>30.08.2022</v>
          </cell>
          <cell r="J2555" t="str">
            <v>05.09.2022</v>
          </cell>
          <cell r="K2555" t="str">
            <v>-</v>
          </cell>
          <cell r="L2555" t="str">
            <v>OK</v>
          </cell>
        </row>
        <row r="2556">
          <cell r="A2556" t="str">
            <v>AHW-44058I22</v>
          </cell>
          <cell r="B2556">
            <v>4009367</v>
          </cell>
          <cell r="C2556" t="str">
            <v>Original</v>
          </cell>
          <cell r="D2556" t="str">
            <v>CTS</v>
          </cell>
          <cell r="E2556" t="str">
            <v>JP</v>
          </cell>
          <cell r="F2556">
            <v>44789</v>
          </cell>
          <cell r="G2556">
            <v>44797</v>
          </cell>
          <cell r="H2556">
            <v>44799</v>
          </cell>
          <cell r="I2556" t="str">
            <v>30.08.2022</v>
          </cell>
          <cell r="J2556" t="str">
            <v>05.09.2022</v>
          </cell>
          <cell r="K2556" t="str">
            <v>-</v>
          </cell>
          <cell r="L2556" t="str">
            <v>OK</v>
          </cell>
        </row>
        <row r="2557">
          <cell r="A2557" t="str">
            <v>AHW-44059I22</v>
          </cell>
          <cell r="B2557">
            <v>4009366</v>
          </cell>
          <cell r="C2557" t="str">
            <v>Original</v>
          </cell>
          <cell r="D2557" t="str">
            <v>CTS</v>
          </cell>
          <cell r="E2557" t="str">
            <v>JP</v>
          </cell>
          <cell r="F2557">
            <v>44789</v>
          </cell>
          <cell r="G2557">
            <v>44797</v>
          </cell>
          <cell r="H2557">
            <v>44799</v>
          </cell>
          <cell r="I2557" t="str">
            <v>30.08.2022</v>
          </cell>
          <cell r="J2557" t="str">
            <v>05.09.2022</v>
          </cell>
          <cell r="K2557" t="str">
            <v>-</v>
          </cell>
          <cell r="L2557" t="str">
            <v>OK</v>
          </cell>
        </row>
        <row r="2558">
          <cell r="A2558" t="str">
            <v>AHW-44060I22</v>
          </cell>
          <cell r="B2558">
            <v>4009365</v>
          </cell>
          <cell r="C2558" t="str">
            <v>Original</v>
          </cell>
          <cell r="D2558" t="str">
            <v>CTS</v>
          </cell>
          <cell r="E2558" t="str">
            <v>JP</v>
          </cell>
          <cell r="F2558">
            <v>44789</v>
          </cell>
          <cell r="G2558">
            <v>44797</v>
          </cell>
          <cell r="H2558">
            <v>44799</v>
          </cell>
          <cell r="I2558" t="str">
            <v>30.08.2022</v>
          </cell>
          <cell r="J2558" t="str">
            <v>05.09.2022</v>
          </cell>
          <cell r="K2558" t="str">
            <v>-</v>
          </cell>
          <cell r="L2558" t="str">
            <v>OK</v>
          </cell>
        </row>
        <row r="2559">
          <cell r="A2559" t="str">
            <v>SHW-43081I22</v>
          </cell>
          <cell r="B2559">
            <v>914383278</v>
          </cell>
          <cell r="C2559" t="str">
            <v>Original</v>
          </cell>
          <cell r="D2559" t="str">
            <v>Shenker</v>
          </cell>
          <cell r="E2559" t="str">
            <v>Unitrading</v>
          </cell>
          <cell r="F2559">
            <v>44788</v>
          </cell>
          <cell r="G2559">
            <v>44796</v>
          </cell>
          <cell r="H2559">
            <v>44798</v>
          </cell>
          <cell r="I2559" t="str">
            <v>11.08.2022</v>
          </cell>
          <cell r="J2559" t="str">
            <v>23.08.2022</v>
          </cell>
          <cell r="K2559" t="str">
            <v>-</v>
          </cell>
          <cell r="L2559" t="str">
            <v>OK</v>
          </cell>
        </row>
        <row r="2560">
          <cell r="A2560" t="str">
            <v>AMS-43727I22</v>
          </cell>
          <cell r="B2560">
            <v>404089021</v>
          </cell>
          <cell r="C2560" t="str">
            <v>Original</v>
          </cell>
          <cell r="D2560" t="str">
            <v>Vsantos</v>
          </cell>
          <cell r="E2560" t="str">
            <v>Technology</v>
          </cell>
          <cell r="F2560">
            <v>44781</v>
          </cell>
          <cell r="G2560">
            <v>44789</v>
          </cell>
          <cell r="H2560">
            <v>44791</v>
          </cell>
          <cell r="I2560" t="str">
            <v>17.08.2022</v>
          </cell>
          <cell r="J2560" t="str">
            <v>10.08.2022</v>
          </cell>
          <cell r="K2560" t="str">
            <v>-</v>
          </cell>
          <cell r="L2560" t="str">
            <v>OK</v>
          </cell>
        </row>
        <row r="2561">
          <cell r="A2561" t="str">
            <v>AMS-43728I22</v>
          </cell>
          <cell r="B2561">
            <v>404089171</v>
          </cell>
          <cell r="C2561" t="str">
            <v>Original</v>
          </cell>
          <cell r="D2561" t="str">
            <v>Vsantos</v>
          </cell>
          <cell r="E2561" t="str">
            <v>Technology</v>
          </cell>
          <cell r="F2561">
            <v>44781</v>
          </cell>
          <cell r="G2561">
            <v>44789</v>
          </cell>
          <cell r="H2561">
            <v>44791</v>
          </cell>
          <cell r="I2561" t="str">
            <v>17.08.2022</v>
          </cell>
          <cell r="J2561" t="str">
            <v>10.08.2022</v>
          </cell>
          <cell r="K2561" t="str">
            <v>-</v>
          </cell>
          <cell r="L2561" t="str">
            <v>OK</v>
          </cell>
        </row>
        <row r="2562">
          <cell r="A2562" t="str">
            <v>AMS-43729I22</v>
          </cell>
          <cell r="B2562">
            <v>404089254</v>
          </cell>
          <cell r="C2562" t="str">
            <v>Original</v>
          </cell>
          <cell r="D2562" t="str">
            <v>Vsantos</v>
          </cell>
          <cell r="E2562" t="str">
            <v>Technology</v>
          </cell>
          <cell r="F2562">
            <v>44781</v>
          </cell>
          <cell r="G2562">
            <v>44789</v>
          </cell>
          <cell r="H2562">
            <v>44791</v>
          </cell>
          <cell r="I2562" t="str">
            <v>17.08.2022</v>
          </cell>
          <cell r="J2562" t="str">
            <v>10.08.2022</v>
          </cell>
          <cell r="K2562" t="str">
            <v>-</v>
          </cell>
          <cell r="L2562" t="str">
            <v>OK</v>
          </cell>
        </row>
        <row r="2563">
          <cell r="A2563" t="str">
            <v>AMS-43731I22</v>
          </cell>
          <cell r="B2563">
            <v>404089486</v>
          </cell>
          <cell r="C2563" t="str">
            <v>Original</v>
          </cell>
          <cell r="D2563" t="str">
            <v>Vsantos</v>
          </cell>
          <cell r="E2563" t="str">
            <v>Technology</v>
          </cell>
          <cell r="F2563">
            <v>44781</v>
          </cell>
          <cell r="G2563">
            <v>44789</v>
          </cell>
          <cell r="H2563">
            <v>44791</v>
          </cell>
          <cell r="I2563" t="str">
            <v>17.08.2022</v>
          </cell>
          <cell r="J2563" t="str">
            <v>10.08.2022</v>
          </cell>
          <cell r="K2563" t="str">
            <v>-</v>
          </cell>
          <cell r="L2563" t="str">
            <v>OK</v>
          </cell>
        </row>
        <row r="2564">
          <cell r="A2564" t="str">
            <v>AHW-44074I22</v>
          </cell>
          <cell r="B2564">
            <v>4009386</v>
          </cell>
          <cell r="C2564" t="str">
            <v>Original</v>
          </cell>
          <cell r="D2564" t="str">
            <v>CTS</v>
          </cell>
          <cell r="E2564" t="str">
            <v>JP</v>
          </cell>
          <cell r="F2564">
            <v>44795</v>
          </cell>
          <cell r="G2564">
            <v>44803</v>
          </cell>
          <cell r="H2564">
            <v>44805</v>
          </cell>
          <cell r="I2564" t="str">
            <v>30.08.2022</v>
          </cell>
          <cell r="J2564" t="str">
            <v>05.09.2022</v>
          </cell>
          <cell r="K2564" t="str">
            <v>-</v>
          </cell>
          <cell r="L2564" t="str">
            <v>OK</v>
          </cell>
        </row>
        <row r="2565">
          <cell r="A2565" t="str">
            <v>AHW-44075I22</v>
          </cell>
          <cell r="B2565">
            <v>4009383</v>
          </cell>
          <cell r="C2565" t="str">
            <v>Original</v>
          </cell>
          <cell r="D2565" t="str">
            <v>CTS</v>
          </cell>
          <cell r="E2565" t="str">
            <v>JP</v>
          </cell>
          <cell r="F2565">
            <v>44795</v>
          </cell>
          <cell r="G2565">
            <v>44803</v>
          </cell>
          <cell r="H2565">
            <v>44805</v>
          </cell>
          <cell r="I2565" t="str">
            <v>30.08.2022</v>
          </cell>
          <cell r="J2565" t="str">
            <v>05.09.2022</v>
          </cell>
          <cell r="K2565" t="str">
            <v>-</v>
          </cell>
          <cell r="L2565" t="str">
            <v>OK</v>
          </cell>
        </row>
        <row r="2566">
          <cell r="A2566" t="str">
            <v>AHW-44077I22</v>
          </cell>
          <cell r="B2566">
            <v>4009393</v>
          </cell>
          <cell r="C2566" t="str">
            <v>Original</v>
          </cell>
          <cell r="D2566" t="str">
            <v>CTS</v>
          </cell>
          <cell r="E2566" t="str">
            <v>JP</v>
          </cell>
          <cell r="F2566">
            <v>44795</v>
          </cell>
          <cell r="G2566">
            <v>44803</v>
          </cell>
          <cell r="H2566">
            <v>44805</v>
          </cell>
          <cell r="I2566" t="str">
            <v>06.09.202</v>
          </cell>
          <cell r="J2566" t="str">
            <v>05.09.2022</v>
          </cell>
          <cell r="K2566" t="str">
            <v>-</v>
          </cell>
          <cell r="L2566" t="str">
            <v>OK</v>
          </cell>
        </row>
        <row r="2567">
          <cell r="A2567" t="str">
            <v>AHW-44078I22</v>
          </cell>
          <cell r="B2567">
            <v>4009385</v>
          </cell>
          <cell r="C2567" t="str">
            <v>Original</v>
          </cell>
          <cell r="D2567" t="str">
            <v>CTS</v>
          </cell>
          <cell r="E2567" t="str">
            <v>JP</v>
          </cell>
          <cell r="F2567">
            <v>44795</v>
          </cell>
          <cell r="G2567">
            <v>44803</v>
          </cell>
          <cell r="H2567">
            <v>44805</v>
          </cell>
          <cell r="I2567" t="str">
            <v>30.08.2022</v>
          </cell>
          <cell r="J2567" t="str">
            <v>05.09.2022</v>
          </cell>
          <cell r="K2567" t="str">
            <v>-</v>
          </cell>
          <cell r="L2567" t="str">
            <v>OK</v>
          </cell>
        </row>
        <row r="2568">
          <cell r="A2568" t="str">
            <v>AHW-44080I22</v>
          </cell>
          <cell r="B2568">
            <v>4009374</v>
          </cell>
          <cell r="C2568" t="str">
            <v>Original</v>
          </cell>
          <cell r="D2568" t="str">
            <v>CTS</v>
          </cell>
          <cell r="E2568" t="str">
            <v>JP</v>
          </cell>
          <cell r="F2568">
            <v>44795</v>
          </cell>
          <cell r="G2568">
            <v>44803</v>
          </cell>
          <cell r="H2568">
            <v>44805</v>
          </cell>
          <cell r="I2568" t="str">
            <v>25.08.2022</v>
          </cell>
          <cell r="J2568" t="str">
            <v>05.09.2022</v>
          </cell>
          <cell r="K2568" t="str">
            <v>-</v>
          </cell>
          <cell r="L2568" t="str">
            <v>OK</v>
          </cell>
        </row>
        <row r="2569">
          <cell r="A2569" t="str">
            <v>AHW-44082I22</v>
          </cell>
          <cell r="B2569">
            <v>4009384</v>
          </cell>
          <cell r="C2569" t="str">
            <v>Original</v>
          </cell>
          <cell r="D2569" t="str">
            <v>CTS</v>
          </cell>
          <cell r="E2569" t="str">
            <v>JP</v>
          </cell>
          <cell r="F2569">
            <v>44795</v>
          </cell>
          <cell r="G2569">
            <v>44803</v>
          </cell>
          <cell r="H2569">
            <v>44805</v>
          </cell>
          <cell r="I2569" t="str">
            <v>25.08.2022</v>
          </cell>
          <cell r="J2569" t="str">
            <v>05.09.2022</v>
          </cell>
          <cell r="K2569" t="str">
            <v>-</v>
          </cell>
          <cell r="L2569" t="str">
            <v>OK</v>
          </cell>
        </row>
        <row r="2570">
          <cell r="A2570" t="str">
            <v>AHW-44084I22</v>
          </cell>
          <cell r="B2570">
            <v>4009396</v>
          </cell>
          <cell r="C2570" t="str">
            <v>Original</v>
          </cell>
          <cell r="D2570" t="str">
            <v>CTS</v>
          </cell>
          <cell r="E2570" t="str">
            <v>JP</v>
          </cell>
          <cell r="F2570">
            <v>44795</v>
          </cell>
          <cell r="G2570">
            <v>44803</v>
          </cell>
          <cell r="H2570">
            <v>44805</v>
          </cell>
          <cell r="I2570" t="str">
            <v>30.08.2022</v>
          </cell>
          <cell r="J2570" t="str">
            <v>05.09.2022</v>
          </cell>
          <cell r="K2570" t="str">
            <v>-</v>
          </cell>
          <cell r="L2570" t="str">
            <v>OK</v>
          </cell>
        </row>
        <row r="2571">
          <cell r="A2571" t="str">
            <v>AHW-44085I22</v>
          </cell>
          <cell r="B2571">
            <v>4009391</v>
          </cell>
          <cell r="C2571" t="str">
            <v>Original</v>
          </cell>
          <cell r="D2571" t="str">
            <v>CTS</v>
          </cell>
          <cell r="E2571" t="str">
            <v>JP</v>
          </cell>
          <cell r="F2571">
            <v>44795</v>
          </cell>
          <cell r="G2571">
            <v>44803</v>
          </cell>
          <cell r="H2571">
            <v>44805</v>
          </cell>
          <cell r="I2571" t="str">
            <v>25.08.2022</v>
          </cell>
          <cell r="J2571" t="str">
            <v>05.09.2022</v>
          </cell>
          <cell r="K2571" t="str">
            <v>-</v>
          </cell>
          <cell r="L2571" t="str">
            <v>OK</v>
          </cell>
        </row>
        <row r="2572">
          <cell r="A2572" t="str">
            <v>AHW-44095I22</v>
          </cell>
          <cell r="B2572">
            <v>4009398</v>
          </cell>
          <cell r="C2572" t="str">
            <v>Original</v>
          </cell>
          <cell r="D2572" t="str">
            <v>CTS</v>
          </cell>
          <cell r="E2572" t="str">
            <v>JP</v>
          </cell>
          <cell r="F2572">
            <v>44795</v>
          </cell>
          <cell r="G2572">
            <v>44803</v>
          </cell>
          <cell r="H2572">
            <v>44805</v>
          </cell>
          <cell r="I2572" t="str">
            <v>30.08.2022</v>
          </cell>
          <cell r="J2572" t="str">
            <v>05.09.2022</v>
          </cell>
          <cell r="K2572" t="str">
            <v>-</v>
          </cell>
          <cell r="L2572" t="str">
            <v>OK</v>
          </cell>
        </row>
        <row r="2573">
          <cell r="A2573" t="str">
            <v>AHW-44123I22</v>
          </cell>
          <cell r="B2573">
            <v>4009409</v>
          </cell>
          <cell r="C2573" t="str">
            <v>Original</v>
          </cell>
          <cell r="D2573" t="str">
            <v>CTS</v>
          </cell>
          <cell r="E2573" t="str">
            <v>JP</v>
          </cell>
          <cell r="F2573">
            <v>44795</v>
          </cell>
          <cell r="G2573">
            <v>44803</v>
          </cell>
          <cell r="H2573">
            <v>44805</v>
          </cell>
          <cell r="I2573" t="str">
            <v>30.08.2022</v>
          </cell>
          <cell r="J2573" t="str">
            <v>05.09.2022</v>
          </cell>
          <cell r="K2573" t="str">
            <v>-</v>
          </cell>
          <cell r="L2573" t="str">
            <v>OK</v>
          </cell>
        </row>
        <row r="2574">
          <cell r="A2574" t="str">
            <v>SHW-43473I22</v>
          </cell>
          <cell r="B2574" t="str">
            <v>EGLV149205076700</v>
          </cell>
          <cell r="C2574" t="str">
            <v>Original</v>
          </cell>
          <cell r="D2574" t="str">
            <v>Shenker</v>
          </cell>
          <cell r="E2574" t="str">
            <v>Unitrading</v>
          </cell>
          <cell r="F2574">
            <v>44795</v>
          </cell>
          <cell r="G2574">
            <v>44803</v>
          </cell>
          <cell r="H2574">
            <v>44805</v>
          </cell>
          <cell r="I2574" t="str">
            <v>30.08.2022</v>
          </cell>
          <cell r="J2574" t="str">
            <v>24.08.2022</v>
          </cell>
          <cell r="K2574" t="str">
            <v>-</v>
          </cell>
          <cell r="L2574" t="str">
            <v>OK</v>
          </cell>
        </row>
        <row r="2575">
          <cell r="A2575" t="str">
            <v>SHW-43547I22</v>
          </cell>
          <cell r="B2575" t="str">
            <v>EGLV149205493492</v>
          </cell>
          <cell r="C2575" t="str">
            <v>Original</v>
          </cell>
          <cell r="D2575" t="str">
            <v>Shenker</v>
          </cell>
          <cell r="E2575" t="str">
            <v>Unitrading</v>
          </cell>
          <cell r="F2575">
            <v>44795</v>
          </cell>
          <cell r="G2575">
            <v>44803</v>
          </cell>
          <cell r="H2575">
            <v>44805</v>
          </cell>
          <cell r="I2575" t="str">
            <v>30.08.2022</v>
          </cell>
          <cell r="J2575" t="str">
            <v>24.08.2022</v>
          </cell>
          <cell r="K2575" t="str">
            <v>-</v>
          </cell>
          <cell r="L2575" t="str">
            <v>OK</v>
          </cell>
        </row>
        <row r="2576">
          <cell r="A2576" t="str">
            <v>SHW-43551I22</v>
          </cell>
          <cell r="B2576" t="str">
            <v>EGLV149205529429</v>
          </cell>
          <cell r="C2576" t="str">
            <v>Original</v>
          </cell>
          <cell r="D2576" t="str">
            <v>Shenker</v>
          </cell>
          <cell r="E2576" t="str">
            <v>Unitrading</v>
          </cell>
          <cell r="F2576">
            <v>44795</v>
          </cell>
          <cell r="G2576">
            <v>44803</v>
          </cell>
          <cell r="H2576">
            <v>44805</v>
          </cell>
          <cell r="I2576" t="str">
            <v>30.08.2022</v>
          </cell>
          <cell r="J2576" t="str">
            <v>24.08.2022</v>
          </cell>
          <cell r="K2576" t="str">
            <v>-</v>
          </cell>
          <cell r="L2576" t="str">
            <v>OK</v>
          </cell>
        </row>
        <row r="2577">
          <cell r="A2577" t="str">
            <v>SHW-43550I22</v>
          </cell>
          <cell r="B2577" t="str">
            <v>EGLV149205601928</v>
          </cell>
          <cell r="C2577" t="str">
            <v>Original</v>
          </cell>
          <cell r="D2577" t="str">
            <v>Shenker</v>
          </cell>
          <cell r="E2577" t="str">
            <v>Unitrading</v>
          </cell>
          <cell r="F2577">
            <v>44795</v>
          </cell>
          <cell r="G2577">
            <v>44803</v>
          </cell>
          <cell r="H2577">
            <v>44805</v>
          </cell>
          <cell r="I2577" t="str">
            <v>30.08.2022</v>
          </cell>
          <cell r="J2577" t="str">
            <v>24.08.2022</v>
          </cell>
          <cell r="K2577" t="str">
            <v>-</v>
          </cell>
          <cell r="L2577" t="str">
            <v>OK</v>
          </cell>
        </row>
        <row r="2578">
          <cell r="A2578" t="str">
            <v>SHW-43624I22</v>
          </cell>
          <cell r="B2578" t="str">
            <v>EGLV149205528392</v>
          </cell>
          <cell r="C2578" t="str">
            <v>Original</v>
          </cell>
          <cell r="D2578" t="str">
            <v>Shenker</v>
          </cell>
          <cell r="E2578" t="str">
            <v>Unitrading</v>
          </cell>
          <cell r="F2578">
            <v>44795</v>
          </cell>
          <cell r="G2578">
            <v>44803</v>
          </cell>
          <cell r="H2578">
            <v>44805</v>
          </cell>
          <cell r="I2578" t="str">
            <v>30.08.2022</v>
          </cell>
          <cell r="J2578" t="str">
            <v>24.08.2022</v>
          </cell>
          <cell r="K2578" t="str">
            <v>-</v>
          </cell>
          <cell r="L2578" t="str">
            <v>OK</v>
          </cell>
        </row>
        <row r="2579">
          <cell r="A2579" t="str">
            <v>SHW-43548I22</v>
          </cell>
          <cell r="B2579" t="str">
            <v>EGLV149205563627</v>
          </cell>
          <cell r="C2579" t="str">
            <v>Original</v>
          </cell>
          <cell r="D2579" t="str">
            <v>Shenker</v>
          </cell>
          <cell r="E2579" t="str">
            <v>Unitrading</v>
          </cell>
          <cell r="F2579">
            <v>44797</v>
          </cell>
          <cell r="G2579">
            <v>44805</v>
          </cell>
          <cell r="H2579">
            <v>44807</v>
          </cell>
          <cell r="I2579" t="str">
            <v>30.08.2022</v>
          </cell>
          <cell r="J2579" t="str">
            <v>24.08.2022</v>
          </cell>
          <cell r="K2579" t="str">
            <v>-</v>
          </cell>
          <cell r="L2579" t="str">
            <v>OK</v>
          </cell>
        </row>
        <row r="2580">
          <cell r="A2580" t="str">
            <v>SHW-43549I22</v>
          </cell>
          <cell r="B2580" t="str">
            <v>EGLV149205563422</v>
          </cell>
          <cell r="C2580" t="str">
            <v>Original</v>
          </cell>
          <cell r="D2580" t="str">
            <v>Shenker</v>
          </cell>
          <cell r="E2580" t="str">
            <v>Unitrading</v>
          </cell>
          <cell r="F2580">
            <v>44797</v>
          </cell>
          <cell r="G2580">
            <v>44805</v>
          </cell>
          <cell r="H2580">
            <v>44807</v>
          </cell>
          <cell r="I2580" t="str">
            <v>30.08.2022</v>
          </cell>
          <cell r="J2580" t="str">
            <v>24.08.2022</v>
          </cell>
          <cell r="K2580" t="str">
            <v>-</v>
          </cell>
          <cell r="L2580" t="str">
            <v>OK</v>
          </cell>
        </row>
        <row r="2581">
          <cell r="A2581" t="str">
            <v>AMS-44096I22</v>
          </cell>
          <cell r="B2581" t="str">
            <v>1Z6469V00475866615</v>
          </cell>
          <cell r="C2581" t="str">
            <v>Brasiliense</v>
          </cell>
          <cell r="D2581" t="str">
            <v>UPS</v>
          </cell>
          <cell r="E2581" t="str">
            <v>Future</v>
          </cell>
          <cell r="F2581">
            <v>44790</v>
          </cell>
          <cell r="G2581">
            <v>44798</v>
          </cell>
          <cell r="H2581">
            <v>44800</v>
          </cell>
          <cell r="I2581" t="str">
            <v>25.08.2022</v>
          </cell>
          <cell r="J2581" t="str">
            <v>05.09.2022</v>
          </cell>
          <cell r="K2581" t="str">
            <v>24.08.2022</v>
          </cell>
          <cell r="L2581" t="str">
            <v>OK</v>
          </cell>
        </row>
        <row r="2582">
          <cell r="A2582" t="str">
            <v>AMS-44097I22</v>
          </cell>
          <cell r="B2582" t="str">
            <v>1Z6469V00474909599</v>
          </cell>
          <cell r="C2582" t="str">
            <v>Brasiliense</v>
          </cell>
          <cell r="D2582" t="str">
            <v>UPS</v>
          </cell>
          <cell r="E2582" t="str">
            <v>Future</v>
          </cell>
          <cell r="F2582">
            <v>44790</v>
          </cell>
          <cell r="G2582">
            <v>44798</v>
          </cell>
          <cell r="H2582">
            <v>44800</v>
          </cell>
          <cell r="I2582" t="str">
            <v>25.08.2022</v>
          </cell>
          <cell r="J2582" t="str">
            <v>05.09.2022</v>
          </cell>
          <cell r="K2582" t="str">
            <v>24.08.2022</v>
          </cell>
          <cell r="L2582" t="str">
            <v>OK</v>
          </cell>
        </row>
        <row r="2583">
          <cell r="A2583" t="str">
            <v>AMS-44098I22</v>
          </cell>
          <cell r="B2583" t="str">
            <v>1Z6469V00474756021</v>
          </cell>
          <cell r="C2583" t="str">
            <v>Brasiliense</v>
          </cell>
          <cell r="D2583" t="str">
            <v>UPS</v>
          </cell>
          <cell r="E2583" t="str">
            <v>Future</v>
          </cell>
          <cell r="F2583">
            <v>44790</v>
          </cell>
          <cell r="G2583">
            <v>44798</v>
          </cell>
          <cell r="H2583">
            <v>44800</v>
          </cell>
          <cell r="I2583" t="str">
            <v>25.08.2022</v>
          </cell>
          <cell r="J2583" t="str">
            <v>05.09.2022</v>
          </cell>
          <cell r="K2583" t="str">
            <v>24.08.2022</v>
          </cell>
          <cell r="L2583" t="str">
            <v>OK</v>
          </cell>
        </row>
        <row r="2584">
          <cell r="A2584" t="str">
            <v>AMS-44099I22</v>
          </cell>
          <cell r="B2584" t="str">
            <v>1Z6469V00474529802</v>
          </cell>
          <cell r="C2584" t="str">
            <v>Brasiliense</v>
          </cell>
          <cell r="D2584" t="str">
            <v>UPS</v>
          </cell>
          <cell r="E2584" t="str">
            <v>Future</v>
          </cell>
          <cell r="F2584">
            <v>44790</v>
          </cell>
          <cell r="G2584">
            <v>44798</v>
          </cell>
          <cell r="H2584">
            <v>44800</v>
          </cell>
          <cell r="I2584" t="str">
            <v>25.08.2022</v>
          </cell>
          <cell r="J2584" t="str">
            <v>05.09.2022</v>
          </cell>
          <cell r="K2584" t="str">
            <v>24.08.2022</v>
          </cell>
          <cell r="L2584" t="str">
            <v>OK</v>
          </cell>
        </row>
        <row r="2585">
          <cell r="A2585" t="str">
            <v>AMS-44100I22</v>
          </cell>
          <cell r="B2585" t="str">
            <v>1Z6469V00475607654</v>
          </cell>
          <cell r="C2585" t="str">
            <v>Brasiliense</v>
          </cell>
          <cell r="D2585" t="str">
            <v>UPS</v>
          </cell>
          <cell r="E2585" t="str">
            <v>Future</v>
          </cell>
          <cell r="F2585">
            <v>44790</v>
          </cell>
          <cell r="G2585">
            <v>44798</v>
          </cell>
          <cell r="H2585">
            <v>44800</v>
          </cell>
          <cell r="I2585" t="str">
            <v>25.08.2022</v>
          </cell>
          <cell r="J2585" t="str">
            <v>05.09.2022</v>
          </cell>
          <cell r="K2585" t="str">
            <v>24.08.2022</v>
          </cell>
          <cell r="L2585" t="str">
            <v>OK</v>
          </cell>
        </row>
        <row r="2586">
          <cell r="A2586" t="str">
            <v>AMS-44101I22</v>
          </cell>
          <cell r="B2586" t="str">
            <v>1Z6469V00473455465</v>
          </cell>
          <cell r="C2586" t="str">
            <v>Brasiliense</v>
          </cell>
          <cell r="D2586" t="str">
            <v>UPS</v>
          </cell>
          <cell r="E2586" t="str">
            <v>Future</v>
          </cell>
          <cell r="F2586">
            <v>44790</v>
          </cell>
          <cell r="G2586">
            <v>44798</v>
          </cell>
          <cell r="H2586">
            <v>44800</v>
          </cell>
          <cell r="I2586" t="str">
            <v>25.08.2022</v>
          </cell>
          <cell r="J2586" t="str">
            <v>05.09.2022</v>
          </cell>
          <cell r="K2586" t="str">
            <v>24.08.2022</v>
          </cell>
          <cell r="L2586" t="str">
            <v>OK</v>
          </cell>
        </row>
        <row r="2587">
          <cell r="A2587" t="str">
            <v>AMS-44102I22</v>
          </cell>
          <cell r="B2587" t="str">
            <v>1Z6469V00474915877</v>
          </cell>
          <cell r="C2587" t="str">
            <v>Brasiliense</v>
          </cell>
          <cell r="D2587" t="str">
            <v>UPS</v>
          </cell>
          <cell r="E2587" t="str">
            <v>Future</v>
          </cell>
          <cell r="F2587">
            <v>44790</v>
          </cell>
          <cell r="G2587">
            <v>44798</v>
          </cell>
          <cell r="H2587">
            <v>44800</v>
          </cell>
          <cell r="I2587" t="str">
            <v>25.08.2022</v>
          </cell>
          <cell r="J2587" t="str">
            <v>05.09.2022</v>
          </cell>
          <cell r="K2587" t="str">
            <v>24.08.2022</v>
          </cell>
          <cell r="L2587" t="str">
            <v>OK</v>
          </cell>
        </row>
        <row r="2588">
          <cell r="A2588" t="str">
            <v>AMS-44103I22</v>
          </cell>
          <cell r="B2588" t="str">
            <v>1Z6469V00473278719</v>
          </cell>
          <cell r="C2588" t="str">
            <v>Brasiliense</v>
          </cell>
          <cell r="D2588" t="str">
            <v>UPS</v>
          </cell>
          <cell r="E2588" t="str">
            <v>Future</v>
          </cell>
          <cell r="F2588">
            <v>44790</v>
          </cell>
          <cell r="G2588">
            <v>44798</v>
          </cell>
          <cell r="H2588">
            <v>44800</v>
          </cell>
          <cell r="I2588" t="str">
            <v>25.08.2022</v>
          </cell>
          <cell r="J2588" t="str">
            <v>05.09.2022</v>
          </cell>
          <cell r="K2588" t="str">
            <v>24.08.2022</v>
          </cell>
          <cell r="L2588" t="str">
            <v>OK</v>
          </cell>
        </row>
        <row r="2589">
          <cell r="A2589" t="str">
            <v>AMS-44104I22</v>
          </cell>
          <cell r="B2589" t="str">
            <v>1Z6469V00474935908</v>
          </cell>
          <cell r="C2589" t="str">
            <v>Brasiliense</v>
          </cell>
          <cell r="D2589" t="str">
            <v>UPS</v>
          </cell>
          <cell r="E2589" t="str">
            <v>Future</v>
          </cell>
          <cell r="F2589">
            <v>44790</v>
          </cell>
          <cell r="G2589">
            <v>44798</v>
          </cell>
          <cell r="H2589">
            <v>44800</v>
          </cell>
          <cell r="I2589" t="str">
            <v>25.08.2022</v>
          </cell>
          <cell r="J2589" t="str">
            <v>05.09.2022</v>
          </cell>
          <cell r="K2589" t="str">
            <v>24.08.2022</v>
          </cell>
          <cell r="L2589" t="str">
            <v>OK</v>
          </cell>
        </row>
        <row r="2590">
          <cell r="A2590" t="str">
            <v>AMS-44105I22</v>
          </cell>
          <cell r="B2590" t="str">
            <v>1Z6469V00474412848</v>
          </cell>
          <cell r="C2590" t="str">
            <v>Brasiliense</v>
          </cell>
          <cell r="D2590" t="str">
            <v>UPS</v>
          </cell>
          <cell r="E2590" t="str">
            <v>Future</v>
          </cell>
          <cell r="F2590">
            <v>44790</v>
          </cell>
          <cell r="G2590">
            <v>44798</v>
          </cell>
          <cell r="H2590">
            <v>44800</v>
          </cell>
          <cell r="I2590" t="str">
            <v>25.08.2022</v>
          </cell>
          <cell r="J2590" t="str">
            <v>05.09.2022</v>
          </cell>
          <cell r="K2590" t="str">
            <v>24.08.2022</v>
          </cell>
          <cell r="L2590" t="str">
            <v>OK</v>
          </cell>
        </row>
        <row r="2591">
          <cell r="A2591" t="str">
            <v>AMS-43712I22</v>
          </cell>
          <cell r="B2591" t="str">
            <v>41L0090165</v>
          </cell>
          <cell r="C2591" t="str">
            <v>Original</v>
          </cell>
          <cell r="D2591" t="str">
            <v>Expeditors</v>
          </cell>
          <cell r="E2591" t="str">
            <v>Expeditors</v>
          </cell>
          <cell r="F2591">
            <v>44782</v>
          </cell>
          <cell r="G2591">
            <v>44790</v>
          </cell>
          <cell r="H2591">
            <v>44792</v>
          </cell>
          <cell r="I2591" t="str">
            <v>17.08.2022</v>
          </cell>
          <cell r="J2591" t="str">
            <v>10.08.2022</v>
          </cell>
          <cell r="K2591" t="str">
            <v>-</v>
          </cell>
          <cell r="L2591" t="str">
            <v>OK</v>
          </cell>
        </row>
        <row r="2592">
          <cell r="A2592" t="str">
            <v>AMS-43713I22</v>
          </cell>
          <cell r="B2592" t="str">
            <v>41L0090166</v>
          </cell>
          <cell r="C2592" t="str">
            <v>Original</v>
          </cell>
          <cell r="D2592" t="str">
            <v>Expeditors</v>
          </cell>
          <cell r="E2592" t="str">
            <v>Expeditors</v>
          </cell>
          <cell r="F2592">
            <v>44782</v>
          </cell>
          <cell r="G2592">
            <v>44790</v>
          </cell>
          <cell r="H2592">
            <v>44792</v>
          </cell>
          <cell r="I2592" t="str">
            <v>17.08.2022</v>
          </cell>
          <cell r="J2592" t="str">
            <v>10.08.2022</v>
          </cell>
          <cell r="K2592" t="str">
            <v>-</v>
          </cell>
          <cell r="L2592" t="str">
            <v>OK</v>
          </cell>
        </row>
        <row r="2593">
          <cell r="A2593" t="str">
            <v>AMS-43806I22</v>
          </cell>
          <cell r="B2593" t="str">
            <v>41L0090167</v>
          </cell>
          <cell r="C2593" t="str">
            <v>Original</v>
          </cell>
          <cell r="D2593" t="str">
            <v>Expeditors</v>
          </cell>
          <cell r="E2593" t="str">
            <v>Expeditors</v>
          </cell>
          <cell r="F2593">
            <v>44782</v>
          </cell>
          <cell r="G2593">
            <v>44790</v>
          </cell>
          <cell r="H2593">
            <v>44792</v>
          </cell>
          <cell r="I2593" t="str">
            <v>17.08.2022</v>
          </cell>
          <cell r="J2593" t="str">
            <v>10.08.2022</v>
          </cell>
          <cell r="K2593" t="str">
            <v>-</v>
          </cell>
          <cell r="L2593" t="str">
            <v>OK</v>
          </cell>
        </row>
        <row r="2594">
          <cell r="A2594" t="str">
            <v>AMS-43807I22</v>
          </cell>
          <cell r="B2594" t="str">
            <v>41L0090168</v>
          </cell>
          <cell r="C2594" t="str">
            <v>Original</v>
          </cell>
          <cell r="D2594" t="str">
            <v>Expeditors</v>
          </cell>
          <cell r="E2594" t="str">
            <v>Expeditors</v>
          </cell>
          <cell r="F2594">
            <v>44782</v>
          </cell>
          <cell r="G2594">
            <v>44790</v>
          </cell>
          <cell r="H2594">
            <v>44792</v>
          </cell>
          <cell r="I2594" t="str">
            <v>17.08.2022</v>
          </cell>
          <cell r="J2594" t="str">
            <v>10.08.2022</v>
          </cell>
          <cell r="K2594" t="str">
            <v>-</v>
          </cell>
          <cell r="L2594" t="str">
            <v>OK</v>
          </cell>
        </row>
        <row r="2595">
          <cell r="A2595" t="str">
            <v>AMS-44063I22</v>
          </cell>
          <cell r="B2595" t="str">
            <v>SHA00929189</v>
          </cell>
          <cell r="C2595" t="str">
            <v>Original</v>
          </cell>
          <cell r="D2595" t="str">
            <v>PGL</v>
          </cell>
          <cell r="E2595" t="str">
            <v>Technology</v>
          </cell>
          <cell r="F2595">
            <v>44791</v>
          </cell>
          <cell r="G2595">
            <v>44799</v>
          </cell>
          <cell r="H2595">
            <v>44801</v>
          </cell>
          <cell r="I2595" t="str">
            <v>25.08.2022</v>
          </cell>
          <cell r="J2595" t="str">
            <v>23.08.2022</v>
          </cell>
          <cell r="K2595" t="str">
            <v>-</v>
          </cell>
          <cell r="L2595" t="str">
            <v>OK</v>
          </cell>
        </row>
        <row r="2596">
          <cell r="A2596" t="str">
            <v>AMS-44064I22</v>
          </cell>
          <cell r="B2596" t="str">
            <v>SHA00929192</v>
          </cell>
          <cell r="C2596" t="str">
            <v>Original</v>
          </cell>
          <cell r="D2596" t="str">
            <v>PGL</v>
          </cell>
          <cell r="E2596" t="str">
            <v>Technology</v>
          </cell>
          <cell r="F2596">
            <v>44791</v>
          </cell>
          <cell r="G2596">
            <v>44799</v>
          </cell>
          <cell r="H2596">
            <v>44801</v>
          </cell>
          <cell r="I2596" t="str">
            <v>25.08.2022</v>
          </cell>
          <cell r="J2596" t="str">
            <v>23.08.2022</v>
          </cell>
          <cell r="K2596" t="str">
            <v>-</v>
          </cell>
          <cell r="L2596" t="str">
            <v>OK</v>
          </cell>
        </row>
        <row r="2597">
          <cell r="A2597" t="str">
            <v>AMS-44065I22</v>
          </cell>
          <cell r="B2597" t="str">
            <v>SHA00929190</v>
          </cell>
          <cell r="C2597" t="str">
            <v>Original</v>
          </cell>
          <cell r="D2597" t="str">
            <v>PGL</v>
          </cell>
          <cell r="E2597" t="str">
            <v>Technology</v>
          </cell>
          <cell r="F2597">
            <v>44791</v>
          </cell>
          <cell r="G2597">
            <v>44799</v>
          </cell>
          <cell r="H2597">
            <v>44801</v>
          </cell>
          <cell r="I2597" t="str">
            <v>25.08.2022</v>
          </cell>
          <cell r="J2597" t="str">
            <v>23.08.2022</v>
          </cell>
          <cell r="K2597" t="str">
            <v>-</v>
          </cell>
          <cell r="L2597" t="str">
            <v>OK</v>
          </cell>
        </row>
        <row r="2598">
          <cell r="A2598" t="str">
            <v>AHW-44159I22</v>
          </cell>
          <cell r="B2598">
            <v>4009423</v>
          </cell>
          <cell r="C2598" t="str">
            <v>Original</v>
          </cell>
          <cell r="D2598" t="str">
            <v>CTS</v>
          </cell>
          <cell r="E2598" t="str">
            <v>JP</v>
          </cell>
          <cell r="F2598">
            <v>44802</v>
          </cell>
          <cell r="G2598">
            <v>44810</v>
          </cell>
          <cell r="H2598">
            <v>44812</v>
          </cell>
          <cell r="I2598" t="str">
            <v>16.09.2022</v>
          </cell>
          <cell r="J2598" t="str">
            <v>05.09.2022</v>
          </cell>
          <cell r="K2598" t="str">
            <v>-</v>
          </cell>
          <cell r="L2598" t="str">
            <v>OK</v>
          </cell>
        </row>
        <row r="2599">
          <cell r="A2599" t="str">
            <v>AHW-44124I22</v>
          </cell>
          <cell r="B2599">
            <v>4009414</v>
          </cell>
          <cell r="C2599" t="str">
            <v>Original</v>
          </cell>
          <cell r="D2599" t="str">
            <v>CTS</v>
          </cell>
          <cell r="E2599" t="str">
            <v>JP</v>
          </cell>
          <cell r="F2599">
            <v>44802</v>
          </cell>
          <cell r="G2599">
            <v>44810</v>
          </cell>
          <cell r="H2599">
            <v>44812</v>
          </cell>
          <cell r="I2599" t="str">
            <v>07.09.2022</v>
          </cell>
          <cell r="J2599" t="str">
            <v>05.09.2022</v>
          </cell>
          <cell r="K2599" t="str">
            <v>-</v>
          </cell>
          <cell r="L2599" t="str">
            <v>OK</v>
          </cell>
        </row>
        <row r="2600">
          <cell r="A2600" t="str">
            <v>AHW-44134I22</v>
          </cell>
          <cell r="B2600">
            <v>4009421</v>
          </cell>
          <cell r="C2600" t="str">
            <v>Original</v>
          </cell>
          <cell r="D2600" t="str">
            <v>CTS</v>
          </cell>
          <cell r="E2600" t="str">
            <v>JP</v>
          </cell>
          <cell r="F2600">
            <v>44802</v>
          </cell>
          <cell r="G2600">
            <v>44810</v>
          </cell>
          <cell r="H2600">
            <v>44812</v>
          </cell>
          <cell r="I2600" t="str">
            <v>16.09.2022</v>
          </cell>
          <cell r="J2600" t="str">
            <v>06.09.2022</v>
          </cell>
          <cell r="K2600" t="str">
            <v>-</v>
          </cell>
          <cell r="L2600" t="str">
            <v>OK</v>
          </cell>
        </row>
        <row r="2601">
          <cell r="A2601" t="str">
            <v>AHW-44160I22</v>
          </cell>
          <cell r="B2601">
            <v>4009460</v>
          </cell>
          <cell r="C2601" t="str">
            <v>Original</v>
          </cell>
          <cell r="D2601" t="str">
            <v>CTS</v>
          </cell>
          <cell r="E2601" t="str">
            <v>JP</v>
          </cell>
          <cell r="F2601">
            <v>44802</v>
          </cell>
          <cell r="G2601">
            <v>44810</v>
          </cell>
          <cell r="H2601">
            <v>44812</v>
          </cell>
          <cell r="I2601" t="str">
            <v>06.09.2022</v>
          </cell>
          <cell r="J2601" t="str">
            <v>05.09.2022</v>
          </cell>
          <cell r="K2601" t="str">
            <v>-</v>
          </cell>
          <cell r="L2601" t="str">
            <v>OK</v>
          </cell>
        </row>
        <row r="2602">
          <cell r="A2602" t="str">
            <v>AMS-44120I22</v>
          </cell>
          <cell r="B2602" t="str">
            <v>SHA01086758</v>
          </cell>
          <cell r="C2602" t="str">
            <v>Original</v>
          </cell>
          <cell r="D2602" t="str">
            <v>PGL</v>
          </cell>
          <cell r="E2602" t="str">
            <v>Technology</v>
          </cell>
          <cell r="F2602">
            <v>44803</v>
          </cell>
          <cell r="G2602">
            <v>44811</v>
          </cell>
          <cell r="H2602">
            <v>44813</v>
          </cell>
          <cell r="I2602" t="str">
            <v>09.09.2022</v>
          </cell>
          <cell r="J2602" t="str">
            <v>01.09.2022</v>
          </cell>
          <cell r="K2602" t="str">
            <v>-</v>
          </cell>
          <cell r="L2602" t="str">
            <v>OK</v>
          </cell>
        </row>
        <row r="2603">
          <cell r="A2603" t="str">
            <v>AMS-44121I22</v>
          </cell>
          <cell r="B2603" t="str">
            <v>SHA01086755</v>
          </cell>
          <cell r="C2603" t="str">
            <v>Original</v>
          </cell>
          <cell r="D2603" t="str">
            <v>PGL</v>
          </cell>
          <cell r="E2603" t="str">
            <v>Technology</v>
          </cell>
          <cell r="F2603">
            <v>44803</v>
          </cell>
          <cell r="G2603">
            <v>44811</v>
          </cell>
          <cell r="H2603">
            <v>44813</v>
          </cell>
          <cell r="I2603" t="str">
            <v>09.09.2022</v>
          </cell>
          <cell r="J2603" t="str">
            <v>01.09.2022</v>
          </cell>
          <cell r="K2603" t="str">
            <v>-</v>
          </cell>
          <cell r="L2603" t="str">
            <v>OK</v>
          </cell>
        </row>
        <row r="2604">
          <cell r="A2604" t="str">
            <v>AMS-44122I22</v>
          </cell>
          <cell r="B2604" t="str">
            <v>SHA01086752</v>
          </cell>
          <cell r="C2604" t="str">
            <v>Original</v>
          </cell>
          <cell r="D2604" t="str">
            <v>PGL</v>
          </cell>
          <cell r="E2604" t="str">
            <v>Technology</v>
          </cell>
          <cell r="F2604">
            <v>44803</v>
          </cell>
          <cell r="G2604">
            <v>44811</v>
          </cell>
          <cell r="H2604">
            <v>44813</v>
          </cell>
          <cell r="I2604" t="str">
            <v>09.09.2022</v>
          </cell>
          <cell r="J2604" t="str">
            <v>01.09.2022</v>
          </cell>
          <cell r="K2604" t="str">
            <v>-</v>
          </cell>
          <cell r="L2604" t="str">
            <v>OK</v>
          </cell>
        </row>
        <row r="2605">
          <cell r="A2605" t="str">
            <v>AMS-44126I22</v>
          </cell>
          <cell r="B2605">
            <v>417564831</v>
          </cell>
          <cell r="C2605" t="str">
            <v>Original</v>
          </cell>
          <cell r="D2605" t="str">
            <v>Expeditors</v>
          </cell>
          <cell r="E2605" t="str">
            <v>Expeditors</v>
          </cell>
          <cell r="F2605">
            <v>44803</v>
          </cell>
          <cell r="G2605">
            <v>44811</v>
          </cell>
          <cell r="H2605">
            <v>44813</v>
          </cell>
          <cell r="I2605" t="str">
            <v>25.08.2022</v>
          </cell>
          <cell r="J2605" t="str">
            <v>01.09.2022</v>
          </cell>
          <cell r="K2605" t="str">
            <v>-</v>
          </cell>
          <cell r="L2605" t="str">
            <v>OK</v>
          </cell>
        </row>
        <row r="2606">
          <cell r="A2606" t="str">
            <v>AMS-44127I22</v>
          </cell>
          <cell r="B2606">
            <v>417564832</v>
          </cell>
          <cell r="C2606" t="str">
            <v>Original</v>
          </cell>
          <cell r="D2606" t="str">
            <v>Expeditors</v>
          </cell>
          <cell r="E2606" t="str">
            <v>Expeditors</v>
          </cell>
          <cell r="F2606">
            <v>44803</v>
          </cell>
          <cell r="G2606">
            <v>44811</v>
          </cell>
          <cell r="H2606">
            <v>44813</v>
          </cell>
          <cell r="I2606" t="str">
            <v>25.08.2022</v>
          </cell>
          <cell r="J2606" t="str">
            <v>01.09.2022</v>
          </cell>
          <cell r="K2606" t="str">
            <v>-</v>
          </cell>
          <cell r="L2606" t="str">
            <v>OK</v>
          </cell>
        </row>
        <row r="2607">
          <cell r="A2607" t="str">
            <v>AMS-44128I22</v>
          </cell>
          <cell r="B2607">
            <v>417564833</v>
          </cell>
          <cell r="C2607" t="str">
            <v>Original</v>
          </cell>
          <cell r="D2607" t="str">
            <v>Expeditors</v>
          </cell>
          <cell r="E2607" t="str">
            <v>Expeditors</v>
          </cell>
          <cell r="F2607">
            <v>44803</v>
          </cell>
          <cell r="G2607">
            <v>44811</v>
          </cell>
          <cell r="H2607">
            <v>44813</v>
          </cell>
          <cell r="I2607" t="str">
            <v>25.08.2022</v>
          </cell>
          <cell r="J2607" t="str">
            <v>01.09.2022</v>
          </cell>
          <cell r="K2607" t="str">
            <v>-</v>
          </cell>
          <cell r="L2607" t="str">
            <v>OK</v>
          </cell>
        </row>
        <row r="2608">
          <cell r="A2608" t="str">
            <v>AMS-44129I22</v>
          </cell>
          <cell r="B2608">
            <v>417564834</v>
          </cell>
          <cell r="C2608" t="str">
            <v>Original</v>
          </cell>
          <cell r="D2608" t="str">
            <v>Expeditors</v>
          </cell>
          <cell r="E2608" t="str">
            <v>Expeditors</v>
          </cell>
          <cell r="F2608">
            <v>44803</v>
          </cell>
          <cell r="G2608">
            <v>44811</v>
          </cell>
          <cell r="H2608">
            <v>44813</v>
          </cell>
          <cell r="I2608" t="str">
            <v>25.08.2022</v>
          </cell>
          <cell r="J2608" t="str">
            <v>01.09.2022</v>
          </cell>
          <cell r="K2608" t="str">
            <v>-</v>
          </cell>
          <cell r="L2608" t="str">
            <v>OK</v>
          </cell>
        </row>
        <row r="2609">
          <cell r="A2609" t="str">
            <v>AHW-44177I22</v>
          </cell>
          <cell r="B2609">
            <v>4009488</v>
          </cell>
          <cell r="C2609" t="str">
            <v>Original</v>
          </cell>
          <cell r="D2609" t="str">
            <v>CTS</v>
          </cell>
          <cell r="E2609" t="str">
            <v>JP</v>
          </cell>
          <cell r="F2609">
            <v>44806</v>
          </cell>
          <cell r="G2609">
            <v>44814</v>
          </cell>
          <cell r="H2609">
            <v>44816</v>
          </cell>
          <cell r="I2609" t="str">
            <v>09.09.2022</v>
          </cell>
          <cell r="J2609" t="str">
            <v>04.10.2022</v>
          </cell>
          <cell r="K2609" t="str">
            <v>-</v>
          </cell>
          <cell r="L2609" t="str">
            <v>OK</v>
          </cell>
        </row>
        <row r="2610">
          <cell r="A2610" t="str">
            <v>AHW-44179I22</v>
          </cell>
          <cell r="B2610">
            <v>4009487</v>
          </cell>
          <cell r="C2610" t="str">
            <v>Original</v>
          </cell>
          <cell r="D2610" t="str">
            <v>CTS</v>
          </cell>
          <cell r="E2610" t="str">
            <v>JP</v>
          </cell>
          <cell r="F2610">
            <v>44806</v>
          </cell>
          <cell r="G2610">
            <v>44814</v>
          </cell>
          <cell r="H2610">
            <v>44816</v>
          </cell>
          <cell r="I2610" t="str">
            <v>09.09.2022</v>
          </cell>
          <cell r="J2610" t="str">
            <v>04.10.2022</v>
          </cell>
          <cell r="K2610" t="str">
            <v>-</v>
          </cell>
          <cell r="L2610" t="str">
            <v>OK</v>
          </cell>
        </row>
        <row r="2611">
          <cell r="A2611" t="str">
            <v>AHW-44180I22</v>
          </cell>
          <cell r="B2611">
            <v>4009508</v>
          </cell>
          <cell r="C2611" t="str">
            <v>Original</v>
          </cell>
          <cell r="D2611" t="str">
            <v>CTS</v>
          </cell>
          <cell r="E2611" t="str">
            <v>JP</v>
          </cell>
          <cell r="F2611">
            <v>44806</v>
          </cell>
          <cell r="G2611">
            <v>44814</v>
          </cell>
          <cell r="H2611">
            <v>44816</v>
          </cell>
          <cell r="I2611" t="str">
            <v>09.09.2022</v>
          </cell>
          <cell r="J2611" t="str">
            <v>04.10.2022</v>
          </cell>
          <cell r="K2611" t="str">
            <v>-</v>
          </cell>
          <cell r="L2611" t="str">
            <v>OK</v>
          </cell>
        </row>
        <row r="2612">
          <cell r="A2612" t="str">
            <v>AHW-44433I22</v>
          </cell>
          <cell r="B2612">
            <v>4009519</v>
          </cell>
          <cell r="C2612" t="str">
            <v>Original</v>
          </cell>
          <cell r="D2612" t="str">
            <v>CTS</v>
          </cell>
          <cell r="E2612" t="str">
            <v>JP</v>
          </cell>
          <cell r="F2612">
            <v>44806</v>
          </cell>
          <cell r="G2612">
            <v>44814</v>
          </cell>
          <cell r="H2612">
            <v>44816</v>
          </cell>
          <cell r="I2612" t="str">
            <v>09.09.2022</v>
          </cell>
          <cell r="J2612" t="str">
            <v>04.10.2022</v>
          </cell>
          <cell r="K2612" t="str">
            <v>-</v>
          </cell>
          <cell r="L2612" t="str">
            <v>OK</v>
          </cell>
        </row>
        <row r="2613">
          <cell r="A2613" t="str">
            <v>AHW-44182I22</v>
          </cell>
          <cell r="B2613">
            <v>4009507</v>
          </cell>
          <cell r="C2613" t="str">
            <v>Original</v>
          </cell>
          <cell r="D2613" t="str">
            <v>CTS</v>
          </cell>
          <cell r="E2613" t="str">
            <v>JP</v>
          </cell>
          <cell r="F2613">
            <v>44806</v>
          </cell>
          <cell r="G2613">
            <v>44814</v>
          </cell>
          <cell r="H2613">
            <v>44816</v>
          </cell>
          <cell r="I2613" t="str">
            <v>09.09.2022</v>
          </cell>
          <cell r="J2613" t="str">
            <v>04.10.2022</v>
          </cell>
          <cell r="K2613" t="str">
            <v>-</v>
          </cell>
          <cell r="L2613" t="str">
            <v>OK</v>
          </cell>
        </row>
        <row r="2614">
          <cell r="A2614" t="str">
            <v>AHW-44437I22</v>
          </cell>
          <cell r="B2614">
            <v>4009520</v>
          </cell>
          <cell r="C2614" t="str">
            <v>Original</v>
          </cell>
          <cell r="D2614" t="str">
            <v>CTS</v>
          </cell>
          <cell r="E2614" t="str">
            <v>JP</v>
          </cell>
          <cell r="F2614">
            <v>44806</v>
          </cell>
          <cell r="G2614">
            <v>44814</v>
          </cell>
          <cell r="H2614">
            <v>44816</v>
          </cell>
          <cell r="I2614" t="str">
            <v>09.09.2022</v>
          </cell>
          <cell r="J2614" t="str">
            <v>04.10.2022</v>
          </cell>
          <cell r="K2614" t="str">
            <v>-</v>
          </cell>
          <cell r="L2614" t="str">
            <v>OK</v>
          </cell>
        </row>
        <row r="2615">
          <cell r="A2615" t="str">
            <v>AMS-44165I22</v>
          </cell>
          <cell r="B2615">
            <v>407970213</v>
          </cell>
          <cell r="C2615" t="str">
            <v>Original</v>
          </cell>
          <cell r="D2615" t="str">
            <v>Vsantos</v>
          </cell>
          <cell r="E2615" t="str">
            <v>Technology</v>
          </cell>
          <cell r="F2615">
            <v>44805</v>
          </cell>
          <cell r="G2615">
            <v>44813</v>
          </cell>
          <cell r="H2615">
            <v>44815</v>
          </cell>
          <cell r="I2615" t="str">
            <v>06.09.2022</v>
          </cell>
          <cell r="J2615" t="str">
            <v>01.09.2022</v>
          </cell>
          <cell r="K2615" t="str">
            <v>-</v>
          </cell>
          <cell r="L2615" t="str">
            <v>OK</v>
          </cell>
        </row>
        <row r="2616">
          <cell r="A2616" t="str">
            <v>AMS-44166I22</v>
          </cell>
          <cell r="B2616">
            <v>407969744</v>
          </cell>
          <cell r="C2616" t="str">
            <v>Original</v>
          </cell>
          <cell r="D2616" t="str">
            <v>Vsantos</v>
          </cell>
          <cell r="E2616" t="str">
            <v>Technology</v>
          </cell>
          <cell r="F2616">
            <v>44805</v>
          </cell>
          <cell r="G2616">
            <v>44813</v>
          </cell>
          <cell r="H2616">
            <v>44815</v>
          </cell>
          <cell r="I2616" t="str">
            <v>09.09.2022</v>
          </cell>
          <cell r="J2616" t="str">
            <v>01.09.2022</v>
          </cell>
          <cell r="K2616" t="str">
            <v>-</v>
          </cell>
          <cell r="L2616" t="str">
            <v>OK</v>
          </cell>
        </row>
        <row r="2617">
          <cell r="A2617" t="str">
            <v>AMS-44149I22</v>
          </cell>
          <cell r="B2617">
            <v>417564863</v>
          </cell>
          <cell r="C2617" t="str">
            <v>Original</v>
          </cell>
          <cell r="D2617" t="str">
            <v>Expeditors</v>
          </cell>
          <cell r="E2617" t="str">
            <v>Expeditors</v>
          </cell>
          <cell r="F2617">
            <v>44805</v>
          </cell>
          <cell r="G2617">
            <v>44813</v>
          </cell>
          <cell r="H2617">
            <v>44815</v>
          </cell>
          <cell r="I2617" t="str">
            <v>09.09.2022</v>
          </cell>
          <cell r="J2617" t="str">
            <v>01.09.2022</v>
          </cell>
          <cell r="K2617" t="str">
            <v>-</v>
          </cell>
          <cell r="L2617" t="str">
            <v>OK</v>
          </cell>
        </row>
        <row r="2618">
          <cell r="A2618" t="str">
            <v>AMS-44150I22</v>
          </cell>
          <cell r="B2618">
            <v>417564864</v>
          </cell>
          <cell r="C2618" t="str">
            <v>Original</v>
          </cell>
          <cell r="D2618" t="str">
            <v>Expeditors</v>
          </cell>
          <cell r="E2618" t="str">
            <v>Expeditors</v>
          </cell>
          <cell r="F2618">
            <v>44805</v>
          </cell>
          <cell r="G2618">
            <v>44813</v>
          </cell>
          <cell r="H2618">
            <v>44815</v>
          </cell>
          <cell r="I2618" t="str">
            <v>09.09.2022</v>
          </cell>
          <cell r="J2618" t="str">
            <v>01.09.2022</v>
          </cell>
          <cell r="K2618" t="str">
            <v>-</v>
          </cell>
          <cell r="L2618" t="str">
            <v>OK</v>
          </cell>
        </row>
        <row r="2619">
          <cell r="A2619" t="str">
            <v>AMS-44151I22</v>
          </cell>
          <cell r="B2619">
            <v>417564865</v>
          </cell>
          <cell r="C2619" t="str">
            <v>Original</v>
          </cell>
          <cell r="D2619" t="str">
            <v>Expeditors</v>
          </cell>
          <cell r="E2619" t="str">
            <v>Expeditors</v>
          </cell>
          <cell r="F2619">
            <v>44805</v>
          </cell>
          <cell r="G2619">
            <v>44813</v>
          </cell>
          <cell r="H2619">
            <v>44815</v>
          </cell>
          <cell r="I2619" t="str">
            <v>09.09.2022</v>
          </cell>
          <cell r="J2619" t="str">
            <v>01.09.2022</v>
          </cell>
          <cell r="K2619" t="str">
            <v>-</v>
          </cell>
          <cell r="L2619" t="str">
            <v>OK</v>
          </cell>
        </row>
        <row r="2620">
          <cell r="A2620" t="str">
            <v>AMS-44152I22</v>
          </cell>
          <cell r="B2620">
            <v>417564866</v>
          </cell>
          <cell r="C2620" t="str">
            <v>Original</v>
          </cell>
          <cell r="D2620" t="str">
            <v>Expeditors</v>
          </cell>
          <cell r="E2620" t="str">
            <v>Expeditors</v>
          </cell>
          <cell r="F2620">
            <v>44805</v>
          </cell>
          <cell r="G2620">
            <v>44813</v>
          </cell>
          <cell r="H2620">
            <v>44815</v>
          </cell>
          <cell r="I2620" t="str">
            <v>09.09.2022</v>
          </cell>
          <cell r="J2620" t="str">
            <v>01.09.2022</v>
          </cell>
          <cell r="K2620" t="str">
            <v>-</v>
          </cell>
          <cell r="L2620" t="str">
            <v>OK</v>
          </cell>
        </row>
        <row r="2621">
          <cell r="A2621" t="str">
            <v>AMS-44161I22</v>
          </cell>
          <cell r="B2621" t="str">
            <v>41L0091459</v>
          </cell>
          <cell r="C2621" t="str">
            <v>Original</v>
          </cell>
          <cell r="D2621" t="str">
            <v>Expeditors</v>
          </cell>
          <cell r="E2621" t="str">
            <v>Expeditors</v>
          </cell>
          <cell r="F2621">
            <v>44805</v>
          </cell>
          <cell r="G2621">
            <v>44813</v>
          </cell>
          <cell r="H2621">
            <v>44815</v>
          </cell>
          <cell r="I2621" t="str">
            <v>09.09.2022</v>
          </cell>
          <cell r="J2621" t="str">
            <v>01.09.2022</v>
          </cell>
          <cell r="K2621" t="str">
            <v>-</v>
          </cell>
          <cell r="L2621" t="str">
            <v>OK</v>
          </cell>
        </row>
        <row r="2622">
          <cell r="A2622" t="str">
            <v>AMS-44162I22</v>
          </cell>
          <cell r="B2622" t="str">
            <v>41L0091460</v>
          </cell>
          <cell r="C2622" t="str">
            <v>Original</v>
          </cell>
          <cell r="D2622" t="str">
            <v>Expeditors</v>
          </cell>
          <cell r="E2622" t="str">
            <v>Expeditors</v>
          </cell>
          <cell r="F2622">
            <v>44805</v>
          </cell>
          <cell r="G2622">
            <v>44813</v>
          </cell>
          <cell r="H2622">
            <v>44815</v>
          </cell>
          <cell r="I2622" t="str">
            <v>09.09.2022</v>
          </cell>
          <cell r="J2622" t="str">
            <v>01.09.2022</v>
          </cell>
          <cell r="K2622" t="str">
            <v>-</v>
          </cell>
          <cell r="L2622" t="str">
            <v>OK</v>
          </cell>
        </row>
        <row r="2623">
          <cell r="A2623" t="str">
            <v>AMS-44163I22</v>
          </cell>
          <cell r="B2623" t="str">
            <v>41L0091461</v>
          </cell>
          <cell r="C2623" t="str">
            <v>Original</v>
          </cell>
          <cell r="D2623" t="str">
            <v>Expeditors</v>
          </cell>
          <cell r="E2623" t="str">
            <v>Expeditors</v>
          </cell>
          <cell r="F2623">
            <v>44805</v>
          </cell>
          <cell r="G2623">
            <v>44813</v>
          </cell>
          <cell r="H2623">
            <v>44815</v>
          </cell>
          <cell r="I2623" t="str">
            <v>09.09.2022</v>
          </cell>
          <cell r="J2623" t="str">
            <v>01.09.2022</v>
          </cell>
          <cell r="K2623" t="str">
            <v>-</v>
          </cell>
          <cell r="L2623" t="str">
            <v>OK</v>
          </cell>
        </row>
        <row r="2624">
          <cell r="A2624" t="str">
            <v>AMS-44164I22</v>
          </cell>
          <cell r="B2624" t="str">
            <v>41L0091462</v>
          </cell>
          <cell r="C2624" t="str">
            <v>Original</v>
          </cell>
          <cell r="D2624" t="str">
            <v>Expeditors</v>
          </cell>
          <cell r="E2624" t="str">
            <v>Expeditors</v>
          </cell>
          <cell r="F2624">
            <v>44805</v>
          </cell>
          <cell r="G2624">
            <v>44813</v>
          </cell>
          <cell r="H2624">
            <v>44815</v>
          </cell>
          <cell r="I2624" t="str">
            <v>09.09.2022</v>
          </cell>
          <cell r="J2624" t="str">
            <v>01.09.2022</v>
          </cell>
          <cell r="K2624" t="str">
            <v>-</v>
          </cell>
          <cell r="L2624" t="str">
            <v>OK</v>
          </cell>
        </row>
        <row r="2625">
          <cell r="A2625" t="str">
            <v>AMS-44167I22</v>
          </cell>
          <cell r="B2625" t="str">
            <v>1Z6469V00474802426</v>
          </cell>
          <cell r="C2625" t="str">
            <v>Brasiliense</v>
          </cell>
          <cell r="D2625" t="str">
            <v>UPS</v>
          </cell>
          <cell r="E2625" t="str">
            <v>Future</v>
          </cell>
          <cell r="F2625">
            <v>44799</v>
          </cell>
          <cell r="G2625">
            <v>44807</v>
          </cell>
          <cell r="H2625">
            <v>44809</v>
          </cell>
          <cell r="I2625" t="str">
            <v>07.09.2022</v>
          </cell>
          <cell r="J2625" t="str">
            <v>05.09.2022</v>
          </cell>
          <cell r="K2625" t="str">
            <v>06.09.2022</v>
          </cell>
          <cell r="L2625" t="str">
            <v>OK</v>
          </cell>
        </row>
        <row r="2626">
          <cell r="A2626" t="str">
            <v>AMS-44168I22</v>
          </cell>
          <cell r="B2626" t="str">
            <v>1Z6469V00473013245</v>
          </cell>
          <cell r="C2626" t="str">
            <v>Brasiliense</v>
          </cell>
          <cell r="D2626" t="str">
            <v>UPS</v>
          </cell>
          <cell r="E2626" t="str">
            <v>Future</v>
          </cell>
          <cell r="F2626">
            <v>44799</v>
          </cell>
          <cell r="G2626">
            <v>44807</v>
          </cell>
          <cell r="H2626">
            <v>44809</v>
          </cell>
          <cell r="I2626" t="str">
            <v>07.09.2022</v>
          </cell>
          <cell r="J2626" t="str">
            <v>05.09.2022</v>
          </cell>
          <cell r="K2626" t="str">
            <v>06.09.2022</v>
          </cell>
          <cell r="L2626" t="str">
            <v>OK</v>
          </cell>
        </row>
        <row r="2627">
          <cell r="A2627" t="str">
            <v>AMS-44169I22</v>
          </cell>
          <cell r="B2627" t="str">
            <v>1Z6469V00473736590</v>
          </cell>
          <cell r="C2627" t="str">
            <v>Brasiliense</v>
          </cell>
          <cell r="D2627" t="str">
            <v>UPS</v>
          </cell>
          <cell r="E2627" t="str">
            <v>Future</v>
          </cell>
          <cell r="F2627">
            <v>44799</v>
          </cell>
          <cell r="G2627">
            <v>44807</v>
          </cell>
          <cell r="H2627">
            <v>44809</v>
          </cell>
          <cell r="I2627" t="str">
            <v>07.09.2022</v>
          </cell>
          <cell r="J2627" t="str">
            <v>05.09.2022</v>
          </cell>
          <cell r="K2627" t="str">
            <v>06.09.2022</v>
          </cell>
          <cell r="L2627" t="str">
            <v>OK</v>
          </cell>
        </row>
        <row r="2628">
          <cell r="A2628" t="str">
            <v>AMS-44170I22</v>
          </cell>
          <cell r="B2628" t="str">
            <v>1Z6469V00475963993</v>
          </cell>
          <cell r="C2628" t="str">
            <v>Brasiliense</v>
          </cell>
          <cell r="D2628" t="str">
            <v>UPS</v>
          </cell>
          <cell r="E2628" t="str">
            <v>Future</v>
          </cell>
          <cell r="F2628">
            <v>44799</v>
          </cell>
          <cell r="G2628">
            <v>44807</v>
          </cell>
          <cell r="H2628">
            <v>44809</v>
          </cell>
          <cell r="I2628" t="str">
            <v>07.09.2022</v>
          </cell>
          <cell r="J2628" t="str">
            <v>05.09.2022</v>
          </cell>
          <cell r="K2628" t="str">
            <v>06.09.2022</v>
          </cell>
          <cell r="L2628" t="str">
            <v>OK</v>
          </cell>
        </row>
        <row r="2629">
          <cell r="A2629" t="str">
            <v>AMS-44171I22</v>
          </cell>
          <cell r="B2629" t="str">
            <v>1Z6469V00474898137</v>
          </cell>
          <cell r="C2629" t="str">
            <v>Brasiliense</v>
          </cell>
          <cell r="D2629" t="str">
            <v>UPS</v>
          </cell>
          <cell r="E2629" t="str">
            <v>Future</v>
          </cell>
          <cell r="F2629">
            <v>44799</v>
          </cell>
          <cell r="G2629">
            <v>44807</v>
          </cell>
          <cell r="H2629">
            <v>44809</v>
          </cell>
          <cell r="I2629" t="str">
            <v>07.09.2022</v>
          </cell>
          <cell r="J2629" t="str">
            <v>05.09.2022</v>
          </cell>
          <cell r="K2629" t="str">
            <v>06.09.2022</v>
          </cell>
          <cell r="L2629" t="str">
            <v>OK</v>
          </cell>
        </row>
        <row r="2630">
          <cell r="A2630" t="str">
            <v>AMS-44172I22</v>
          </cell>
          <cell r="B2630" t="str">
            <v>1Z6469V00473233310</v>
          </cell>
          <cell r="C2630" t="str">
            <v>Brasiliense</v>
          </cell>
          <cell r="D2630" t="str">
            <v>UPS</v>
          </cell>
          <cell r="E2630" t="str">
            <v>Future</v>
          </cell>
          <cell r="F2630">
            <v>44799</v>
          </cell>
          <cell r="G2630">
            <v>44807</v>
          </cell>
          <cell r="H2630">
            <v>44809</v>
          </cell>
          <cell r="I2630" t="str">
            <v>07.09.2022</v>
          </cell>
          <cell r="J2630" t="str">
            <v>05.09.2022</v>
          </cell>
          <cell r="K2630" t="str">
            <v>06.09.2022</v>
          </cell>
          <cell r="L2630" t="str">
            <v>OK</v>
          </cell>
        </row>
        <row r="2631">
          <cell r="A2631" t="str">
            <v>AMS-44173I22</v>
          </cell>
          <cell r="B2631" t="str">
            <v>1Z6469V00474194638</v>
          </cell>
          <cell r="C2631" t="str">
            <v>Brasiliense</v>
          </cell>
          <cell r="D2631" t="str">
            <v>UPS</v>
          </cell>
          <cell r="E2631" t="str">
            <v>Future</v>
          </cell>
          <cell r="F2631">
            <v>44799</v>
          </cell>
          <cell r="G2631">
            <v>44807</v>
          </cell>
          <cell r="H2631">
            <v>44809</v>
          </cell>
          <cell r="I2631" t="str">
            <v>07.09.2022</v>
          </cell>
          <cell r="J2631" t="str">
            <v>05.09.2022</v>
          </cell>
          <cell r="K2631" t="str">
            <v>06.09.2022</v>
          </cell>
          <cell r="L2631" t="str">
            <v>OK</v>
          </cell>
        </row>
        <row r="2632">
          <cell r="A2632" t="str">
            <v>AMS-44174I22</v>
          </cell>
          <cell r="B2632" t="str">
            <v>1Z6469V00473015476</v>
          </cell>
          <cell r="C2632" t="str">
            <v>Brasiliense</v>
          </cell>
          <cell r="D2632" t="str">
            <v>UPS</v>
          </cell>
          <cell r="E2632" t="str">
            <v>Future</v>
          </cell>
          <cell r="F2632">
            <v>44799</v>
          </cell>
          <cell r="G2632">
            <v>44807</v>
          </cell>
          <cell r="H2632">
            <v>44809</v>
          </cell>
          <cell r="I2632" t="str">
            <v>07.09.2022</v>
          </cell>
          <cell r="J2632" t="str">
            <v>05.09.2022</v>
          </cell>
          <cell r="K2632" t="str">
            <v>06.09.2022</v>
          </cell>
          <cell r="L2632" t="str">
            <v>OK</v>
          </cell>
        </row>
        <row r="2633">
          <cell r="A2633" t="str">
            <v>AMS-44175I22</v>
          </cell>
          <cell r="B2633" t="str">
            <v>1Z6469V00473823763</v>
          </cell>
          <cell r="C2633" t="str">
            <v>Brasiliense</v>
          </cell>
          <cell r="D2633" t="str">
            <v>UPS</v>
          </cell>
          <cell r="E2633" t="str">
            <v>Future</v>
          </cell>
          <cell r="F2633">
            <v>44799</v>
          </cell>
          <cell r="G2633">
            <v>44807</v>
          </cell>
          <cell r="H2633">
            <v>44809</v>
          </cell>
          <cell r="I2633" t="str">
            <v>07.09.2022</v>
          </cell>
          <cell r="J2633" t="str">
            <v>05.09.2022</v>
          </cell>
          <cell r="K2633" t="str">
            <v>06.09.2022</v>
          </cell>
          <cell r="L2633" t="str">
            <v>OK</v>
          </cell>
        </row>
        <row r="2634">
          <cell r="A2634" t="str">
            <v>AMS-44505I22</v>
          </cell>
          <cell r="B2634" t="str">
            <v>`01939500160</v>
          </cell>
          <cell r="C2634" t="str">
            <v>Brasiliense</v>
          </cell>
          <cell r="D2634" t="str">
            <v>FEDEX</v>
          </cell>
          <cell r="E2634" t="str">
            <v>Future</v>
          </cell>
          <cell r="F2634">
            <v>44810</v>
          </cell>
          <cell r="G2634">
            <v>44818</v>
          </cell>
          <cell r="H2634">
            <v>44820</v>
          </cell>
          <cell r="I2634" t="str">
            <v>13.09.2022</v>
          </cell>
          <cell r="J2634" t="str">
            <v>13.09.2022</v>
          </cell>
          <cell r="K2634" t="str">
            <v>12.09.2022</v>
          </cell>
          <cell r="L2634" t="str">
            <v>OK</v>
          </cell>
        </row>
        <row r="2635">
          <cell r="A2635" t="str">
            <v>AMS-44506I22</v>
          </cell>
          <cell r="B2635" t="str">
            <v>`01939500457</v>
          </cell>
          <cell r="C2635" t="str">
            <v>Brasiliense</v>
          </cell>
          <cell r="D2635" t="str">
            <v>FEDEX</v>
          </cell>
          <cell r="E2635" t="str">
            <v>Future</v>
          </cell>
          <cell r="F2635">
            <v>44810</v>
          </cell>
          <cell r="G2635">
            <v>44818</v>
          </cell>
          <cell r="H2635">
            <v>44820</v>
          </cell>
          <cell r="I2635" t="str">
            <v>13.09.2022</v>
          </cell>
          <cell r="J2635" t="str">
            <v>13.09.2022</v>
          </cell>
          <cell r="K2635" t="str">
            <v>12.09.2022</v>
          </cell>
          <cell r="L2635" t="str">
            <v>OK</v>
          </cell>
        </row>
        <row r="2636">
          <cell r="A2636" t="str">
            <v>AMS-44507I22</v>
          </cell>
          <cell r="B2636" t="str">
            <v>`01939500218</v>
          </cell>
          <cell r="C2636" t="str">
            <v>Brasiliense</v>
          </cell>
          <cell r="D2636" t="str">
            <v>FEDEX</v>
          </cell>
          <cell r="E2636" t="str">
            <v>Future</v>
          </cell>
          <cell r="F2636">
            <v>44810</v>
          </cell>
          <cell r="G2636">
            <v>44818</v>
          </cell>
          <cell r="H2636">
            <v>44820</v>
          </cell>
          <cell r="I2636" t="str">
            <v>13.09.2022</v>
          </cell>
          <cell r="J2636" t="str">
            <v>13.09.2022</v>
          </cell>
          <cell r="K2636" t="str">
            <v>12.09.2022</v>
          </cell>
          <cell r="L2636" t="str">
            <v>OK</v>
          </cell>
        </row>
        <row r="2637">
          <cell r="A2637" t="str">
            <v>AMS-44508I22</v>
          </cell>
          <cell r="B2637" t="str">
            <v>`01939500803</v>
          </cell>
          <cell r="C2637" t="str">
            <v>Brasiliense</v>
          </cell>
          <cell r="D2637" t="str">
            <v>FEDEX</v>
          </cell>
          <cell r="E2637" t="str">
            <v>Future</v>
          </cell>
          <cell r="F2637">
            <v>44810</v>
          </cell>
          <cell r="G2637">
            <v>44818</v>
          </cell>
          <cell r="H2637">
            <v>44820</v>
          </cell>
          <cell r="I2637" t="str">
            <v>13.09.2022</v>
          </cell>
          <cell r="J2637" t="str">
            <v>13.09.2022</v>
          </cell>
          <cell r="K2637" t="str">
            <v>12.09.2022</v>
          </cell>
          <cell r="L2637" t="str">
            <v>OK</v>
          </cell>
        </row>
        <row r="2638">
          <cell r="A2638" t="str">
            <v>AMS-44509I22</v>
          </cell>
          <cell r="B2638" t="str">
            <v>`01939500804</v>
          </cell>
          <cell r="C2638" t="str">
            <v>Brasiliense</v>
          </cell>
          <cell r="D2638" t="str">
            <v>FEDEX</v>
          </cell>
          <cell r="E2638" t="str">
            <v>Future</v>
          </cell>
          <cell r="F2638">
            <v>44810</v>
          </cell>
          <cell r="G2638">
            <v>44818</v>
          </cell>
          <cell r="H2638">
            <v>44820</v>
          </cell>
          <cell r="I2638" t="str">
            <v>13.09.2022</v>
          </cell>
          <cell r="J2638" t="str">
            <v>13.09.2022</v>
          </cell>
          <cell r="K2638" t="str">
            <v>12.09.2022</v>
          </cell>
          <cell r="L2638" t="str">
            <v>OK</v>
          </cell>
        </row>
        <row r="2639">
          <cell r="A2639" t="str">
            <v>AMS-44510I22</v>
          </cell>
          <cell r="B2639" t="str">
            <v>1Z6469V00474431354</v>
          </cell>
          <cell r="C2639" t="str">
            <v>Brasiliense</v>
          </cell>
          <cell r="D2639" t="str">
            <v>UPS</v>
          </cell>
          <cell r="E2639" t="str">
            <v>Future</v>
          </cell>
          <cell r="F2639">
            <v>44810</v>
          </cell>
          <cell r="G2639">
            <v>44818</v>
          </cell>
          <cell r="H2639">
            <v>44820</v>
          </cell>
          <cell r="I2639" t="str">
            <v>13.09.2022</v>
          </cell>
          <cell r="J2639" t="str">
            <v>13.09.2022</v>
          </cell>
          <cell r="K2639" t="str">
            <v>12.09.2022</v>
          </cell>
          <cell r="L2639" t="str">
            <v>OK</v>
          </cell>
        </row>
        <row r="2640">
          <cell r="A2640" t="str">
            <v>AMS-44511I22</v>
          </cell>
          <cell r="B2640" t="str">
            <v>1Z6469V00474290293</v>
          </cell>
          <cell r="C2640" t="str">
            <v>Brasiliense</v>
          </cell>
          <cell r="D2640" t="str">
            <v>UPS</v>
          </cell>
          <cell r="E2640" t="str">
            <v>Future</v>
          </cell>
          <cell r="F2640">
            <v>44810</v>
          </cell>
          <cell r="G2640">
            <v>44818</v>
          </cell>
          <cell r="H2640">
            <v>44820</v>
          </cell>
          <cell r="I2640" t="str">
            <v>13.09.2022</v>
          </cell>
          <cell r="J2640" t="str">
            <v>13.09.2022</v>
          </cell>
          <cell r="K2640" t="str">
            <v>12.09.2022</v>
          </cell>
          <cell r="L2640" t="str">
            <v>OK</v>
          </cell>
        </row>
        <row r="2641">
          <cell r="A2641" t="str">
            <v>AMS-44512I22</v>
          </cell>
          <cell r="B2641" t="str">
            <v>1Z6469V00473710063</v>
          </cell>
          <cell r="C2641" t="str">
            <v>Brasiliense</v>
          </cell>
          <cell r="D2641" t="str">
            <v>UPS</v>
          </cell>
          <cell r="E2641" t="str">
            <v>Future</v>
          </cell>
          <cell r="F2641">
            <v>44810</v>
          </cell>
          <cell r="G2641">
            <v>44818</v>
          </cell>
          <cell r="H2641">
            <v>44820</v>
          </cell>
          <cell r="I2641" t="str">
            <v>13.09.2022</v>
          </cell>
          <cell r="J2641" t="str">
            <v>13.09.2022</v>
          </cell>
          <cell r="K2641" t="str">
            <v>12.09.2022</v>
          </cell>
          <cell r="L2641" t="str">
            <v>OK</v>
          </cell>
        </row>
        <row r="2642">
          <cell r="A2642" t="str">
            <v>AMS-44513I22</v>
          </cell>
          <cell r="B2642" t="str">
            <v>1Z6469V00474178147</v>
          </cell>
          <cell r="C2642" t="str">
            <v>Brasiliense</v>
          </cell>
          <cell r="D2642" t="str">
            <v>UPS</v>
          </cell>
          <cell r="E2642" t="str">
            <v>Future</v>
          </cell>
          <cell r="F2642">
            <v>44810</v>
          </cell>
          <cell r="G2642">
            <v>44818</v>
          </cell>
          <cell r="H2642">
            <v>44820</v>
          </cell>
          <cell r="I2642" t="str">
            <v>13.09.2022</v>
          </cell>
          <cell r="J2642" t="str">
            <v>13.09.2022</v>
          </cell>
          <cell r="K2642" t="str">
            <v>12.09.2022</v>
          </cell>
          <cell r="L2642" t="str">
            <v>OK</v>
          </cell>
        </row>
        <row r="2643">
          <cell r="A2643" t="str">
            <v>AMS-44514I22</v>
          </cell>
          <cell r="B2643" t="str">
            <v>`01939500468</v>
          </cell>
          <cell r="C2643" t="str">
            <v>Brasiliense</v>
          </cell>
          <cell r="D2643" t="str">
            <v>FEDEX</v>
          </cell>
          <cell r="E2643" t="str">
            <v>Future</v>
          </cell>
          <cell r="F2643">
            <v>44810</v>
          </cell>
          <cell r="G2643">
            <v>44818</v>
          </cell>
          <cell r="H2643">
            <v>44820</v>
          </cell>
          <cell r="I2643" t="str">
            <v>13.09.2022</v>
          </cell>
          <cell r="J2643" t="str">
            <v>13.09.2022</v>
          </cell>
          <cell r="K2643" t="str">
            <v>12.09.2022</v>
          </cell>
          <cell r="L2643" t="str">
            <v>OK</v>
          </cell>
        </row>
        <row r="2644">
          <cell r="A2644" t="str">
            <v>AMS-44515I22</v>
          </cell>
          <cell r="B2644" t="str">
            <v>`01939500413</v>
          </cell>
          <cell r="C2644" t="str">
            <v>Brasiliense</v>
          </cell>
          <cell r="D2644" t="str">
            <v>FEDEX</v>
          </cell>
          <cell r="E2644" t="str">
            <v>Future</v>
          </cell>
          <cell r="F2644">
            <v>44810</v>
          </cell>
          <cell r="G2644">
            <v>44818</v>
          </cell>
          <cell r="H2644">
            <v>44820</v>
          </cell>
          <cell r="I2644" t="str">
            <v>13.09.2022</v>
          </cell>
          <cell r="J2644" t="str">
            <v>13.09.2022</v>
          </cell>
          <cell r="K2644" t="str">
            <v>12.09.2022</v>
          </cell>
          <cell r="L2644" t="str">
            <v>OK</v>
          </cell>
        </row>
        <row r="2645">
          <cell r="A2645" t="str">
            <v>AHW-44176I22</v>
          </cell>
          <cell r="B2645">
            <v>4009478</v>
          </cell>
          <cell r="C2645" t="str">
            <v>Original</v>
          </cell>
          <cell r="D2645" t="str">
            <v>CTS</v>
          </cell>
          <cell r="E2645" t="str">
            <v>JP</v>
          </cell>
          <cell r="F2645">
            <v>44809</v>
          </cell>
          <cell r="G2645">
            <v>44817</v>
          </cell>
          <cell r="H2645">
            <v>44819</v>
          </cell>
          <cell r="I2645" t="str">
            <v>09.09.2022</v>
          </cell>
          <cell r="J2645" t="str">
            <v>13.09.2022</v>
          </cell>
          <cell r="K2645" t="str">
            <v>-</v>
          </cell>
          <cell r="L2645" t="str">
            <v>OK</v>
          </cell>
        </row>
        <row r="2646">
          <cell r="A2646" t="str">
            <v>AHW-44181I22</v>
          </cell>
          <cell r="B2646">
            <v>4009490</v>
          </cell>
          <cell r="C2646" t="str">
            <v>Original</v>
          </cell>
          <cell r="D2646" t="str">
            <v>CTS</v>
          </cell>
          <cell r="E2646" t="str">
            <v>JP</v>
          </cell>
          <cell r="F2646">
            <v>44809</v>
          </cell>
          <cell r="G2646">
            <v>44817</v>
          </cell>
          <cell r="H2646">
            <v>44819</v>
          </cell>
          <cell r="I2646" t="str">
            <v>09.09.2022</v>
          </cell>
          <cell r="J2646" t="str">
            <v>13.09.2022</v>
          </cell>
          <cell r="K2646" t="str">
            <v>-</v>
          </cell>
          <cell r="L2646" t="str">
            <v>OK</v>
          </cell>
        </row>
        <row r="2647">
          <cell r="A2647" t="str">
            <v>AHW-44178I22</v>
          </cell>
          <cell r="B2647">
            <v>4009489</v>
          </cell>
          <cell r="C2647" t="str">
            <v>Original</v>
          </cell>
          <cell r="D2647" t="str">
            <v>CTS</v>
          </cell>
          <cell r="E2647" t="str">
            <v>JP</v>
          </cell>
          <cell r="F2647">
            <v>44812</v>
          </cell>
          <cell r="G2647">
            <v>44820</v>
          </cell>
          <cell r="H2647">
            <v>44822</v>
          </cell>
          <cell r="I2647" t="str">
            <v>14.09.2022</v>
          </cell>
          <cell r="J2647" t="str">
            <v>13.09.2022</v>
          </cell>
          <cell r="K2647" t="str">
            <v>-</v>
          </cell>
          <cell r="L2647" t="str">
            <v>OK</v>
          </cell>
        </row>
        <row r="2648">
          <cell r="A2648" t="str">
            <v>AHW-44438I22</v>
          </cell>
          <cell r="B2648">
            <v>4009536</v>
          </cell>
          <cell r="C2648" t="str">
            <v>Original</v>
          </cell>
          <cell r="D2648" t="str">
            <v>CTS</v>
          </cell>
          <cell r="E2648" t="str">
            <v>JP</v>
          </cell>
          <cell r="F2648">
            <v>44812</v>
          </cell>
          <cell r="G2648">
            <v>44820</v>
          </cell>
          <cell r="H2648">
            <v>44822</v>
          </cell>
          <cell r="I2648" t="str">
            <v>21.09.2022</v>
          </cell>
          <cell r="J2648" t="str">
            <v>04.10.2022</v>
          </cell>
          <cell r="K2648" t="str">
            <v>-</v>
          </cell>
          <cell r="L2648" t="str">
            <v>OK</v>
          </cell>
        </row>
        <row r="2649">
          <cell r="A2649" t="str">
            <v>AHW-44441I22</v>
          </cell>
          <cell r="B2649">
            <v>4009539</v>
          </cell>
          <cell r="C2649" t="str">
            <v>Original</v>
          </cell>
          <cell r="D2649" t="str">
            <v>CTS</v>
          </cell>
          <cell r="E2649" t="str">
            <v>JP</v>
          </cell>
          <cell r="F2649">
            <v>44812</v>
          </cell>
          <cell r="G2649">
            <v>44820</v>
          </cell>
          <cell r="H2649">
            <v>44822</v>
          </cell>
          <cell r="I2649" t="str">
            <v>23.09.2022</v>
          </cell>
          <cell r="J2649" t="str">
            <v>04.10.2022</v>
          </cell>
          <cell r="K2649" t="str">
            <v>-</v>
          </cell>
          <cell r="L2649" t="str">
            <v>OK</v>
          </cell>
        </row>
        <row r="2650">
          <cell r="A2650" t="str">
            <v>AHW-44443I22</v>
          </cell>
          <cell r="B2650">
            <v>4009540</v>
          </cell>
          <cell r="C2650" t="str">
            <v>Original</v>
          </cell>
          <cell r="D2650" t="str">
            <v>CTS</v>
          </cell>
          <cell r="E2650" t="str">
            <v>JP</v>
          </cell>
          <cell r="F2650">
            <v>44812</v>
          </cell>
          <cell r="G2650">
            <v>44820</v>
          </cell>
          <cell r="H2650">
            <v>44822</v>
          </cell>
          <cell r="I2650" t="str">
            <v>23.09.2022</v>
          </cell>
          <cell r="J2650" t="str">
            <v>04.10.2022</v>
          </cell>
          <cell r="K2650" t="str">
            <v>-</v>
          </cell>
          <cell r="L2650" t="str">
            <v>OK</v>
          </cell>
        </row>
        <row r="2651">
          <cell r="A2651" t="str">
            <v>AHW-44446I22</v>
          </cell>
          <cell r="B2651">
            <v>4009541</v>
          </cell>
          <cell r="C2651" t="str">
            <v>Original</v>
          </cell>
          <cell r="D2651" t="str">
            <v>CTS</v>
          </cell>
          <cell r="E2651" t="str">
            <v>JP</v>
          </cell>
          <cell r="F2651">
            <v>44812</v>
          </cell>
          <cell r="G2651">
            <v>44820</v>
          </cell>
          <cell r="H2651">
            <v>44822</v>
          </cell>
          <cell r="I2651" t="str">
            <v>23.09.2022</v>
          </cell>
          <cell r="J2651" t="str">
            <v>04.10.2022</v>
          </cell>
          <cell r="K2651" t="str">
            <v>-</v>
          </cell>
          <cell r="L2651" t="str">
            <v>OK</v>
          </cell>
        </row>
        <row r="2652">
          <cell r="A2652" t="str">
            <v>AHW-44449I22</v>
          </cell>
          <cell r="B2652">
            <v>4009559</v>
          </cell>
          <cell r="C2652" t="str">
            <v>Original</v>
          </cell>
          <cell r="D2652" t="str">
            <v>CTS</v>
          </cell>
          <cell r="E2652" t="str">
            <v>JP</v>
          </cell>
          <cell r="F2652">
            <v>44812</v>
          </cell>
          <cell r="G2652">
            <v>44820</v>
          </cell>
          <cell r="H2652">
            <v>44822</v>
          </cell>
          <cell r="I2652" t="str">
            <v>23.09.2022</v>
          </cell>
          <cell r="J2652" t="str">
            <v>04.10.2022</v>
          </cell>
          <cell r="K2652" t="str">
            <v>-</v>
          </cell>
          <cell r="L2652" t="str">
            <v>OK</v>
          </cell>
        </row>
        <row r="2653">
          <cell r="A2653" t="str">
            <v>AHW-44450I22</v>
          </cell>
          <cell r="B2653">
            <v>4009538</v>
          </cell>
          <cell r="C2653" t="str">
            <v>Original</v>
          </cell>
          <cell r="D2653" t="str">
            <v>CTS</v>
          </cell>
          <cell r="E2653" t="str">
            <v>JP</v>
          </cell>
          <cell r="F2653">
            <v>44812</v>
          </cell>
          <cell r="G2653">
            <v>44820</v>
          </cell>
          <cell r="H2653">
            <v>44822</v>
          </cell>
          <cell r="I2653" t="str">
            <v>23.09.2022</v>
          </cell>
          <cell r="J2653" t="str">
            <v>04.10.2022</v>
          </cell>
          <cell r="K2653" t="str">
            <v>-</v>
          </cell>
          <cell r="L2653" t="str">
            <v>OK</v>
          </cell>
        </row>
        <row r="2654">
          <cell r="A2654" t="str">
            <v>AHW-44451I22</v>
          </cell>
          <cell r="B2654">
            <v>4009553</v>
          </cell>
          <cell r="C2654" t="str">
            <v>Original</v>
          </cell>
          <cell r="D2654" t="str">
            <v>CTS</v>
          </cell>
          <cell r="E2654" t="str">
            <v>JP</v>
          </cell>
          <cell r="F2654">
            <v>44812</v>
          </cell>
          <cell r="G2654">
            <v>44820</v>
          </cell>
          <cell r="H2654">
            <v>44822</v>
          </cell>
          <cell r="I2654" t="str">
            <v>23.09.2022</v>
          </cell>
          <cell r="J2654" t="str">
            <v>04.10.2022</v>
          </cell>
          <cell r="K2654" t="str">
            <v>-</v>
          </cell>
          <cell r="L2654" t="str">
            <v>OK</v>
          </cell>
        </row>
        <row r="2655">
          <cell r="A2655" t="str">
            <v>AHW-44452I22</v>
          </cell>
          <cell r="B2655">
            <v>4009576</v>
          </cell>
          <cell r="C2655" t="str">
            <v>Original</v>
          </cell>
          <cell r="D2655" t="str">
            <v>CTS</v>
          </cell>
          <cell r="E2655" t="str">
            <v>JP</v>
          </cell>
          <cell r="F2655">
            <v>44812</v>
          </cell>
          <cell r="G2655">
            <v>44820</v>
          </cell>
          <cell r="H2655">
            <v>44822</v>
          </cell>
          <cell r="I2655" t="str">
            <v>23.09.2022</v>
          </cell>
          <cell r="J2655" t="str">
            <v>04.10.2022</v>
          </cell>
          <cell r="K2655" t="str">
            <v>-</v>
          </cell>
          <cell r="L2655" t="str">
            <v>OK</v>
          </cell>
        </row>
        <row r="2656">
          <cell r="A2656" t="str">
            <v>AHW-44454I22</v>
          </cell>
          <cell r="B2656">
            <v>4009554</v>
          </cell>
          <cell r="C2656" t="str">
            <v>Original</v>
          </cell>
          <cell r="D2656" t="str">
            <v>CTS</v>
          </cell>
          <cell r="E2656" t="str">
            <v>JP</v>
          </cell>
          <cell r="F2656">
            <v>44812</v>
          </cell>
          <cell r="G2656">
            <v>44820</v>
          </cell>
          <cell r="H2656">
            <v>44822</v>
          </cell>
          <cell r="I2656" t="str">
            <v>23.09.2022</v>
          </cell>
          <cell r="J2656" t="str">
            <v>04.10.2022</v>
          </cell>
          <cell r="K2656" t="str">
            <v>-</v>
          </cell>
          <cell r="L2656" t="str">
            <v>OK</v>
          </cell>
        </row>
        <row r="2657">
          <cell r="A2657" t="str">
            <v>AHW-44524I22</v>
          </cell>
          <cell r="B2657">
            <v>4009582</v>
          </cell>
          <cell r="C2657" t="str">
            <v>Original</v>
          </cell>
          <cell r="D2657" t="str">
            <v>CTS</v>
          </cell>
          <cell r="E2657" t="str">
            <v>JP</v>
          </cell>
          <cell r="F2657">
            <v>44816</v>
          </cell>
          <cell r="G2657">
            <v>44824</v>
          </cell>
          <cell r="H2657">
            <v>44826</v>
          </cell>
          <cell r="I2657" t="str">
            <v>23.09.2022</v>
          </cell>
          <cell r="J2657" t="str">
            <v>04.10.2022</v>
          </cell>
          <cell r="K2657" t="str">
            <v>-</v>
          </cell>
          <cell r="L2657" t="str">
            <v>OK</v>
          </cell>
        </row>
        <row r="2658">
          <cell r="A2658" t="str">
            <v>AHW-44525I22</v>
          </cell>
          <cell r="B2658">
            <v>4009586</v>
          </cell>
          <cell r="C2658" t="str">
            <v>Original</v>
          </cell>
          <cell r="D2658" t="str">
            <v>CTS</v>
          </cell>
          <cell r="E2658" t="str">
            <v>JP</v>
          </cell>
          <cell r="F2658">
            <v>44818</v>
          </cell>
          <cell r="G2658">
            <v>44826</v>
          </cell>
          <cell r="H2658">
            <v>44828</v>
          </cell>
          <cell r="I2658" t="str">
            <v>23.09.2022</v>
          </cell>
          <cell r="J2658" t="str">
            <v>04.10.2022</v>
          </cell>
          <cell r="K2658" t="str">
            <v>-</v>
          </cell>
          <cell r="L2658" t="str">
            <v>OK</v>
          </cell>
        </row>
        <row r="2659">
          <cell r="A2659" t="str">
            <v>AMS-44165I22</v>
          </cell>
          <cell r="B2659">
            <v>407970213</v>
          </cell>
          <cell r="C2659" t="str">
            <v>Original</v>
          </cell>
          <cell r="D2659" t="str">
            <v>Expeditors</v>
          </cell>
          <cell r="E2659" t="str">
            <v>Expeditors</v>
          </cell>
          <cell r="F2659">
            <v>44810</v>
          </cell>
          <cell r="G2659">
            <v>44818</v>
          </cell>
          <cell r="H2659">
            <v>44820</v>
          </cell>
          <cell r="I2659" t="str">
            <v>06.09.2022</v>
          </cell>
          <cell r="J2659" t="str">
            <v>01.09.2022</v>
          </cell>
          <cell r="K2659" t="str">
            <v>-</v>
          </cell>
          <cell r="L2659" t="str">
            <v>OK</v>
          </cell>
        </row>
        <row r="2660">
          <cell r="A2660" t="str">
            <v>AMS-44166I22</v>
          </cell>
          <cell r="B2660">
            <v>407969744</v>
          </cell>
          <cell r="C2660" t="str">
            <v>Original</v>
          </cell>
          <cell r="D2660" t="str">
            <v>Expeditors</v>
          </cell>
          <cell r="E2660" t="str">
            <v>Expeditors</v>
          </cell>
          <cell r="F2660">
            <v>44810</v>
          </cell>
          <cell r="G2660">
            <v>44818</v>
          </cell>
          <cell r="H2660">
            <v>44820</v>
          </cell>
          <cell r="I2660" t="str">
            <v>09.09.2022</v>
          </cell>
          <cell r="J2660" t="str">
            <v>01.09.2022</v>
          </cell>
          <cell r="K2660" t="str">
            <v>-</v>
          </cell>
          <cell r="L2660" t="str">
            <v>OK</v>
          </cell>
        </row>
        <row r="2661">
          <cell r="A2661" t="str">
            <v>AMS-44149I22</v>
          </cell>
          <cell r="B2661">
            <v>417564863</v>
          </cell>
          <cell r="C2661" t="str">
            <v>Original</v>
          </cell>
          <cell r="D2661" t="str">
            <v>Expeditors</v>
          </cell>
          <cell r="E2661" t="str">
            <v>Expeditors</v>
          </cell>
          <cell r="F2661">
            <v>44810</v>
          </cell>
          <cell r="G2661">
            <v>44818</v>
          </cell>
          <cell r="H2661">
            <v>44820</v>
          </cell>
          <cell r="I2661" t="str">
            <v>09.09.2022</v>
          </cell>
          <cell r="J2661" t="str">
            <v>01.09.2022</v>
          </cell>
          <cell r="K2661" t="str">
            <v>-</v>
          </cell>
          <cell r="L2661" t="str">
            <v>OK</v>
          </cell>
        </row>
        <row r="2662">
          <cell r="A2662" t="str">
            <v>AMS-44150I22</v>
          </cell>
          <cell r="B2662">
            <v>417564864</v>
          </cell>
          <cell r="C2662" t="str">
            <v>Original</v>
          </cell>
          <cell r="D2662" t="str">
            <v>Expeditors</v>
          </cell>
          <cell r="E2662" t="str">
            <v>Expeditors</v>
          </cell>
          <cell r="F2662">
            <v>44810</v>
          </cell>
          <cell r="G2662">
            <v>44818</v>
          </cell>
          <cell r="H2662">
            <v>44820</v>
          </cell>
          <cell r="I2662" t="str">
            <v>09.09.2022</v>
          </cell>
          <cell r="J2662" t="str">
            <v>01.09.2022</v>
          </cell>
          <cell r="K2662" t="str">
            <v>-</v>
          </cell>
          <cell r="L2662" t="str">
            <v>OK</v>
          </cell>
        </row>
        <row r="2663">
          <cell r="A2663" t="str">
            <v>AMS-44151I22</v>
          </cell>
          <cell r="B2663">
            <v>417564865</v>
          </cell>
          <cell r="C2663" t="str">
            <v>Original</v>
          </cell>
          <cell r="D2663" t="str">
            <v>Expeditors</v>
          </cell>
          <cell r="E2663" t="str">
            <v>Expeditors</v>
          </cell>
          <cell r="F2663">
            <v>44810</v>
          </cell>
          <cell r="G2663">
            <v>44818</v>
          </cell>
          <cell r="H2663">
            <v>44820</v>
          </cell>
          <cell r="I2663" t="str">
            <v>09.09.2022</v>
          </cell>
          <cell r="J2663" t="str">
            <v>01.09.2022</v>
          </cell>
          <cell r="K2663" t="str">
            <v>-</v>
          </cell>
          <cell r="L2663" t="str">
            <v>OK</v>
          </cell>
        </row>
        <row r="2664">
          <cell r="A2664" t="str">
            <v>AMS-44152I22</v>
          </cell>
          <cell r="B2664">
            <v>417564866</v>
          </cell>
          <cell r="C2664" t="str">
            <v>Original</v>
          </cell>
          <cell r="D2664" t="str">
            <v>Expeditors</v>
          </cell>
          <cell r="E2664" t="str">
            <v>Expeditors</v>
          </cell>
          <cell r="F2664">
            <v>44810</v>
          </cell>
          <cell r="G2664">
            <v>44818</v>
          </cell>
          <cell r="H2664">
            <v>44820</v>
          </cell>
          <cell r="I2664" t="str">
            <v>09.09.2022</v>
          </cell>
          <cell r="J2664" t="str">
            <v>01.09.2022</v>
          </cell>
          <cell r="K2664" t="str">
            <v>-</v>
          </cell>
          <cell r="L2664" t="str">
            <v>OK</v>
          </cell>
        </row>
        <row r="2665">
          <cell r="A2665" t="str">
            <v>AMS-44161I22</v>
          </cell>
          <cell r="B2665" t="str">
            <v>41L0091459</v>
          </cell>
          <cell r="C2665" t="str">
            <v>Original</v>
          </cell>
          <cell r="D2665" t="str">
            <v>Expeditors</v>
          </cell>
          <cell r="E2665" t="str">
            <v>Expeditors</v>
          </cell>
          <cell r="F2665">
            <v>44810</v>
          </cell>
          <cell r="G2665">
            <v>44818</v>
          </cell>
          <cell r="H2665">
            <v>44820</v>
          </cell>
          <cell r="I2665" t="str">
            <v>09.09.2022</v>
          </cell>
          <cell r="J2665" t="str">
            <v>01.09.2022</v>
          </cell>
          <cell r="K2665" t="str">
            <v>-</v>
          </cell>
          <cell r="L2665" t="str">
            <v>OK</v>
          </cell>
        </row>
        <row r="2666">
          <cell r="A2666" t="str">
            <v>AMS-44162I22</v>
          </cell>
          <cell r="B2666" t="str">
            <v>41L0091460</v>
          </cell>
          <cell r="C2666" t="str">
            <v>Original</v>
          </cell>
          <cell r="D2666" t="str">
            <v>Expeditors</v>
          </cell>
          <cell r="E2666" t="str">
            <v>Expeditors</v>
          </cell>
          <cell r="F2666">
            <v>44810</v>
          </cell>
          <cell r="G2666">
            <v>44818</v>
          </cell>
          <cell r="H2666">
            <v>44820</v>
          </cell>
          <cell r="I2666" t="str">
            <v>09.09.2022</v>
          </cell>
          <cell r="J2666" t="str">
            <v>01.09.2022</v>
          </cell>
          <cell r="K2666" t="str">
            <v>-</v>
          </cell>
          <cell r="L2666" t="str">
            <v>OK</v>
          </cell>
        </row>
        <row r="2667">
          <cell r="A2667" t="str">
            <v>AMS-44163I22</v>
          </cell>
          <cell r="B2667" t="str">
            <v>41L0091461</v>
          </cell>
          <cell r="C2667" t="str">
            <v>Original</v>
          </cell>
          <cell r="D2667" t="str">
            <v>Expeditors</v>
          </cell>
          <cell r="E2667" t="str">
            <v>Expeditors</v>
          </cell>
          <cell r="F2667">
            <v>44810</v>
          </cell>
          <cell r="G2667">
            <v>44818</v>
          </cell>
          <cell r="H2667">
            <v>44820</v>
          </cell>
          <cell r="I2667" t="str">
            <v>09.09.2022</v>
          </cell>
          <cell r="J2667" t="str">
            <v>01.09.2022</v>
          </cell>
          <cell r="K2667" t="str">
            <v>-</v>
          </cell>
          <cell r="L2667" t="str">
            <v>OK</v>
          </cell>
        </row>
        <row r="2668">
          <cell r="A2668" t="str">
            <v>AMS-44164I22</v>
          </cell>
          <cell r="B2668" t="str">
            <v>41L0091462</v>
          </cell>
          <cell r="C2668" t="str">
            <v>Original</v>
          </cell>
          <cell r="D2668" t="str">
            <v>Expeditors</v>
          </cell>
          <cell r="E2668" t="str">
            <v>Expeditors</v>
          </cell>
          <cell r="F2668">
            <v>44810</v>
          </cell>
          <cell r="G2668">
            <v>44818</v>
          </cell>
          <cell r="H2668">
            <v>44820</v>
          </cell>
          <cell r="I2668" t="str">
            <v>09.09.2022</v>
          </cell>
          <cell r="J2668" t="str">
            <v>01.09.2022</v>
          </cell>
          <cell r="K2668" t="str">
            <v>-</v>
          </cell>
          <cell r="L2668" t="str">
            <v>OK</v>
          </cell>
        </row>
        <row r="2669">
          <cell r="A2669" t="str">
            <v>AMS-44436I22</v>
          </cell>
          <cell r="B2669" t="str">
            <v>41L0091651</v>
          </cell>
          <cell r="C2669" t="str">
            <v>Original</v>
          </cell>
          <cell r="D2669" t="str">
            <v>Expeditors</v>
          </cell>
          <cell r="E2669" t="str">
            <v>Expeditors</v>
          </cell>
          <cell r="F2669">
            <v>44817</v>
          </cell>
          <cell r="G2669">
            <v>44825</v>
          </cell>
          <cell r="H2669">
            <v>44827</v>
          </cell>
          <cell r="I2669" t="str">
            <v>14.09.2022</v>
          </cell>
          <cell r="J2669" t="str">
            <v>15.09.2022</v>
          </cell>
          <cell r="K2669" t="str">
            <v>-</v>
          </cell>
          <cell r="L2669" t="str">
            <v>OK</v>
          </cell>
        </row>
        <row r="2670">
          <cell r="A2670" t="str">
            <v>AMS-44435I22</v>
          </cell>
          <cell r="B2670" t="str">
            <v>41L0091650</v>
          </cell>
          <cell r="C2670" t="str">
            <v>Original</v>
          </cell>
          <cell r="D2670" t="str">
            <v>Expeditors</v>
          </cell>
          <cell r="E2670" t="str">
            <v>Expeditors</v>
          </cell>
          <cell r="F2670">
            <v>44817</v>
          </cell>
          <cell r="G2670">
            <v>44825</v>
          </cell>
          <cell r="H2670">
            <v>44827</v>
          </cell>
          <cell r="I2670" t="str">
            <v>14.09.2022</v>
          </cell>
          <cell r="J2670" t="str">
            <v>15.09.2022</v>
          </cell>
          <cell r="K2670" t="str">
            <v>-</v>
          </cell>
          <cell r="L2670" t="str">
            <v>OK</v>
          </cell>
        </row>
        <row r="2671">
          <cell r="A2671" t="str">
            <v>SHW-43812I22</v>
          </cell>
          <cell r="B2671" t="str">
            <v>EGLV149205076815</v>
          </cell>
          <cell r="C2671" t="str">
            <v>Original</v>
          </cell>
          <cell r="D2671" t="str">
            <v>Shenker</v>
          </cell>
          <cell r="E2671" t="str">
            <v>Unitrading</v>
          </cell>
          <cell r="F2671">
            <v>44810</v>
          </cell>
          <cell r="G2671">
            <v>44818</v>
          </cell>
          <cell r="H2671">
            <v>44820</v>
          </cell>
          <cell r="I2671" t="str">
            <v>09.09.2022</v>
          </cell>
          <cell r="J2671" t="str">
            <v>09.09.2022</v>
          </cell>
          <cell r="K2671" t="str">
            <v>-</v>
          </cell>
          <cell r="L2671" t="str">
            <v>OK</v>
          </cell>
        </row>
        <row r="2672">
          <cell r="A2672" t="str">
            <v>SHW-44025I22</v>
          </cell>
          <cell r="B2672" t="str">
            <v>EGLV149205910700</v>
          </cell>
          <cell r="C2672" t="str">
            <v>Original</v>
          </cell>
          <cell r="D2672" t="str">
            <v>Shenker</v>
          </cell>
          <cell r="E2672" t="str">
            <v>Unitrading</v>
          </cell>
          <cell r="F2672">
            <v>44816</v>
          </cell>
          <cell r="G2672">
            <v>44824</v>
          </cell>
          <cell r="H2672">
            <v>44826</v>
          </cell>
          <cell r="I2672" t="str">
            <v>16.09.2022</v>
          </cell>
          <cell r="J2672" t="str">
            <v>12.09.2022</v>
          </cell>
          <cell r="K2672" t="str">
            <v>-</v>
          </cell>
          <cell r="L2672" t="str">
            <v>OK</v>
          </cell>
        </row>
        <row r="2673">
          <cell r="A2673" t="str">
            <v>SHW-44026I22</v>
          </cell>
          <cell r="B2673" t="str">
            <v>EGLV149205882587</v>
          </cell>
          <cell r="C2673" t="str">
            <v>Original</v>
          </cell>
          <cell r="D2673" t="str">
            <v>Shenker</v>
          </cell>
          <cell r="E2673" t="str">
            <v>Unitrading</v>
          </cell>
          <cell r="F2673">
            <v>44816</v>
          </cell>
          <cell r="G2673">
            <v>44824</v>
          </cell>
          <cell r="H2673">
            <v>44826</v>
          </cell>
          <cell r="I2673" t="str">
            <v>16.09.2022</v>
          </cell>
          <cell r="J2673" t="str">
            <v>12.09.2022</v>
          </cell>
          <cell r="K2673" t="str">
            <v>-</v>
          </cell>
          <cell r="L2673" t="str">
            <v>OK</v>
          </cell>
        </row>
        <row r="2674">
          <cell r="A2674" t="str">
            <v>SHW-44066I22</v>
          </cell>
          <cell r="B2674" t="str">
            <v>EGLV149205233082</v>
          </cell>
          <cell r="C2674" t="str">
            <v>Original</v>
          </cell>
          <cell r="D2674" t="str">
            <v>Shenker</v>
          </cell>
          <cell r="E2674" t="str">
            <v>Unitrading</v>
          </cell>
          <cell r="F2674">
            <v>44816</v>
          </cell>
          <cell r="G2674">
            <v>44824</v>
          </cell>
          <cell r="H2674">
            <v>44826</v>
          </cell>
          <cell r="I2674" t="str">
            <v>16.09.2022</v>
          </cell>
          <cell r="J2674" t="str">
            <v>12.09.2022</v>
          </cell>
          <cell r="K2674" t="str">
            <v>-</v>
          </cell>
          <cell r="L2674" t="str">
            <v>OK</v>
          </cell>
        </row>
        <row r="2675">
          <cell r="A2675" t="str">
            <v>SHW-44067I22</v>
          </cell>
          <cell r="B2675" t="str">
            <v>EGLV149205987061</v>
          </cell>
          <cell r="C2675" t="str">
            <v>Original</v>
          </cell>
          <cell r="D2675" t="str">
            <v>Shenker</v>
          </cell>
          <cell r="E2675" t="str">
            <v>Unitrading</v>
          </cell>
          <cell r="F2675">
            <v>44816</v>
          </cell>
          <cell r="G2675">
            <v>44824</v>
          </cell>
          <cell r="H2675">
            <v>44826</v>
          </cell>
          <cell r="I2675" t="str">
            <v>14.09.2022</v>
          </cell>
          <cell r="J2675" t="str">
            <v>14.09.2022</v>
          </cell>
          <cell r="K2675" t="str">
            <v>-</v>
          </cell>
          <cell r="L2675" t="str">
            <v>OK</v>
          </cell>
        </row>
        <row r="2676">
          <cell r="A2676" t="str">
            <v>SHW-44068I22</v>
          </cell>
          <cell r="B2676" t="str">
            <v>EGLV149205931324</v>
          </cell>
          <cell r="C2676" t="str">
            <v>Original</v>
          </cell>
          <cell r="D2676" t="str">
            <v>Shenker</v>
          </cell>
          <cell r="E2676" t="str">
            <v>Unitrading</v>
          </cell>
          <cell r="F2676">
            <v>44818</v>
          </cell>
          <cell r="G2676">
            <v>44826</v>
          </cell>
          <cell r="H2676">
            <v>44828</v>
          </cell>
          <cell r="I2676" t="str">
            <v>14.09.2022</v>
          </cell>
          <cell r="J2676" t="str">
            <v>06.10.2022</v>
          </cell>
          <cell r="K2676" t="str">
            <v>-</v>
          </cell>
          <cell r="L2676" t="str">
            <v>OK</v>
          </cell>
        </row>
        <row r="2677">
          <cell r="A2677" t="str">
            <v>SHW-44069I22</v>
          </cell>
          <cell r="B2677" t="str">
            <v>EGLV149206050691</v>
          </cell>
          <cell r="C2677" t="str">
            <v>Original</v>
          </cell>
          <cell r="D2677" t="str">
            <v>Shenker</v>
          </cell>
          <cell r="E2677" t="str">
            <v>Unitrading</v>
          </cell>
          <cell r="F2677">
            <v>44816</v>
          </cell>
          <cell r="G2677">
            <v>44824</v>
          </cell>
          <cell r="H2677">
            <v>44826</v>
          </cell>
          <cell r="I2677" t="str">
            <v>14.09.2022</v>
          </cell>
          <cell r="J2677" t="str">
            <v>13.09.2022</v>
          </cell>
          <cell r="K2677" t="str">
            <v>-</v>
          </cell>
          <cell r="L2677" t="str">
            <v>OK</v>
          </cell>
        </row>
        <row r="2678">
          <cell r="A2678" t="str">
            <v>SHW-44070I22</v>
          </cell>
          <cell r="B2678" t="str">
            <v>EGLV149205964923</v>
          </cell>
          <cell r="C2678" t="str">
            <v>Original</v>
          </cell>
          <cell r="D2678" t="str">
            <v>Shenker</v>
          </cell>
          <cell r="E2678" t="str">
            <v>Unitrading</v>
          </cell>
          <cell r="F2678">
            <v>44816</v>
          </cell>
          <cell r="G2678">
            <v>44824</v>
          </cell>
          <cell r="H2678">
            <v>44826</v>
          </cell>
          <cell r="I2678" t="str">
            <v>14.09.2022</v>
          </cell>
          <cell r="J2678" t="str">
            <v>13.09.2022</v>
          </cell>
          <cell r="K2678" t="str">
            <v>-</v>
          </cell>
          <cell r="L2678" t="str">
            <v>OK</v>
          </cell>
        </row>
        <row r="2679">
          <cell r="A2679" t="str">
            <v>AHW-44447I22</v>
          </cell>
          <cell r="B2679">
            <v>4010158</v>
          </cell>
          <cell r="C2679" t="str">
            <v>Original</v>
          </cell>
          <cell r="D2679" t="str">
            <v>CTS</v>
          </cell>
          <cell r="E2679" t="str">
            <v>JP</v>
          </cell>
          <cell r="F2679">
            <v>44818</v>
          </cell>
          <cell r="G2679">
            <v>44826</v>
          </cell>
          <cell r="H2679">
            <v>44828</v>
          </cell>
          <cell r="I2679" t="str">
            <v>23.09.2022</v>
          </cell>
          <cell r="J2679" t="str">
            <v>04.10.2022</v>
          </cell>
          <cell r="K2679" t="str">
            <v>-</v>
          </cell>
          <cell r="L2679" t="str">
            <v>OK</v>
          </cell>
        </row>
        <row r="2680">
          <cell r="A2680" t="str">
            <v>AHW-44516I22</v>
          </cell>
          <cell r="B2680">
            <v>4010171</v>
          </cell>
          <cell r="C2680" t="str">
            <v>Original</v>
          </cell>
          <cell r="D2680" t="str">
            <v>CTS</v>
          </cell>
          <cell r="E2680" t="str">
            <v>JP</v>
          </cell>
          <cell r="F2680">
            <v>44818</v>
          </cell>
          <cell r="G2680">
            <v>44826</v>
          </cell>
          <cell r="H2680">
            <v>44828</v>
          </cell>
          <cell r="I2680" t="str">
            <v>23.09.2022</v>
          </cell>
          <cell r="J2680" t="str">
            <v>04.10.2022</v>
          </cell>
          <cell r="K2680" t="str">
            <v>-</v>
          </cell>
          <cell r="L2680" t="str">
            <v>OK</v>
          </cell>
        </row>
        <row r="2681">
          <cell r="A2681" t="str">
            <v>AHW-44526I22</v>
          </cell>
          <cell r="B2681">
            <v>4009604</v>
          </cell>
          <cell r="C2681" t="str">
            <v>Original</v>
          </cell>
          <cell r="D2681" t="str">
            <v>CTS</v>
          </cell>
          <cell r="E2681" t="str">
            <v>JP</v>
          </cell>
          <cell r="F2681">
            <v>44818</v>
          </cell>
          <cell r="G2681">
            <v>44826</v>
          </cell>
          <cell r="H2681">
            <v>44828</v>
          </cell>
          <cell r="I2681" t="str">
            <v>23.09.2022</v>
          </cell>
          <cell r="J2681" t="str">
            <v>04.10.2022</v>
          </cell>
          <cell r="K2681" t="str">
            <v>-</v>
          </cell>
          <cell r="L2681" t="str">
            <v>OK</v>
          </cell>
        </row>
        <row r="2682">
          <cell r="A2682" t="str">
            <v>AHW-44527I22</v>
          </cell>
          <cell r="B2682">
            <v>4009613</v>
          </cell>
          <cell r="C2682" t="str">
            <v>Original</v>
          </cell>
          <cell r="D2682" t="str">
            <v>CTS</v>
          </cell>
          <cell r="E2682" t="str">
            <v>JP</v>
          </cell>
          <cell r="F2682">
            <v>44818</v>
          </cell>
          <cell r="G2682">
            <v>44826</v>
          </cell>
          <cell r="H2682">
            <v>44828</v>
          </cell>
          <cell r="I2682" t="str">
            <v>23.09.2022</v>
          </cell>
          <cell r="J2682" t="str">
            <v>04.10.2022</v>
          </cell>
          <cell r="K2682" t="str">
            <v>-</v>
          </cell>
          <cell r="L2682" t="str">
            <v>OK</v>
          </cell>
        </row>
        <row r="2683">
          <cell r="A2683" t="str">
            <v>AHW-44529I22</v>
          </cell>
          <cell r="B2683">
            <v>4009617</v>
          </cell>
          <cell r="C2683" t="str">
            <v>Original</v>
          </cell>
          <cell r="D2683" t="str">
            <v>CTS</v>
          </cell>
          <cell r="E2683" t="str">
            <v>JP</v>
          </cell>
          <cell r="F2683">
            <v>44818</v>
          </cell>
          <cell r="G2683">
            <v>44826</v>
          </cell>
          <cell r="H2683">
            <v>44828</v>
          </cell>
          <cell r="I2683" t="str">
            <v>23.09.2022</v>
          </cell>
          <cell r="J2683" t="str">
            <v>04.10.2022</v>
          </cell>
          <cell r="K2683" t="str">
            <v>-</v>
          </cell>
          <cell r="L2683" t="str">
            <v>OK</v>
          </cell>
        </row>
        <row r="2684">
          <cell r="A2684" t="str">
            <v>AHW-44530I22</v>
          </cell>
          <cell r="B2684">
            <v>4009619</v>
          </cell>
          <cell r="C2684" t="str">
            <v>Original</v>
          </cell>
          <cell r="D2684" t="str">
            <v>CTS</v>
          </cell>
          <cell r="E2684" t="str">
            <v>JP</v>
          </cell>
          <cell r="F2684">
            <v>44818</v>
          </cell>
          <cell r="G2684">
            <v>44826</v>
          </cell>
          <cell r="H2684">
            <v>44828</v>
          </cell>
          <cell r="I2684" t="str">
            <v>23.09.2022</v>
          </cell>
          <cell r="J2684" t="str">
            <v>04.10.2022</v>
          </cell>
          <cell r="K2684" t="str">
            <v>-</v>
          </cell>
          <cell r="L2684" t="str">
            <v>OK</v>
          </cell>
        </row>
        <row r="2685">
          <cell r="A2685" t="str">
            <v>AHW-44531I22</v>
          </cell>
          <cell r="B2685">
            <v>4009618</v>
          </cell>
          <cell r="C2685" t="str">
            <v>Original</v>
          </cell>
          <cell r="D2685" t="str">
            <v>CTS</v>
          </cell>
          <cell r="E2685" t="str">
            <v>JP</v>
          </cell>
          <cell r="F2685">
            <v>44818</v>
          </cell>
          <cell r="G2685">
            <v>44826</v>
          </cell>
          <cell r="H2685">
            <v>44828</v>
          </cell>
          <cell r="I2685" t="str">
            <v>23.09.2022</v>
          </cell>
          <cell r="J2685" t="str">
            <v>04.10.2022</v>
          </cell>
          <cell r="K2685" t="str">
            <v>-</v>
          </cell>
          <cell r="L2685" t="str">
            <v>OK</v>
          </cell>
        </row>
        <row r="2686">
          <cell r="A2686" t="str">
            <v>AHW-44591I22</v>
          </cell>
          <cell r="B2686">
            <v>4009637</v>
          </cell>
          <cell r="C2686" t="str">
            <v>Original</v>
          </cell>
          <cell r="D2686" t="str">
            <v>CTS</v>
          </cell>
          <cell r="E2686" t="str">
            <v>JP</v>
          </cell>
          <cell r="F2686">
            <v>44820</v>
          </cell>
          <cell r="G2686">
            <v>44828</v>
          </cell>
          <cell r="H2686">
            <v>44830</v>
          </cell>
          <cell r="I2686" t="str">
            <v>23.09.2022</v>
          </cell>
          <cell r="J2686" t="str">
            <v>23.09.2022</v>
          </cell>
          <cell r="K2686" t="str">
            <v>-</v>
          </cell>
          <cell r="L2686" t="str">
            <v>OK</v>
          </cell>
        </row>
        <row r="2687">
          <cell r="A2687" t="str">
            <v>AHW-44532I22</v>
          </cell>
          <cell r="B2687">
            <v>4009652</v>
          </cell>
          <cell r="C2687" t="str">
            <v>Original</v>
          </cell>
          <cell r="D2687" t="str">
            <v>CTS</v>
          </cell>
          <cell r="E2687" t="str">
            <v>JP</v>
          </cell>
          <cell r="F2687">
            <v>44823</v>
          </cell>
          <cell r="G2687">
            <v>44831</v>
          </cell>
          <cell r="H2687">
            <v>44833</v>
          </cell>
          <cell r="I2687" t="str">
            <v>22.09.2022</v>
          </cell>
          <cell r="J2687" t="str">
            <v>03.10.2022</v>
          </cell>
          <cell r="K2687" t="str">
            <v>-</v>
          </cell>
          <cell r="L2687" t="str">
            <v>OK</v>
          </cell>
        </row>
        <row r="2688">
          <cell r="A2688" t="str">
            <v>AHW-44533I22</v>
          </cell>
          <cell r="B2688">
            <v>4009636</v>
          </cell>
          <cell r="C2688" t="str">
            <v>Original</v>
          </cell>
          <cell r="D2688" t="str">
            <v>CTS</v>
          </cell>
          <cell r="E2688" t="str">
            <v>JP</v>
          </cell>
          <cell r="F2688">
            <v>44820</v>
          </cell>
          <cell r="G2688">
            <v>44828</v>
          </cell>
          <cell r="H2688">
            <v>44830</v>
          </cell>
          <cell r="I2688" t="str">
            <v>23.09.2022</v>
          </cell>
          <cell r="J2688" t="str">
            <v>04.10.2022</v>
          </cell>
          <cell r="K2688" t="str">
            <v>-</v>
          </cell>
          <cell r="L2688" t="str">
            <v>OK</v>
          </cell>
        </row>
        <row r="2689">
          <cell r="A2689" t="str">
            <v>AHW-44594I22</v>
          </cell>
          <cell r="B2689">
            <v>4009635</v>
          </cell>
          <cell r="C2689" t="str">
            <v>Original</v>
          </cell>
          <cell r="D2689" t="str">
            <v>CTS</v>
          </cell>
          <cell r="E2689" t="str">
            <v>JP</v>
          </cell>
          <cell r="F2689">
            <v>44820</v>
          </cell>
          <cell r="G2689">
            <v>44828</v>
          </cell>
          <cell r="H2689">
            <v>44830</v>
          </cell>
          <cell r="I2689" t="str">
            <v>23.09.2022</v>
          </cell>
          <cell r="J2689" t="str">
            <v>23.09.2022</v>
          </cell>
          <cell r="K2689" t="str">
            <v>-</v>
          </cell>
          <cell r="L2689" t="str">
            <v>OK</v>
          </cell>
        </row>
        <row r="2690">
          <cell r="A2690" t="str">
            <v>AHW-44528I22</v>
          </cell>
          <cell r="B2690">
            <v>4009625</v>
          </cell>
          <cell r="C2690" t="str">
            <v>Original</v>
          </cell>
          <cell r="D2690" t="str">
            <v>CTS</v>
          </cell>
          <cell r="E2690" t="str">
            <v>JP</v>
          </cell>
          <cell r="F2690">
            <v>44823</v>
          </cell>
          <cell r="G2690">
            <v>44831</v>
          </cell>
          <cell r="H2690">
            <v>44833</v>
          </cell>
          <cell r="I2690" t="str">
            <v>22.09.2022</v>
          </cell>
          <cell r="J2690" t="str">
            <v>03.10.2022</v>
          </cell>
          <cell r="K2690" t="str">
            <v>-</v>
          </cell>
          <cell r="L2690" t="str">
            <v>OK</v>
          </cell>
        </row>
        <row r="2691">
          <cell r="A2691" t="str">
            <v>AHW-44650I22</v>
          </cell>
          <cell r="B2691">
            <v>4009603</v>
          </cell>
          <cell r="C2691" t="str">
            <v>Original</v>
          </cell>
          <cell r="D2691" t="str">
            <v>CTS</v>
          </cell>
          <cell r="E2691" t="str">
            <v>JP</v>
          </cell>
          <cell r="F2691">
            <v>44823</v>
          </cell>
          <cell r="G2691">
            <v>44831</v>
          </cell>
          <cell r="H2691">
            <v>44833</v>
          </cell>
          <cell r="I2691" t="str">
            <v>22.09.2022</v>
          </cell>
          <cell r="J2691" t="str">
            <v>03.10.2022</v>
          </cell>
          <cell r="K2691" t="str">
            <v>-</v>
          </cell>
          <cell r="L2691" t="str">
            <v>OK</v>
          </cell>
        </row>
        <row r="2692">
          <cell r="A2692" t="str">
            <v>AHW-44652I22</v>
          </cell>
          <cell r="B2692">
            <v>4009653</v>
          </cell>
          <cell r="C2692" t="str">
            <v>Original</v>
          </cell>
          <cell r="D2692" t="str">
            <v>CTS</v>
          </cell>
          <cell r="E2692" t="str">
            <v>JP</v>
          </cell>
          <cell r="F2692">
            <v>44823</v>
          </cell>
          <cell r="G2692">
            <v>44831</v>
          </cell>
          <cell r="H2692">
            <v>44833</v>
          </cell>
          <cell r="I2692" t="str">
            <v>22.09.2022</v>
          </cell>
          <cell r="J2692" t="str">
            <v>03.10.2022</v>
          </cell>
          <cell r="K2692" t="str">
            <v>-</v>
          </cell>
          <cell r="L2692" t="str">
            <v>OK</v>
          </cell>
        </row>
        <row r="2693">
          <cell r="A2693" t="str">
            <v>SHW-44116I22</v>
          </cell>
          <cell r="B2693" t="str">
            <v>EGLV149206070110</v>
          </cell>
          <cell r="C2693" t="str">
            <v>Original</v>
          </cell>
          <cell r="D2693" t="str">
            <v>Shenker</v>
          </cell>
          <cell r="E2693" t="str">
            <v>Unitrading</v>
          </cell>
          <cell r="F2693">
            <v>44823</v>
          </cell>
          <cell r="G2693">
            <v>44831</v>
          </cell>
          <cell r="H2693">
            <v>44833</v>
          </cell>
          <cell r="I2693" t="str">
            <v>23.09.2022</v>
          </cell>
          <cell r="J2693" t="str">
            <v>22.09.2022</v>
          </cell>
          <cell r="K2693" t="str">
            <v>-</v>
          </cell>
          <cell r="L2693" t="str">
            <v>OK</v>
          </cell>
        </row>
        <row r="2694">
          <cell r="A2694" t="str">
            <v>SHW-44117I22</v>
          </cell>
          <cell r="B2694" t="str">
            <v>EGLV149206069812</v>
          </cell>
          <cell r="C2694" t="str">
            <v>Original</v>
          </cell>
          <cell r="D2694" t="str">
            <v>Shenker</v>
          </cell>
          <cell r="E2694" t="str">
            <v>Unitrading</v>
          </cell>
          <cell r="F2694">
            <v>44823</v>
          </cell>
          <cell r="G2694">
            <v>44831</v>
          </cell>
          <cell r="H2694">
            <v>44833</v>
          </cell>
          <cell r="I2694" t="str">
            <v>23.09.2022</v>
          </cell>
          <cell r="J2694" t="str">
            <v>22.09.2022</v>
          </cell>
          <cell r="K2694" t="str">
            <v>-</v>
          </cell>
          <cell r="L2694" t="str">
            <v>OK</v>
          </cell>
        </row>
        <row r="2695">
          <cell r="A2695" t="str">
            <v>SHW-44118I22</v>
          </cell>
          <cell r="B2695" t="str">
            <v>EGLV149205786201</v>
          </cell>
          <cell r="C2695" t="str">
            <v>Original</v>
          </cell>
          <cell r="D2695" t="str">
            <v>Shenker</v>
          </cell>
          <cell r="E2695" t="str">
            <v>Unitrading</v>
          </cell>
          <cell r="F2695">
            <v>44823</v>
          </cell>
          <cell r="G2695">
            <v>44831</v>
          </cell>
          <cell r="H2695">
            <v>44833</v>
          </cell>
          <cell r="I2695" t="str">
            <v>23.09.2022</v>
          </cell>
          <cell r="J2695" t="str">
            <v>22.09.2022</v>
          </cell>
          <cell r="K2695" t="str">
            <v>-</v>
          </cell>
          <cell r="L2695" t="str">
            <v>OK</v>
          </cell>
        </row>
        <row r="2696">
          <cell r="A2696" t="str">
            <v>SHW-44119I22</v>
          </cell>
          <cell r="B2696" t="str">
            <v>EGLV149206070331</v>
          </cell>
          <cell r="C2696" t="str">
            <v>Original</v>
          </cell>
          <cell r="D2696" t="str">
            <v>Shenker</v>
          </cell>
          <cell r="E2696" t="str">
            <v>Unitrading</v>
          </cell>
          <cell r="F2696">
            <v>44823</v>
          </cell>
          <cell r="G2696">
            <v>44831</v>
          </cell>
          <cell r="H2696">
            <v>44833</v>
          </cell>
          <cell r="I2696" t="str">
            <v>23.09.2022</v>
          </cell>
          <cell r="J2696" t="str">
            <v>22.09.2022</v>
          </cell>
          <cell r="K2696" t="str">
            <v>-</v>
          </cell>
          <cell r="L2696" t="str">
            <v>OK</v>
          </cell>
        </row>
        <row r="2697">
          <cell r="A2697" t="str">
            <v>AHW-44651I22</v>
          </cell>
          <cell r="B2697">
            <v>4010242</v>
          </cell>
          <cell r="C2697" t="str">
            <v>Original</v>
          </cell>
          <cell r="D2697" t="str">
            <v>CTS</v>
          </cell>
          <cell r="E2697" t="str">
            <v>JP</v>
          </cell>
          <cell r="F2697">
            <v>44830</v>
          </cell>
          <cell r="G2697">
            <v>44838</v>
          </cell>
          <cell r="H2697">
            <v>44840</v>
          </cell>
          <cell r="I2697" t="str">
            <v>10.10.2022</v>
          </cell>
          <cell r="J2697" t="str">
            <v>05.10.2022</v>
          </cell>
          <cell r="K2697" t="str">
            <v>-</v>
          </cell>
          <cell r="L2697" t="str">
            <v>OK</v>
          </cell>
        </row>
        <row r="2698">
          <cell r="A2698" t="str">
            <v>AHW-44653I22</v>
          </cell>
          <cell r="B2698">
            <v>4010241</v>
          </cell>
          <cell r="C2698" t="str">
            <v>Original</v>
          </cell>
          <cell r="D2698" t="str">
            <v>CTS</v>
          </cell>
          <cell r="E2698" t="str">
            <v>JP</v>
          </cell>
          <cell r="F2698">
            <v>44830</v>
          </cell>
          <cell r="G2698">
            <v>44838</v>
          </cell>
          <cell r="H2698">
            <v>44840</v>
          </cell>
          <cell r="I2698" t="str">
            <v>10.10.2022</v>
          </cell>
          <cell r="J2698" t="str">
            <v>05.10.2022</v>
          </cell>
          <cell r="K2698" t="str">
            <v>-</v>
          </cell>
          <cell r="L2698" t="str">
            <v>OK</v>
          </cell>
        </row>
        <row r="2699">
          <cell r="A2699" t="str">
            <v>AHW-44654I22</v>
          </cell>
          <cell r="B2699">
            <v>400666</v>
          </cell>
          <cell r="C2699" t="str">
            <v>Original</v>
          </cell>
          <cell r="D2699" t="str">
            <v>CTS</v>
          </cell>
          <cell r="E2699" t="str">
            <v>JP</v>
          </cell>
          <cell r="F2699">
            <v>44830</v>
          </cell>
          <cell r="G2699">
            <v>44838</v>
          </cell>
          <cell r="H2699">
            <v>44840</v>
          </cell>
          <cell r="I2699" t="str">
            <v>10.10.2022</v>
          </cell>
          <cell r="J2699" t="str">
            <v>05.10.2022</v>
          </cell>
          <cell r="K2699" t="str">
            <v>-</v>
          </cell>
          <cell r="L2699" t="str">
            <v>OK</v>
          </cell>
        </row>
        <row r="2700">
          <cell r="A2700" t="str">
            <v>AHW-44655I22</v>
          </cell>
          <cell r="B2700">
            <v>400966</v>
          </cell>
          <cell r="C2700" t="str">
            <v>Original</v>
          </cell>
          <cell r="D2700" t="str">
            <v>CTS</v>
          </cell>
          <cell r="E2700" t="str">
            <v>JP</v>
          </cell>
          <cell r="F2700">
            <v>44830</v>
          </cell>
          <cell r="G2700">
            <v>44838</v>
          </cell>
          <cell r="H2700">
            <v>44840</v>
          </cell>
          <cell r="I2700" t="str">
            <v>10.10.2022</v>
          </cell>
          <cell r="J2700" t="str">
            <v>05.10.2022</v>
          </cell>
          <cell r="K2700" t="str">
            <v>-</v>
          </cell>
          <cell r="L2700" t="str">
            <v>OK</v>
          </cell>
        </row>
        <row r="2701">
          <cell r="A2701" t="str">
            <v>AHW-44694I22</v>
          </cell>
          <cell r="B2701">
            <v>4010251</v>
          </cell>
          <cell r="C2701" t="str">
            <v>Original</v>
          </cell>
          <cell r="D2701" t="str">
            <v>CTS</v>
          </cell>
          <cell r="E2701" t="str">
            <v>JP</v>
          </cell>
          <cell r="F2701">
            <v>44830</v>
          </cell>
          <cell r="G2701">
            <v>44838</v>
          </cell>
          <cell r="H2701">
            <v>44840</v>
          </cell>
          <cell r="I2701" t="str">
            <v>10.10.2022</v>
          </cell>
          <cell r="J2701" t="str">
            <v>05.10.2022</v>
          </cell>
          <cell r="K2701" t="str">
            <v>-</v>
          </cell>
          <cell r="L2701" t="str">
            <v>OK</v>
          </cell>
        </row>
        <row r="2702">
          <cell r="A2702" t="str">
            <v>AHW-44695I22</v>
          </cell>
          <cell r="B2702">
            <v>4009676</v>
          </cell>
          <cell r="C2702" t="str">
            <v>Original</v>
          </cell>
          <cell r="D2702" t="str">
            <v>CTS</v>
          </cell>
          <cell r="E2702" t="str">
            <v>JP</v>
          </cell>
          <cell r="F2702">
            <v>44830</v>
          </cell>
          <cell r="G2702">
            <v>44838</v>
          </cell>
          <cell r="H2702">
            <v>44840</v>
          </cell>
          <cell r="I2702" t="str">
            <v>10.10.2022</v>
          </cell>
          <cell r="J2702" t="str">
            <v>05.10.2022</v>
          </cell>
          <cell r="K2702" t="str">
            <v>-</v>
          </cell>
          <cell r="L2702" t="str">
            <v>OK</v>
          </cell>
        </row>
        <row r="2703">
          <cell r="A2703" t="str">
            <v>AHW-44696I22</v>
          </cell>
          <cell r="B2703">
            <v>4010250</v>
          </cell>
          <cell r="C2703" t="str">
            <v>Original</v>
          </cell>
          <cell r="D2703" t="str">
            <v>CTS</v>
          </cell>
          <cell r="E2703" t="str">
            <v>JP</v>
          </cell>
          <cell r="F2703">
            <v>44830</v>
          </cell>
          <cell r="G2703">
            <v>44838</v>
          </cell>
          <cell r="H2703">
            <v>44840</v>
          </cell>
          <cell r="I2703" t="str">
            <v>10.10.2022</v>
          </cell>
          <cell r="J2703" t="str">
            <v>05.10.2022</v>
          </cell>
          <cell r="K2703" t="str">
            <v>-</v>
          </cell>
          <cell r="L2703" t="str">
            <v>OK</v>
          </cell>
        </row>
        <row r="2704">
          <cell r="A2704" t="str">
            <v>AHW-44697I22</v>
          </cell>
          <cell r="B2704">
            <v>4009668</v>
          </cell>
          <cell r="C2704" t="str">
            <v>Original</v>
          </cell>
          <cell r="D2704" t="str">
            <v>CTS</v>
          </cell>
          <cell r="E2704" t="str">
            <v>JP</v>
          </cell>
          <cell r="F2704">
            <v>44830</v>
          </cell>
          <cell r="G2704">
            <v>44838</v>
          </cell>
          <cell r="H2704">
            <v>44840</v>
          </cell>
          <cell r="I2704" t="str">
            <v>10.10.2022</v>
          </cell>
          <cell r="J2704" t="str">
            <v>05.10.2022</v>
          </cell>
          <cell r="K2704" t="str">
            <v>-</v>
          </cell>
          <cell r="L2704" t="str">
            <v>OK</v>
          </cell>
        </row>
        <row r="2705">
          <cell r="A2705" t="str">
            <v>AHW-44698I22</v>
          </cell>
          <cell r="B2705">
            <v>4009680</v>
          </cell>
          <cell r="C2705" t="str">
            <v>Original</v>
          </cell>
          <cell r="D2705" t="str">
            <v>CTS</v>
          </cell>
          <cell r="E2705" t="str">
            <v>JP</v>
          </cell>
          <cell r="F2705">
            <v>44830</v>
          </cell>
          <cell r="G2705">
            <v>44838</v>
          </cell>
          <cell r="H2705">
            <v>44840</v>
          </cell>
          <cell r="I2705" t="str">
            <v>10.10.2022</v>
          </cell>
          <cell r="J2705" t="str">
            <v>05.10.2022</v>
          </cell>
          <cell r="K2705" t="str">
            <v>-</v>
          </cell>
          <cell r="L2705" t="str">
            <v>OK</v>
          </cell>
        </row>
        <row r="2706">
          <cell r="A2706" t="str">
            <v>AHW-44699I22</v>
          </cell>
          <cell r="B2706">
            <v>4009686</v>
          </cell>
          <cell r="C2706" t="str">
            <v>Original</v>
          </cell>
          <cell r="D2706" t="str">
            <v>CTS</v>
          </cell>
          <cell r="E2706" t="str">
            <v>JP</v>
          </cell>
          <cell r="F2706">
            <v>44830</v>
          </cell>
          <cell r="G2706">
            <v>44838</v>
          </cell>
          <cell r="H2706">
            <v>44840</v>
          </cell>
          <cell r="I2706" t="str">
            <v>10.10.2022</v>
          </cell>
          <cell r="J2706" t="str">
            <v>05.10.2022</v>
          </cell>
          <cell r="K2706" t="str">
            <v>-</v>
          </cell>
          <cell r="L2706" t="str">
            <v>OK</v>
          </cell>
        </row>
        <row r="2707">
          <cell r="A2707" t="str">
            <v>AHW-44700I22</v>
          </cell>
          <cell r="B2707">
            <v>4009679</v>
          </cell>
          <cell r="C2707" t="str">
            <v>Original</v>
          </cell>
          <cell r="D2707" t="str">
            <v>CTS</v>
          </cell>
          <cell r="E2707" t="str">
            <v>JP</v>
          </cell>
          <cell r="F2707">
            <v>44830</v>
          </cell>
          <cell r="G2707">
            <v>44838</v>
          </cell>
          <cell r="H2707">
            <v>44840</v>
          </cell>
          <cell r="I2707" t="str">
            <v>10.10.2022</v>
          </cell>
          <cell r="J2707" t="str">
            <v>05.10.2022</v>
          </cell>
          <cell r="K2707" t="str">
            <v>-</v>
          </cell>
          <cell r="L2707" t="str">
            <v>OK</v>
          </cell>
        </row>
        <row r="2708">
          <cell r="A2708" t="str">
            <v>AHW-44777I22</v>
          </cell>
          <cell r="B2708">
            <v>4009689</v>
          </cell>
          <cell r="C2708" t="str">
            <v>Original</v>
          </cell>
          <cell r="D2708" t="str">
            <v>CTS</v>
          </cell>
          <cell r="E2708" t="str">
            <v>JP</v>
          </cell>
          <cell r="F2708">
            <v>44830</v>
          </cell>
          <cell r="G2708">
            <v>44838</v>
          </cell>
          <cell r="H2708">
            <v>44840</v>
          </cell>
          <cell r="I2708" t="str">
            <v>10.10.2022</v>
          </cell>
          <cell r="J2708" t="str">
            <v>05.10.2022</v>
          </cell>
          <cell r="K2708" t="str">
            <v>-</v>
          </cell>
          <cell r="L2708" t="str">
            <v>OK</v>
          </cell>
        </row>
        <row r="2709">
          <cell r="A2709" t="str">
            <v>AHW-44778I22</v>
          </cell>
          <cell r="B2709">
            <v>4009691</v>
          </cell>
          <cell r="C2709" t="str">
            <v>Original</v>
          </cell>
          <cell r="D2709" t="str">
            <v>CTS</v>
          </cell>
          <cell r="E2709" t="str">
            <v>JP</v>
          </cell>
          <cell r="F2709">
            <v>44830</v>
          </cell>
          <cell r="G2709">
            <v>44838</v>
          </cell>
          <cell r="H2709">
            <v>44840</v>
          </cell>
          <cell r="I2709" t="str">
            <v>11.10.2022</v>
          </cell>
          <cell r="J2709" t="str">
            <v>11.10.2022</v>
          </cell>
          <cell r="K2709" t="str">
            <v>-</v>
          </cell>
          <cell r="L2709" t="str">
            <v>OK</v>
          </cell>
        </row>
        <row r="2710">
          <cell r="A2710" t="str">
            <v>AHW-44779I22</v>
          </cell>
          <cell r="B2710">
            <v>4009705</v>
          </cell>
          <cell r="C2710" t="str">
            <v>Original</v>
          </cell>
          <cell r="D2710" t="str">
            <v>CTS</v>
          </cell>
          <cell r="E2710" t="str">
            <v>JP</v>
          </cell>
          <cell r="F2710">
            <v>44830</v>
          </cell>
          <cell r="G2710">
            <v>44838</v>
          </cell>
          <cell r="H2710">
            <v>44840</v>
          </cell>
          <cell r="I2710" t="str">
            <v>07.10.2022</v>
          </cell>
          <cell r="J2710" t="str">
            <v>05.10.2022</v>
          </cell>
          <cell r="K2710" t="str">
            <v>-</v>
          </cell>
          <cell r="L2710" t="str">
            <v>OK</v>
          </cell>
        </row>
        <row r="2711">
          <cell r="A2711" t="str">
            <v>AHW-44780I22</v>
          </cell>
          <cell r="B2711">
            <v>4009721</v>
          </cell>
          <cell r="C2711" t="str">
            <v>Original</v>
          </cell>
          <cell r="D2711" t="str">
            <v>CTS</v>
          </cell>
          <cell r="E2711" t="str">
            <v>JP</v>
          </cell>
          <cell r="F2711">
            <v>44830</v>
          </cell>
          <cell r="G2711">
            <v>44838</v>
          </cell>
          <cell r="H2711">
            <v>44840</v>
          </cell>
          <cell r="I2711" t="str">
            <v>07.10.2022</v>
          </cell>
          <cell r="J2711" t="str">
            <v>05.10.2022</v>
          </cell>
          <cell r="K2711" t="str">
            <v>-</v>
          </cell>
          <cell r="L2711" t="str">
            <v>OK</v>
          </cell>
        </row>
        <row r="2712">
          <cell r="A2712" t="str">
            <v>AHW-44781I22</v>
          </cell>
          <cell r="B2712">
            <v>4009706</v>
          </cell>
          <cell r="C2712" t="str">
            <v>Original</v>
          </cell>
          <cell r="D2712" t="str">
            <v>CTS</v>
          </cell>
          <cell r="E2712" t="str">
            <v>JP</v>
          </cell>
          <cell r="F2712">
            <v>44830</v>
          </cell>
          <cell r="G2712">
            <v>44838</v>
          </cell>
          <cell r="H2712">
            <v>44840</v>
          </cell>
          <cell r="I2712" t="str">
            <v>07.10.2022</v>
          </cell>
          <cell r="J2712" t="str">
            <v>05.10.2022</v>
          </cell>
          <cell r="K2712" t="str">
            <v>-</v>
          </cell>
          <cell r="L2712" t="str">
            <v>OK</v>
          </cell>
        </row>
        <row r="2713">
          <cell r="A2713" t="str">
            <v>AHW-44867I22</v>
          </cell>
          <cell r="B2713">
            <v>4009704</v>
          </cell>
          <cell r="C2713" t="str">
            <v>Original</v>
          </cell>
          <cell r="D2713" t="str">
            <v>CTS</v>
          </cell>
          <cell r="E2713" t="str">
            <v>JP</v>
          </cell>
          <cell r="F2713">
            <v>44830</v>
          </cell>
          <cell r="G2713">
            <v>44838</v>
          </cell>
          <cell r="H2713">
            <v>44840</v>
          </cell>
          <cell r="I2713" t="str">
            <v>07.10.2022</v>
          </cell>
          <cell r="J2713" t="str">
            <v>05.10.2022</v>
          </cell>
          <cell r="K2713" t="str">
            <v>-</v>
          </cell>
          <cell r="L2713" t="str">
            <v>OK</v>
          </cell>
        </row>
        <row r="2714">
          <cell r="A2714" t="str">
            <v>AHW-44870I22</v>
          </cell>
          <cell r="B2714">
            <v>4009720</v>
          </cell>
          <cell r="C2714" t="str">
            <v>Original</v>
          </cell>
          <cell r="D2714" t="str">
            <v>CTS</v>
          </cell>
          <cell r="E2714" t="str">
            <v>JP</v>
          </cell>
          <cell r="F2714">
            <v>44830</v>
          </cell>
          <cell r="G2714">
            <v>44838</v>
          </cell>
          <cell r="H2714">
            <v>44840</v>
          </cell>
          <cell r="I2714" t="str">
            <v>07.10.2022</v>
          </cell>
          <cell r="J2714" t="str">
            <v>05.10.2022</v>
          </cell>
          <cell r="K2714" t="str">
            <v>-</v>
          </cell>
          <cell r="L2714" t="str">
            <v>OK</v>
          </cell>
        </row>
        <row r="2715">
          <cell r="A2715" t="str">
            <v>AMS-44709I22</v>
          </cell>
          <cell r="B2715" t="str">
            <v>1Z6469V00473343693
1Z6469V00475617072 1Z6469V00475849901 1Z6469V00475638086 1Z6469V00475632715</v>
          </cell>
          <cell r="C2715" t="str">
            <v>Brasiliense</v>
          </cell>
          <cell r="D2715" t="str">
            <v>UPS</v>
          </cell>
          <cell r="E2715" t="str">
            <v>Future</v>
          </cell>
          <cell r="F2715">
            <v>44820</v>
          </cell>
          <cell r="G2715">
            <v>44828</v>
          </cell>
          <cell r="H2715">
            <v>44830</v>
          </cell>
          <cell r="I2715" t="str">
            <v>26.09.2022</v>
          </cell>
          <cell r="J2715" t="str">
            <v>03.10.2022</v>
          </cell>
          <cell r="K2715" t="str">
            <v>03.10.2022</v>
          </cell>
          <cell r="L2715" t="str">
            <v>OK</v>
          </cell>
        </row>
        <row r="2716">
          <cell r="A2716" t="str">
            <v>AMS-44713I22</v>
          </cell>
          <cell r="B2716" t="str">
            <v>1Z6469V00474123839
1Z6469V00475925659
1Z6469V00475801514
1Z6469V00475774447
1Z6469V00475593875
1Z6469V00475542885
1Z6469V00474364561
1Z6469V00474210977
1Z6469V00474050702
1Z6469V00473544921
1Z6469V00473353548
1Z6469V00473090751
1Z6469V00473076937
1Z6469V00473056495
1Z6469V00473053461</v>
          </cell>
          <cell r="C2716" t="str">
            <v>Brasiliense</v>
          </cell>
          <cell r="D2716" t="str">
            <v>UPS</v>
          </cell>
          <cell r="E2716" t="str">
            <v>Future</v>
          </cell>
          <cell r="F2716">
            <v>44820</v>
          </cell>
          <cell r="G2716">
            <v>44828</v>
          </cell>
          <cell r="H2716">
            <v>44830</v>
          </cell>
          <cell r="I2716" t="str">
            <v>20.09.2022</v>
          </cell>
          <cell r="J2716" t="str">
            <v>03.10.2022</v>
          </cell>
          <cell r="K2716" t="str">
            <v>03.10.2022</v>
          </cell>
          <cell r="L2716" t="str">
            <v>OK</v>
          </cell>
        </row>
        <row r="2717">
          <cell r="A2717" t="str">
            <v>SHW-44131I22</v>
          </cell>
          <cell r="B2717" t="str">
            <v>EGLV149206142170</v>
          </cell>
          <cell r="C2717" t="str">
            <v>Original</v>
          </cell>
          <cell r="D2717" t="str">
            <v>Shenker</v>
          </cell>
          <cell r="E2717" t="str">
            <v>Unitrading</v>
          </cell>
          <cell r="F2717">
            <v>44837</v>
          </cell>
          <cell r="G2717">
            <v>44845</v>
          </cell>
          <cell r="H2717">
            <v>44847</v>
          </cell>
          <cell r="I2717" t="str">
            <v>05.10.2022</v>
          </cell>
          <cell r="J2717" t="str">
            <v>05.10.2022</v>
          </cell>
          <cell r="K2717" t="str">
            <v>-</v>
          </cell>
          <cell r="L2717" t="str">
            <v>OK</v>
          </cell>
        </row>
        <row r="2718">
          <cell r="A2718" t="str">
            <v>SHW-44153I22</v>
          </cell>
          <cell r="B2718" t="str">
            <v>EGLV149206241500</v>
          </cell>
          <cell r="C2718" t="str">
            <v>Original</v>
          </cell>
          <cell r="D2718" t="str">
            <v>Shenker</v>
          </cell>
          <cell r="E2718" t="str">
            <v>Unitrading</v>
          </cell>
          <cell r="F2718">
            <v>44837</v>
          </cell>
          <cell r="G2718">
            <v>44845</v>
          </cell>
          <cell r="H2718">
            <v>44847</v>
          </cell>
          <cell r="I2718" t="str">
            <v>05.10.2022</v>
          </cell>
          <cell r="J2718" t="str">
            <v>05.10.2022</v>
          </cell>
          <cell r="K2718" t="str">
            <v>-</v>
          </cell>
          <cell r="L2718" t="str">
            <v>OK</v>
          </cell>
        </row>
        <row r="2719">
          <cell r="A2719" t="str">
            <v>SHW-44154I22</v>
          </cell>
          <cell r="B2719" t="str">
            <v>EGLV149205881522</v>
          </cell>
          <cell r="C2719" t="str">
            <v>Original</v>
          </cell>
          <cell r="D2719" t="str">
            <v>Shenker</v>
          </cell>
          <cell r="E2719" t="str">
            <v>Unitrading</v>
          </cell>
          <cell r="F2719">
            <v>44837</v>
          </cell>
          <cell r="G2719">
            <v>44845</v>
          </cell>
          <cell r="H2719">
            <v>44847</v>
          </cell>
          <cell r="I2719" t="str">
            <v>11.10.2022</v>
          </cell>
          <cell r="J2719" t="str">
            <v>05.10.2022</v>
          </cell>
          <cell r="K2719" t="str">
            <v>-</v>
          </cell>
          <cell r="L2719" t="str">
            <v>OK</v>
          </cell>
        </row>
        <row r="2720">
          <cell r="A2720" t="str">
            <v>SHW-44415I22</v>
          </cell>
          <cell r="B2720" t="str">
            <v>EGLV149206366850</v>
          </cell>
          <cell r="C2720" t="str">
            <v>Original</v>
          </cell>
          <cell r="D2720" t="str">
            <v>Shenker</v>
          </cell>
          <cell r="E2720" t="str">
            <v>Unitrading</v>
          </cell>
          <cell r="F2720">
            <v>44837</v>
          </cell>
          <cell r="G2720">
            <v>44845</v>
          </cell>
          <cell r="H2720">
            <v>44847</v>
          </cell>
          <cell r="I2720" t="str">
            <v>05.10.2022</v>
          </cell>
          <cell r="J2720" t="str">
            <v>04.10.2022</v>
          </cell>
          <cell r="K2720" t="str">
            <v>-</v>
          </cell>
          <cell r="L2720" t="str">
            <v>OK</v>
          </cell>
        </row>
        <row r="2721">
          <cell r="A2721" t="str">
            <v>SHW-44418I22</v>
          </cell>
          <cell r="B2721" t="str">
            <v>EGLV149206256931</v>
          </cell>
          <cell r="C2721" t="str">
            <v>Original</v>
          </cell>
          <cell r="D2721" t="str">
            <v>Shenker</v>
          </cell>
          <cell r="E2721" t="str">
            <v>Unitrading</v>
          </cell>
          <cell r="F2721">
            <v>44837</v>
          </cell>
          <cell r="G2721">
            <v>44845</v>
          </cell>
          <cell r="H2721">
            <v>44847</v>
          </cell>
          <cell r="I2721" t="str">
            <v>11.10.2022</v>
          </cell>
          <cell r="J2721" t="str">
            <v>04.10.2022</v>
          </cell>
          <cell r="K2721" t="str">
            <v>-</v>
          </cell>
          <cell r="L2721" t="str">
            <v>OK</v>
          </cell>
        </row>
        <row r="2722">
          <cell r="A2722" t="str">
            <v>SHW-44419I22</v>
          </cell>
          <cell r="B2722" t="str">
            <v>EGLV149206311699</v>
          </cell>
          <cell r="C2722" t="str">
            <v>Original</v>
          </cell>
          <cell r="D2722" t="str">
            <v>Shenker</v>
          </cell>
          <cell r="E2722" t="str">
            <v>Unitrading</v>
          </cell>
          <cell r="F2722">
            <v>44837</v>
          </cell>
          <cell r="G2722">
            <v>44845</v>
          </cell>
          <cell r="H2722">
            <v>44847</v>
          </cell>
          <cell r="I2722" t="str">
            <v>05.10.2022</v>
          </cell>
          <cell r="J2722" t="str">
            <v>04.10.2022</v>
          </cell>
          <cell r="K2722" t="str">
            <v>-</v>
          </cell>
          <cell r="L2722" t="str">
            <v>OK</v>
          </cell>
        </row>
        <row r="2723">
          <cell r="A2723" t="str">
            <v>AHW-42720I22</v>
          </cell>
          <cell r="B2723">
            <v>4008428</v>
          </cell>
          <cell r="C2723" t="str">
            <v>Original</v>
          </cell>
          <cell r="D2723" t="str">
            <v>CTS</v>
          </cell>
          <cell r="E2723" t="str">
            <v>JP</v>
          </cell>
          <cell r="F2723">
            <v>44754</v>
          </cell>
          <cell r="G2723">
            <v>44762</v>
          </cell>
          <cell r="H2723">
            <v>44764</v>
          </cell>
          <cell r="I2723" t="str">
            <v>20.07.2022</v>
          </cell>
          <cell r="J2723" t="str">
            <v>24.07.2022</v>
          </cell>
          <cell r="K2723" t="str">
            <v>-</v>
          </cell>
          <cell r="L2723" t="str">
            <v>OK</v>
          </cell>
        </row>
        <row r="2724">
          <cell r="A2724" t="str">
            <v>AMS-43819I22</v>
          </cell>
          <cell r="B2724" t="str">
            <v>S00956928</v>
          </cell>
          <cell r="C2724" t="str">
            <v>Brasiliense</v>
          </cell>
          <cell r="D2724" t="str">
            <v>PGL</v>
          </cell>
          <cell r="E2724" t="str">
            <v>Future</v>
          </cell>
          <cell r="F2724">
            <v>44798</v>
          </cell>
          <cell r="G2724">
            <v>44806</v>
          </cell>
          <cell r="H2724">
            <v>44808</v>
          </cell>
          <cell r="I2724" t="str">
            <v>05.09.2022</v>
          </cell>
          <cell r="J2724" t="str">
            <v>06.09.2022</v>
          </cell>
          <cell r="K2724" t="str">
            <v>06.09.2022</v>
          </cell>
          <cell r="L2724" t="str">
            <v>OK</v>
          </cell>
        </row>
        <row r="2725">
          <cell r="A2725" t="str">
            <v>AMS-44582I22</v>
          </cell>
          <cell r="B2725" t="str">
            <v>1Z6469V00475517297</v>
          </cell>
          <cell r="C2725" t="str">
            <v>Brasiliense</v>
          </cell>
          <cell r="D2725" t="str">
            <v>UPS</v>
          </cell>
          <cell r="E2725" t="str">
            <v>Future</v>
          </cell>
          <cell r="F2725">
            <v>44812</v>
          </cell>
          <cell r="G2725">
            <v>44820</v>
          </cell>
          <cell r="H2725">
            <v>44822</v>
          </cell>
          <cell r="I2725" t="str">
            <v>13.09.2022</v>
          </cell>
          <cell r="J2725" t="str">
            <v>13.09.2022</v>
          </cell>
          <cell r="K2725" t="str">
            <v>19.09.2022</v>
          </cell>
          <cell r="L2725" t="str">
            <v>OK</v>
          </cell>
        </row>
        <row r="2726">
          <cell r="A2726" t="str">
            <v>AMS-44583I22</v>
          </cell>
          <cell r="B2726" t="str">
            <v>1Z6469V00473908681</v>
          </cell>
          <cell r="C2726" t="str">
            <v>Brasiliense</v>
          </cell>
          <cell r="D2726" t="str">
            <v>UPS</v>
          </cell>
          <cell r="E2726" t="str">
            <v>Future</v>
          </cell>
          <cell r="F2726">
            <v>44812</v>
          </cell>
          <cell r="G2726">
            <v>44820</v>
          </cell>
          <cell r="H2726">
            <v>44822</v>
          </cell>
          <cell r="I2726" t="str">
            <v>13.09.2022</v>
          </cell>
          <cell r="J2726" t="str">
            <v>13.09.2022</v>
          </cell>
          <cell r="K2726" t="str">
            <v>19.09.2022</v>
          </cell>
          <cell r="L2726" t="str">
            <v>OK</v>
          </cell>
        </row>
        <row r="2727">
          <cell r="A2727" t="str">
            <v>AMS-44592I22</v>
          </cell>
          <cell r="B2727">
            <v>1939500550</v>
          </cell>
          <cell r="C2727" t="str">
            <v>Brasiliense</v>
          </cell>
          <cell r="D2727" t="str">
            <v>Fedex</v>
          </cell>
          <cell r="E2727" t="str">
            <v>Future</v>
          </cell>
          <cell r="F2727">
            <v>44813</v>
          </cell>
          <cell r="G2727">
            <v>44821</v>
          </cell>
          <cell r="H2727">
            <v>44823</v>
          </cell>
          <cell r="I2727" t="str">
            <v>13.09.2022</v>
          </cell>
          <cell r="J2727" t="str">
            <v>13.09.2022</v>
          </cell>
          <cell r="K2727" t="str">
            <v>19.09.2022</v>
          </cell>
          <cell r="L2727" t="str">
            <v>OK</v>
          </cell>
        </row>
        <row r="2728">
          <cell r="A2728" t="str">
            <v>AMS-44593I22</v>
          </cell>
          <cell r="B2728">
            <v>1939500560</v>
          </cell>
          <cell r="C2728" t="str">
            <v>Brasiliense</v>
          </cell>
          <cell r="D2728" t="str">
            <v>FEDEX</v>
          </cell>
          <cell r="E2728" t="str">
            <v>Future</v>
          </cell>
          <cell r="F2728">
            <v>44813</v>
          </cell>
          <cell r="G2728">
            <v>44821</v>
          </cell>
          <cell r="H2728">
            <v>44823</v>
          </cell>
          <cell r="I2728" t="str">
            <v>13.09.2022</v>
          </cell>
          <cell r="J2728" t="str">
            <v>13.09.2022</v>
          </cell>
          <cell r="K2728" t="str">
            <v>19.09.2022</v>
          </cell>
          <cell r="L2728" t="str">
            <v>OK</v>
          </cell>
        </row>
        <row r="2729">
          <cell r="A2729" t="str">
            <v>AMS-44502I22</v>
          </cell>
          <cell r="B2729">
            <v>417564929</v>
          </cell>
          <cell r="C2729" t="str">
            <v>Original</v>
          </cell>
          <cell r="D2729" t="str">
            <v>Expeditors</v>
          </cell>
          <cell r="E2729" t="str">
            <v>Expeditors</v>
          </cell>
          <cell r="F2729">
            <v>44823</v>
          </cell>
          <cell r="G2729">
            <v>44831</v>
          </cell>
          <cell r="H2729">
            <v>44833</v>
          </cell>
          <cell r="I2729" t="str">
            <v>07.10.2022</v>
          </cell>
          <cell r="J2729" t="str">
            <v>20.09.2022</v>
          </cell>
          <cell r="K2729" t="str">
            <v>-</v>
          </cell>
          <cell r="L2729" t="str">
            <v>OK</v>
          </cell>
        </row>
        <row r="2730">
          <cell r="A2730" t="str">
            <v>AMS-44503I22</v>
          </cell>
          <cell r="B2730">
            <v>417564930</v>
          </cell>
          <cell r="C2730" t="str">
            <v>Original</v>
          </cell>
          <cell r="D2730" t="str">
            <v>Expeditors</v>
          </cell>
          <cell r="E2730" t="str">
            <v>Expeditors</v>
          </cell>
          <cell r="F2730">
            <v>44823</v>
          </cell>
          <cell r="G2730">
            <v>44831</v>
          </cell>
          <cell r="H2730">
            <v>44833</v>
          </cell>
          <cell r="I2730" t="str">
            <v>07.10.2022</v>
          </cell>
          <cell r="J2730" t="str">
            <v>20.09.2022</v>
          </cell>
          <cell r="K2730" t="str">
            <v>-</v>
          </cell>
          <cell r="L2730" t="str">
            <v>OK</v>
          </cell>
        </row>
        <row r="2731">
          <cell r="A2731" t="str">
            <v>AHW-44868I22</v>
          </cell>
          <cell r="B2731">
            <v>4009733</v>
          </cell>
          <cell r="C2731" t="str">
            <v>Original</v>
          </cell>
          <cell r="D2731" t="str">
            <v>CTS</v>
          </cell>
          <cell r="E2731" t="str">
            <v>JP</v>
          </cell>
          <cell r="F2731">
            <v>44838</v>
          </cell>
          <cell r="G2731">
            <v>44846</v>
          </cell>
          <cell r="H2731">
            <v>44848</v>
          </cell>
          <cell r="I2731" t="str">
            <v>10.10.2022</v>
          </cell>
          <cell r="J2731" t="str">
            <v>19.10.2022</v>
          </cell>
          <cell r="K2731" t="str">
            <v>-</v>
          </cell>
          <cell r="L2731" t="str">
            <v>OK</v>
          </cell>
        </row>
        <row r="2732">
          <cell r="A2732" t="str">
            <v>AHW-44871I22</v>
          </cell>
          <cell r="B2732">
            <v>4009723</v>
          </cell>
          <cell r="C2732" t="str">
            <v>Original</v>
          </cell>
          <cell r="D2732" t="str">
            <v>CTS</v>
          </cell>
          <cell r="E2732" t="str">
            <v>JP</v>
          </cell>
          <cell r="F2732">
            <v>44838</v>
          </cell>
          <cell r="G2732">
            <v>44846</v>
          </cell>
          <cell r="H2732">
            <v>44848</v>
          </cell>
          <cell r="I2732" t="str">
            <v>10.10.2022</v>
          </cell>
          <cell r="J2732" t="str">
            <v>11.10.2022</v>
          </cell>
          <cell r="K2732" t="str">
            <v>-</v>
          </cell>
          <cell r="L2732" t="str">
            <v>OK</v>
          </cell>
        </row>
        <row r="2733">
          <cell r="A2733" t="str">
            <v>AHW-44873I22</v>
          </cell>
          <cell r="B2733">
            <v>4009730</v>
          </cell>
          <cell r="C2733" t="str">
            <v>Original</v>
          </cell>
          <cell r="D2733" t="str">
            <v>CTS</v>
          </cell>
          <cell r="E2733" t="str">
            <v>JP</v>
          </cell>
          <cell r="F2733">
            <v>44838</v>
          </cell>
          <cell r="G2733">
            <v>44846</v>
          </cell>
          <cell r="H2733">
            <v>44848</v>
          </cell>
          <cell r="I2733" t="str">
            <v>10.10.2022</v>
          </cell>
          <cell r="J2733" t="str">
            <v>11.10.2022</v>
          </cell>
          <cell r="K2733" t="str">
            <v>-</v>
          </cell>
          <cell r="L2733" t="str">
            <v>OK</v>
          </cell>
        </row>
        <row r="2734">
          <cell r="A2734" t="str">
            <v>AHW-44884I22</v>
          </cell>
          <cell r="B2734">
            <v>4009734</v>
          </cell>
          <cell r="C2734" t="str">
            <v>Original</v>
          </cell>
          <cell r="D2734" t="str">
            <v>CTS</v>
          </cell>
          <cell r="E2734" t="str">
            <v>JP</v>
          </cell>
          <cell r="F2734">
            <v>44837</v>
          </cell>
          <cell r="G2734">
            <v>44845</v>
          </cell>
          <cell r="H2734">
            <v>44847</v>
          </cell>
          <cell r="I2734" t="str">
            <v>10.10.2022</v>
          </cell>
          <cell r="J2734" t="str">
            <v>19.10.2022</v>
          </cell>
          <cell r="K2734" t="str">
            <v>-</v>
          </cell>
          <cell r="L2734" t="str">
            <v>OK</v>
          </cell>
        </row>
        <row r="2735">
          <cell r="A2735" t="str">
            <v>AHW-44885I22</v>
          </cell>
          <cell r="B2735">
            <v>4009735</v>
          </cell>
          <cell r="C2735" t="str">
            <v>Original</v>
          </cell>
          <cell r="D2735" t="str">
            <v>CTS</v>
          </cell>
          <cell r="E2735" t="str">
            <v>JP</v>
          </cell>
          <cell r="F2735">
            <v>44837</v>
          </cell>
          <cell r="G2735">
            <v>44845</v>
          </cell>
          <cell r="H2735">
            <v>44847</v>
          </cell>
          <cell r="I2735" t="str">
            <v>10.10.2022</v>
          </cell>
          <cell r="J2735" t="str">
            <v>19.10.2022</v>
          </cell>
          <cell r="K2735" t="str">
            <v>-</v>
          </cell>
          <cell r="L2735" t="str">
            <v>OK</v>
          </cell>
        </row>
        <row r="2736">
          <cell r="A2736" t="str">
            <v>AHW-44886I22</v>
          </cell>
          <cell r="B2736">
            <v>4009732</v>
          </cell>
          <cell r="C2736" t="str">
            <v>Original</v>
          </cell>
          <cell r="D2736" t="str">
            <v>CTS</v>
          </cell>
          <cell r="E2736" t="str">
            <v>JP</v>
          </cell>
          <cell r="F2736">
            <v>44838</v>
          </cell>
          <cell r="G2736">
            <v>44846</v>
          </cell>
          <cell r="H2736">
            <v>44848</v>
          </cell>
          <cell r="I2736" t="str">
            <v>18.10.2022</v>
          </cell>
          <cell r="J2736" t="str">
            <v>11.10.2022</v>
          </cell>
          <cell r="K2736" t="str">
            <v>-</v>
          </cell>
          <cell r="L2736" t="str">
            <v>OK</v>
          </cell>
        </row>
        <row r="2737">
          <cell r="A2737" t="str">
            <v>AHW-44926I22</v>
          </cell>
          <cell r="B2737">
            <v>4009786</v>
          </cell>
          <cell r="C2737" t="str">
            <v>Original</v>
          </cell>
          <cell r="D2737" t="str">
            <v>CTS</v>
          </cell>
          <cell r="E2737" t="str">
            <v>JP</v>
          </cell>
          <cell r="F2737">
            <v>44841</v>
          </cell>
          <cell r="G2737">
            <v>44849</v>
          </cell>
          <cell r="H2737">
            <v>44851</v>
          </cell>
          <cell r="I2737" t="str">
            <v>18.10.2022</v>
          </cell>
          <cell r="J2737" t="str">
            <v>24.10.2022</v>
          </cell>
          <cell r="K2737" t="str">
            <v>-</v>
          </cell>
          <cell r="L2737" t="str">
            <v>OK</v>
          </cell>
        </row>
        <row r="2738">
          <cell r="A2738" t="str">
            <v>AHW-44927I22</v>
          </cell>
          <cell r="B2738">
            <v>4009777</v>
          </cell>
          <cell r="C2738" t="str">
            <v>Original</v>
          </cell>
          <cell r="D2738" t="str">
            <v>CTS</v>
          </cell>
          <cell r="E2738" t="str">
            <v>JP</v>
          </cell>
          <cell r="F2738">
            <v>44841</v>
          </cell>
          <cell r="G2738">
            <v>44849</v>
          </cell>
          <cell r="H2738">
            <v>44851</v>
          </cell>
          <cell r="I2738" t="str">
            <v>18.10.2022</v>
          </cell>
          <cell r="J2738" t="str">
            <v>24.10.2022</v>
          </cell>
          <cell r="K2738" t="str">
            <v>-</v>
          </cell>
          <cell r="L2738" t="str">
            <v>OK</v>
          </cell>
        </row>
        <row r="2739">
          <cell r="A2739" t="str">
            <v>AHW-45069I22</v>
          </cell>
          <cell r="B2739">
            <v>4009814</v>
          </cell>
          <cell r="C2739" t="str">
            <v>Original</v>
          </cell>
          <cell r="D2739" t="str">
            <v>CTS</v>
          </cell>
          <cell r="E2739" t="str">
            <v>JP</v>
          </cell>
          <cell r="F2739">
            <v>44841</v>
          </cell>
          <cell r="G2739">
            <v>44849</v>
          </cell>
          <cell r="H2739">
            <v>44851</v>
          </cell>
          <cell r="I2739" t="str">
            <v>18.10.2022</v>
          </cell>
          <cell r="J2739" t="str">
            <v>24.10.2022</v>
          </cell>
          <cell r="K2739" t="str">
            <v>-</v>
          </cell>
          <cell r="L2739" t="str">
            <v>OK</v>
          </cell>
        </row>
        <row r="2740">
          <cell r="A2740" t="str">
            <v>AHW-44869I22</v>
          </cell>
          <cell r="B2740">
            <v>4010288</v>
          </cell>
          <cell r="C2740" t="str">
            <v>Original</v>
          </cell>
          <cell r="D2740" t="str">
            <v>CTS</v>
          </cell>
          <cell r="E2740" t="str">
            <v>JP</v>
          </cell>
          <cell r="F2740">
            <v>44841</v>
          </cell>
          <cell r="G2740">
            <v>44849</v>
          </cell>
          <cell r="H2740">
            <v>44851</v>
          </cell>
          <cell r="I2740" t="str">
            <v>11.10.2022</v>
          </cell>
          <cell r="J2740" t="str">
            <v>11.10.2022</v>
          </cell>
          <cell r="K2740" t="str">
            <v>-</v>
          </cell>
          <cell r="L2740" t="str">
            <v>OK</v>
          </cell>
        </row>
        <row r="2741">
          <cell r="A2741" t="str">
            <v>AHW-44872I22</v>
          </cell>
          <cell r="B2741">
            <v>4009731</v>
          </cell>
          <cell r="C2741" t="str">
            <v>Original</v>
          </cell>
          <cell r="D2741" t="str">
            <v>CTS</v>
          </cell>
          <cell r="E2741" t="str">
            <v>JP</v>
          </cell>
          <cell r="F2741">
            <v>44841</v>
          </cell>
          <cell r="G2741">
            <v>44849</v>
          </cell>
          <cell r="H2741">
            <v>44851</v>
          </cell>
          <cell r="I2741" t="str">
            <v>11.10.2022</v>
          </cell>
          <cell r="J2741" t="str">
            <v>11.10.2022</v>
          </cell>
          <cell r="K2741" t="str">
            <v>-</v>
          </cell>
          <cell r="L2741" t="str">
            <v>OK</v>
          </cell>
        </row>
        <row r="2742">
          <cell r="A2742" t="str">
            <v>AHW-44887I22</v>
          </cell>
          <cell r="B2742">
            <v>4009724</v>
          </cell>
          <cell r="C2742" t="str">
            <v>Original</v>
          </cell>
          <cell r="D2742" t="str">
            <v>CTS</v>
          </cell>
          <cell r="E2742" t="str">
            <v>JP</v>
          </cell>
          <cell r="F2742">
            <v>44841</v>
          </cell>
          <cell r="G2742">
            <v>44849</v>
          </cell>
          <cell r="H2742">
            <v>44851</v>
          </cell>
          <cell r="I2742" t="str">
            <v>11.10.2022</v>
          </cell>
          <cell r="J2742" t="str">
            <v>11.10.2022</v>
          </cell>
          <cell r="K2742" t="str">
            <v>-</v>
          </cell>
          <cell r="L2742" t="str">
            <v>OK</v>
          </cell>
        </row>
        <row r="2743">
          <cell r="A2743" t="str">
            <v>AHW-44922I22</v>
          </cell>
          <cell r="B2743">
            <v>4009765</v>
          </cell>
          <cell r="C2743" t="str">
            <v>Original</v>
          </cell>
          <cell r="D2743" t="str">
            <v>CTS</v>
          </cell>
          <cell r="E2743" t="str">
            <v>JP</v>
          </cell>
          <cell r="F2743">
            <v>44841</v>
          </cell>
          <cell r="G2743">
            <v>44849</v>
          </cell>
          <cell r="H2743">
            <v>44851</v>
          </cell>
          <cell r="I2743" t="str">
            <v>11.10.2022</v>
          </cell>
          <cell r="J2743" t="str">
            <v>11.10.2022</v>
          </cell>
          <cell r="K2743" t="str">
            <v>-</v>
          </cell>
          <cell r="L2743" t="str">
            <v>OK</v>
          </cell>
        </row>
        <row r="2744">
          <cell r="A2744" t="str">
            <v>AHW-44921I22</v>
          </cell>
          <cell r="B2744">
            <v>4009785</v>
          </cell>
          <cell r="C2744" t="str">
            <v>Original</v>
          </cell>
          <cell r="D2744" t="str">
            <v>CTS</v>
          </cell>
          <cell r="E2744" t="str">
            <v>JP</v>
          </cell>
          <cell r="F2744">
            <v>44844</v>
          </cell>
          <cell r="G2744">
            <v>44852</v>
          </cell>
          <cell r="H2744">
            <v>44854</v>
          </cell>
          <cell r="I2744" t="str">
            <v>18.10.2022</v>
          </cell>
          <cell r="J2744" t="str">
            <v>19.10.2022</v>
          </cell>
          <cell r="K2744" t="str">
            <v>-</v>
          </cell>
          <cell r="L2744" t="str">
            <v>OK</v>
          </cell>
        </row>
        <row r="2745">
          <cell r="A2745" t="str">
            <v>AHW-44923I22</v>
          </cell>
          <cell r="B2745">
            <v>4009798</v>
          </cell>
          <cell r="C2745" t="str">
            <v>Original</v>
          </cell>
          <cell r="D2745" t="str">
            <v>CTS</v>
          </cell>
          <cell r="E2745" t="str">
            <v>JP</v>
          </cell>
          <cell r="F2745">
            <v>44844</v>
          </cell>
          <cell r="G2745">
            <v>44852</v>
          </cell>
          <cell r="H2745">
            <v>44854</v>
          </cell>
          <cell r="I2745" t="str">
            <v>18.10.2022</v>
          </cell>
          <cell r="J2745" t="str">
            <v>19.10.2022</v>
          </cell>
          <cell r="K2745" t="str">
            <v>-</v>
          </cell>
          <cell r="L2745" t="str">
            <v>OK</v>
          </cell>
        </row>
        <row r="2746">
          <cell r="A2746" t="str">
            <v>AHW-44925I22</v>
          </cell>
          <cell r="B2746">
            <v>4009797</v>
          </cell>
          <cell r="C2746" t="str">
            <v>Original</v>
          </cell>
          <cell r="D2746" t="str">
            <v>CTS</v>
          </cell>
          <cell r="E2746" t="str">
            <v>JP</v>
          </cell>
          <cell r="F2746">
            <v>44844</v>
          </cell>
          <cell r="G2746">
            <v>44852</v>
          </cell>
          <cell r="H2746">
            <v>44854</v>
          </cell>
          <cell r="I2746" t="str">
            <v>18.10.2022</v>
          </cell>
          <cell r="J2746" t="str">
            <v>19.10.2022</v>
          </cell>
          <cell r="K2746" t="str">
            <v>-</v>
          </cell>
          <cell r="L2746" t="str">
            <v>OK</v>
          </cell>
        </row>
        <row r="2747">
          <cell r="A2747" t="str">
            <v>AHW-44928I22</v>
          </cell>
          <cell r="B2747">
            <v>4009799</v>
          </cell>
          <cell r="C2747" t="str">
            <v>Original</v>
          </cell>
          <cell r="D2747" t="str">
            <v>CTS</v>
          </cell>
          <cell r="E2747" t="str">
            <v>JP</v>
          </cell>
          <cell r="F2747">
            <v>44844</v>
          </cell>
          <cell r="G2747">
            <v>44852</v>
          </cell>
          <cell r="H2747">
            <v>44854</v>
          </cell>
          <cell r="I2747" t="str">
            <v>18.10.2022</v>
          </cell>
          <cell r="J2747" t="str">
            <v>19.10.2022</v>
          </cell>
          <cell r="K2747" t="str">
            <v>-</v>
          </cell>
          <cell r="L2747" t="str">
            <v>OK</v>
          </cell>
        </row>
        <row r="2748">
          <cell r="A2748" t="str">
            <v>AHW-44929I22</v>
          </cell>
          <cell r="B2748">
            <v>4009801</v>
          </cell>
          <cell r="C2748" t="str">
            <v>Original</v>
          </cell>
          <cell r="D2748" t="str">
            <v>CTS</v>
          </cell>
          <cell r="E2748" t="str">
            <v>JP</v>
          </cell>
          <cell r="F2748">
            <v>44844</v>
          </cell>
          <cell r="G2748">
            <v>44852</v>
          </cell>
          <cell r="H2748">
            <v>44854</v>
          </cell>
          <cell r="I2748" t="str">
            <v>18.10.2022</v>
          </cell>
          <cell r="J2748" t="str">
            <v>19.10.2022</v>
          </cell>
          <cell r="K2748" t="str">
            <v>-</v>
          </cell>
          <cell r="L2748" t="str">
            <v>OK</v>
          </cell>
        </row>
        <row r="2749">
          <cell r="A2749" t="str">
            <v>AHW-44930I22</v>
          </cell>
          <cell r="B2749">
            <v>4009832</v>
          </cell>
          <cell r="C2749" t="str">
            <v>Original</v>
          </cell>
          <cell r="D2749" t="str">
            <v>CTS</v>
          </cell>
          <cell r="E2749" t="str">
            <v>JP</v>
          </cell>
          <cell r="F2749">
            <v>44844</v>
          </cell>
          <cell r="G2749">
            <v>44852</v>
          </cell>
          <cell r="H2749">
            <v>44854</v>
          </cell>
          <cell r="I2749" t="str">
            <v>18.10.2022</v>
          </cell>
          <cell r="J2749" t="str">
            <v>19.10.2022</v>
          </cell>
          <cell r="K2749" t="str">
            <v>-</v>
          </cell>
          <cell r="L2749" t="str">
            <v>OK</v>
          </cell>
        </row>
        <row r="2750">
          <cell r="A2750" t="str">
            <v>AHW-45068I22</v>
          </cell>
          <cell r="B2750">
            <v>4009818</v>
          </cell>
          <cell r="C2750" t="str">
            <v>Original</v>
          </cell>
          <cell r="D2750" t="str">
            <v>CTS</v>
          </cell>
          <cell r="E2750" t="str">
            <v>JP</v>
          </cell>
          <cell r="F2750">
            <v>44844</v>
          </cell>
          <cell r="G2750">
            <v>44852</v>
          </cell>
          <cell r="H2750">
            <v>44854</v>
          </cell>
          <cell r="I2750" t="str">
            <v>18.10.2022</v>
          </cell>
          <cell r="J2750" t="str">
            <v>19.10.2022</v>
          </cell>
          <cell r="K2750" t="str">
            <v>-</v>
          </cell>
          <cell r="L2750" t="str">
            <v>OK</v>
          </cell>
        </row>
        <row r="2751">
          <cell r="A2751" t="str">
            <v>AHW-45071I22</v>
          </cell>
          <cell r="B2751">
            <v>4009831</v>
          </cell>
          <cell r="C2751" t="str">
            <v>Original</v>
          </cell>
          <cell r="D2751" t="str">
            <v>CTS</v>
          </cell>
          <cell r="E2751" t="str">
            <v>JP</v>
          </cell>
          <cell r="F2751">
            <v>44844</v>
          </cell>
          <cell r="G2751">
            <v>44852</v>
          </cell>
          <cell r="H2751">
            <v>44854</v>
          </cell>
          <cell r="I2751" t="str">
            <v>18.10.2022</v>
          </cell>
          <cell r="J2751" t="str">
            <v>19.10.2022</v>
          </cell>
          <cell r="K2751" t="str">
            <v>-</v>
          </cell>
          <cell r="L2751" t="str">
            <v>OK</v>
          </cell>
        </row>
        <row r="2752">
          <cell r="A2752" t="str">
            <v>SHW-44518I22</v>
          </cell>
          <cell r="B2752" t="str">
            <v>EGLV149206527136</v>
          </cell>
          <cell r="C2752" t="str">
            <v>Original</v>
          </cell>
          <cell r="D2752" t="str">
            <v>Shenker</v>
          </cell>
          <cell r="E2752" t="str">
            <v>Unitrading</v>
          </cell>
          <cell r="F2752">
            <v>44847</v>
          </cell>
          <cell r="G2752">
            <v>44855</v>
          </cell>
          <cell r="H2752">
            <v>44857</v>
          </cell>
          <cell r="I2752" t="str">
            <v>17.10.2022</v>
          </cell>
          <cell r="J2752" t="str">
            <v>14.10.2022</v>
          </cell>
          <cell r="K2752" t="str">
            <v>-</v>
          </cell>
          <cell r="L2752" t="str">
            <v>OK</v>
          </cell>
        </row>
        <row r="2753">
          <cell r="A2753" t="str">
            <v>SHW-44522I22</v>
          </cell>
          <cell r="B2753" t="str">
            <v>EGLV149206382677</v>
          </cell>
          <cell r="C2753" t="str">
            <v>Original</v>
          </cell>
          <cell r="D2753" t="str">
            <v>Shenker</v>
          </cell>
          <cell r="E2753" t="str">
            <v>Unitrading</v>
          </cell>
          <cell r="F2753">
            <v>44847</v>
          </cell>
          <cell r="G2753">
            <v>44855</v>
          </cell>
          <cell r="H2753">
            <v>44857</v>
          </cell>
          <cell r="I2753" t="str">
            <v>17.10.2022</v>
          </cell>
          <cell r="J2753" t="str">
            <v>14.10.2022</v>
          </cell>
          <cell r="K2753" t="str">
            <v>-</v>
          </cell>
          <cell r="L2753" t="str">
            <v>OK</v>
          </cell>
        </row>
        <row r="2754">
          <cell r="A2754" t="str">
            <v>SHW-44519I22</v>
          </cell>
          <cell r="B2754" t="str">
            <v>EGLV149206527560</v>
          </cell>
          <cell r="C2754" t="str">
            <v>Original</v>
          </cell>
          <cell r="D2754" t="str">
            <v>Shenker</v>
          </cell>
          <cell r="E2754" t="str">
            <v>Unitrading</v>
          </cell>
          <cell r="F2754">
            <v>44847</v>
          </cell>
          <cell r="G2754">
            <v>44855</v>
          </cell>
          <cell r="H2754">
            <v>44857</v>
          </cell>
          <cell r="I2754" t="str">
            <v>17.10.2022</v>
          </cell>
          <cell r="J2754" t="str">
            <v>17.10.2022</v>
          </cell>
          <cell r="K2754" t="str">
            <v>-</v>
          </cell>
          <cell r="L2754" t="str">
            <v>OK</v>
          </cell>
        </row>
        <row r="2755">
          <cell r="A2755" t="str">
            <v>SHW-44523I22</v>
          </cell>
          <cell r="B2755" t="str">
            <v>EGLV149206527454</v>
          </cell>
          <cell r="C2755" t="str">
            <v>Original</v>
          </cell>
          <cell r="D2755" t="str">
            <v>Shenker</v>
          </cell>
          <cell r="E2755" t="str">
            <v>Unitrading</v>
          </cell>
          <cell r="F2755">
            <v>44847</v>
          </cell>
          <cell r="G2755">
            <v>44855</v>
          </cell>
          <cell r="H2755">
            <v>44857</v>
          </cell>
          <cell r="I2755" t="str">
            <v>17.10.2022</v>
          </cell>
          <cell r="J2755" t="str">
            <v>17.10.2022</v>
          </cell>
          <cell r="K2755" t="str">
            <v>-</v>
          </cell>
          <cell r="L2755" t="str">
            <v>OK</v>
          </cell>
        </row>
        <row r="2756">
          <cell r="A2756" t="str">
            <v>SHW-44520I22</v>
          </cell>
          <cell r="B2756" t="str">
            <v>EGLV149206528728</v>
          </cell>
          <cell r="C2756" t="str">
            <v>Original</v>
          </cell>
          <cell r="D2756" t="str">
            <v>Shenker</v>
          </cell>
          <cell r="E2756" t="str">
            <v>Unitrading</v>
          </cell>
          <cell r="F2756">
            <v>44847</v>
          </cell>
          <cell r="G2756">
            <v>44855</v>
          </cell>
          <cell r="H2756">
            <v>44857</v>
          </cell>
          <cell r="I2756" t="str">
            <v>17.10.2022</v>
          </cell>
          <cell r="J2756" t="str">
            <v>17.10.2022</v>
          </cell>
          <cell r="K2756" t="str">
            <v>-</v>
          </cell>
          <cell r="L2756" t="str">
            <v>OK</v>
          </cell>
        </row>
        <row r="2757">
          <cell r="A2757" t="str">
            <v>SHW-44521I22</v>
          </cell>
          <cell r="B2757" t="str">
            <v>EGLV149206528493</v>
          </cell>
          <cell r="C2757" t="str">
            <v>Original</v>
          </cell>
          <cell r="D2757" t="str">
            <v>Shenker</v>
          </cell>
          <cell r="E2757" t="str">
            <v>Unitrading</v>
          </cell>
          <cell r="F2757">
            <v>44847</v>
          </cell>
          <cell r="G2757">
            <v>44855</v>
          </cell>
          <cell r="H2757">
            <v>44857</v>
          </cell>
          <cell r="I2757" t="str">
            <v>17.10.2022</v>
          </cell>
          <cell r="J2757" t="str">
            <v>17.10.2022</v>
          </cell>
          <cell r="K2757" t="str">
            <v>-</v>
          </cell>
          <cell r="L2757" t="str">
            <v>OK</v>
          </cell>
        </row>
        <row r="2758">
          <cell r="A2758" t="str">
            <v>SHW-44534I22</v>
          </cell>
          <cell r="B2758" t="str">
            <v>EGLV149206555156</v>
          </cell>
          <cell r="C2758" t="str">
            <v>Original</v>
          </cell>
          <cell r="D2758" t="str">
            <v>Shenker</v>
          </cell>
          <cell r="E2758" t="str">
            <v>Unitrading</v>
          </cell>
          <cell r="F2758">
            <v>44848</v>
          </cell>
          <cell r="G2758">
            <v>44856</v>
          </cell>
          <cell r="H2758">
            <v>44858</v>
          </cell>
          <cell r="I2758" t="str">
            <v>17.10.2022</v>
          </cell>
          <cell r="J2758" t="str">
            <v>18.10.2022</v>
          </cell>
          <cell r="K2758" t="str">
            <v>-</v>
          </cell>
          <cell r="L2758" t="str">
            <v>OK</v>
          </cell>
        </row>
        <row r="2759">
          <cell r="A2759" t="str">
            <v>AMS-45201I22</v>
          </cell>
          <cell r="B2759" t="str">
            <v>1Z6469V00474574058</v>
          </cell>
          <cell r="C2759" t="str">
            <v>Brasiliense</v>
          </cell>
          <cell r="D2759" t="str">
            <v>UPS</v>
          </cell>
          <cell r="E2759" t="str">
            <v>Future</v>
          </cell>
          <cell r="F2759">
            <v>44845</v>
          </cell>
          <cell r="G2759">
            <v>44853</v>
          </cell>
          <cell r="H2759">
            <v>44855</v>
          </cell>
          <cell r="I2759" t="str">
            <v>18.10.2022</v>
          </cell>
          <cell r="J2759" t="str">
            <v>20.10.2022</v>
          </cell>
          <cell r="K2759" t="str">
            <v>17.10.2022</v>
          </cell>
          <cell r="L2759" t="str">
            <v>OK</v>
          </cell>
        </row>
        <row r="2760">
          <cell r="A2760" t="str">
            <v>AMS-45204I22</v>
          </cell>
          <cell r="B2760" t="str">
            <v>1Z6469V00475364238</v>
          </cell>
          <cell r="C2760" t="str">
            <v>Brasiliense</v>
          </cell>
          <cell r="D2760" t="str">
            <v>UPS</v>
          </cell>
          <cell r="E2760" t="str">
            <v>Future</v>
          </cell>
          <cell r="F2760">
            <v>44845</v>
          </cell>
          <cell r="G2760">
            <v>44853</v>
          </cell>
          <cell r="H2760">
            <v>44855</v>
          </cell>
          <cell r="I2760" t="str">
            <v>18.10.2022</v>
          </cell>
          <cell r="J2760" t="str">
            <v>20.10.2022</v>
          </cell>
          <cell r="K2760" t="str">
            <v>17.10.2022</v>
          </cell>
          <cell r="L2760" t="str">
            <v>OK</v>
          </cell>
        </row>
        <row r="2761">
          <cell r="A2761" t="str">
            <v>AMS-45205I22</v>
          </cell>
          <cell r="B2761">
            <v>601939500181</v>
          </cell>
          <cell r="C2761" t="str">
            <v>Brasiliense</v>
          </cell>
          <cell r="D2761" t="str">
            <v>Fedex</v>
          </cell>
          <cell r="E2761" t="str">
            <v>Future</v>
          </cell>
          <cell r="F2761">
            <v>44845</v>
          </cell>
          <cell r="G2761">
            <v>44853</v>
          </cell>
          <cell r="H2761">
            <v>44855</v>
          </cell>
          <cell r="I2761" t="str">
            <v>18.10.2022</v>
          </cell>
          <cell r="J2761" t="str">
            <v>20.10.2022</v>
          </cell>
          <cell r="K2761" t="str">
            <v>17.10.2022</v>
          </cell>
          <cell r="L2761" t="str">
            <v>OK</v>
          </cell>
        </row>
        <row r="2762">
          <cell r="A2762" t="str">
            <v>AHW-45070I22</v>
          </cell>
          <cell r="B2762">
            <v>4009835</v>
          </cell>
          <cell r="C2762" t="str">
            <v>Original</v>
          </cell>
          <cell r="D2762" t="str">
            <v>CTS</v>
          </cell>
          <cell r="E2762" t="str">
            <v>JP</v>
          </cell>
          <cell r="F2762">
            <v>44847</v>
          </cell>
          <cell r="G2762">
            <v>44855</v>
          </cell>
          <cell r="H2762">
            <v>44857</v>
          </cell>
          <cell r="I2762" t="str">
            <v>26.10.2022</v>
          </cell>
          <cell r="J2762" t="str">
            <v>24.10.2022</v>
          </cell>
          <cell r="K2762" t="str">
            <v>-</v>
          </cell>
          <cell r="L2762" t="str">
            <v>OK</v>
          </cell>
        </row>
        <row r="2763">
          <cell r="A2763" t="str">
            <v>AHW-45072I22</v>
          </cell>
          <cell r="B2763">
            <v>4009848</v>
          </cell>
          <cell r="C2763" t="str">
            <v>Original</v>
          </cell>
          <cell r="D2763" t="str">
            <v>CTS</v>
          </cell>
          <cell r="E2763" t="str">
            <v>JP</v>
          </cell>
          <cell r="F2763">
            <v>44847</v>
          </cell>
          <cell r="G2763">
            <v>44855</v>
          </cell>
          <cell r="H2763">
            <v>44857</v>
          </cell>
          <cell r="I2763" t="str">
            <v>26.10.2022</v>
          </cell>
          <cell r="J2763" t="str">
            <v>24.10.2022</v>
          </cell>
          <cell r="K2763" t="str">
            <v>-</v>
          </cell>
          <cell r="L2763" t="str">
            <v>OK</v>
          </cell>
        </row>
        <row r="2764">
          <cell r="A2764" t="str">
            <v>AHW-45147I22</v>
          </cell>
          <cell r="B2764">
            <v>4009837</v>
          </cell>
          <cell r="C2764" t="str">
            <v>Original</v>
          </cell>
          <cell r="D2764" t="str">
            <v>CTS</v>
          </cell>
          <cell r="E2764" t="str">
            <v>JP</v>
          </cell>
          <cell r="F2764">
            <v>44847</v>
          </cell>
          <cell r="G2764">
            <v>44855</v>
          </cell>
          <cell r="H2764">
            <v>44857</v>
          </cell>
          <cell r="I2764" t="str">
            <v>26.10.2022</v>
          </cell>
          <cell r="J2764" t="str">
            <v>24.10.2022</v>
          </cell>
          <cell r="K2764" t="str">
            <v>-</v>
          </cell>
          <cell r="L2764" t="str">
            <v>OK</v>
          </cell>
        </row>
        <row r="2765">
          <cell r="A2765" t="str">
            <v>AMS-45049I22</v>
          </cell>
          <cell r="B2765" t="str">
            <v>MIA2203588</v>
          </cell>
          <cell r="C2765" t="str">
            <v>Brasiliense</v>
          </cell>
          <cell r="D2765" t="str">
            <v xml:space="preserve">Asia Shipping </v>
          </cell>
          <cell r="E2765" t="str">
            <v xml:space="preserve">Asia Shipping </v>
          </cell>
          <cell r="F2765">
            <v>44848</v>
          </cell>
          <cell r="G2765">
            <v>44856</v>
          </cell>
          <cell r="H2765">
            <v>44858</v>
          </cell>
          <cell r="I2765" t="str">
            <v>26.10.2022</v>
          </cell>
          <cell r="J2765" t="str">
            <v>19.10.2022</v>
          </cell>
          <cell r="K2765" t="str">
            <v>24.10.2022</v>
          </cell>
          <cell r="L2765" t="str">
            <v>OK</v>
          </cell>
        </row>
        <row r="2766">
          <cell r="A2766" t="str">
            <v>AMS-45199I22</v>
          </cell>
          <cell r="B2766" t="str">
            <v>1Z6469V00474030331</v>
          </cell>
          <cell r="C2766" t="str">
            <v>Brasiliense</v>
          </cell>
          <cell r="D2766" t="str">
            <v>UPS</v>
          </cell>
          <cell r="E2766" t="str">
            <v>Future</v>
          </cell>
          <cell r="F2766">
            <v>44851</v>
          </cell>
          <cell r="G2766">
            <v>44859</v>
          </cell>
          <cell r="H2766">
            <v>44861</v>
          </cell>
          <cell r="I2766" t="str">
            <v>20.10.2022</v>
          </cell>
          <cell r="J2766" t="str">
            <v>25.10.2022</v>
          </cell>
          <cell r="K2766" t="str">
            <v>24.10.2022</v>
          </cell>
          <cell r="L2766" t="str">
            <v>OK</v>
          </cell>
        </row>
        <row r="2767">
          <cell r="A2767" t="str">
            <v>AMS-45200I22</v>
          </cell>
          <cell r="B2767" t="str">
            <v>1Z6469V00475150049</v>
          </cell>
          <cell r="C2767" t="str">
            <v>Brasiliense</v>
          </cell>
          <cell r="D2767" t="str">
            <v>UPS</v>
          </cell>
          <cell r="E2767" t="str">
            <v>Future</v>
          </cell>
          <cell r="F2767">
            <v>44851</v>
          </cell>
          <cell r="G2767">
            <v>44859</v>
          </cell>
          <cell r="H2767">
            <v>44861</v>
          </cell>
          <cell r="I2767" t="str">
            <v>25.10.2022</v>
          </cell>
          <cell r="J2767" t="str">
            <v>25.10.2022</v>
          </cell>
          <cell r="K2767" t="str">
            <v>24.10.2022</v>
          </cell>
          <cell r="L2767" t="str">
            <v>OK</v>
          </cell>
        </row>
        <row r="2768">
          <cell r="A2768" t="str">
            <v>AMS-45289I22</v>
          </cell>
          <cell r="B2768" t="str">
            <v>1Z6469V00474432791</v>
          </cell>
          <cell r="C2768" t="str">
            <v>Brasiliense</v>
          </cell>
          <cell r="D2768" t="str">
            <v>UPS</v>
          </cell>
          <cell r="E2768" t="str">
            <v>Future</v>
          </cell>
          <cell r="F2768">
            <v>44851</v>
          </cell>
          <cell r="G2768">
            <v>44859</v>
          </cell>
          <cell r="H2768">
            <v>44861</v>
          </cell>
          <cell r="I2768" t="str">
            <v>18.10.2022</v>
          </cell>
          <cell r="J2768" t="str">
            <v>25.10.2022</v>
          </cell>
          <cell r="K2768" t="str">
            <v>24.10.2022</v>
          </cell>
          <cell r="L2768" t="str">
            <v>OK</v>
          </cell>
        </row>
        <row r="2769">
          <cell r="A2769" t="str">
            <v>AMS-45290I22</v>
          </cell>
          <cell r="B2769" t="str">
            <v>1Z6469V00474501180</v>
          </cell>
          <cell r="C2769" t="str">
            <v>Brasiliense</v>
          </cell>
          <cell r="D2769" t="str">
            <v>UPS</v>
          </cell>
          <cell r="E2769" t="str">
            <v>Future</v>
          </cell>
          <cell r="F2769">
            <v>44851</v>
          </cell>
          <cell r="G2769">
            <v>44859</v>
          </cell>
          <cell r="H2769">
            <v>44861</v>
          </cell>
          <cell r="I2769" t="str">
            <v>18.10.2022</v>
          </cell>
          <cell r="J2769" t="str">
            <v>25.10.2022</v>
          </cell>
          <cell r="K2769" t="str">
            <v>24.10.2022</v>
          </cell>
          <cell r="L2769" t="str">
            <v>OK</v>
          </cell>
        </row>
        <row r="2770">
          <cell r="A2770" t="str">
            <v>AHW-45073I22</v>
          </cell>
          <cell r="B2770">
            <v>4009857</v>
          </cell>
          <cell r="C2770" t="str">
            <v>Original</v>
          </cell>
          <cell r="D2770" t="str">
            <v>CTS</v>
          </cell>
          <cell r="E2770" t="str">
            <v>JP</v>
          </cell>
          <cell r="F2770">
            <v>44851</v>
          </cell>
          <cell r="G2770">
            <v>44859</v>
          </cell>
          <cell r="H2770">
            <v>44861</v>
          </cell>
          <cell r="I2770" t="str">
            <v>26.10.2022</v>
          </cell>
          <cell r="J2770" t="str">
            <v>19.10.2022</v>
          </cell>
          <cell r="K2770" t="str">
            <v>-</v>
          </cell>
          <cell r="L2770" t="str">
            <v>OK</v>
          </cell>
        </row>
        <row r="2771">
          <cell r="A2771" t="str">
            <v>AHW-45146I22</v>
          </cell>
          <cell r="B2771">
            <v>4010344</v>
          </cell>
          <cell r="C2771" t="str">
            <v>Original</v>
          </cell>
          <cell r="D2771" t="str">
            <v>CTS</v>
          </cell>
          <cell r="E2771" t="str">
            <v>JP</v>
          </cell>
          <cell r="F2771">
            <v>44851</v>
          </cell>
          <cell r="G2771">
            <v>44859</v>
          </cell>
          <cell r="H2771">
            <v>44861</v>
          </cell>
          <cell r="I2771" t="str">
            <v>26.10.2022</v>
          </cell>
          <cell r="J2771" t="str">
            <v>20.10.2022</v>
          </cell>
          <cell r="K2771" t="str">
            <v>-</v>
          </cell>
          <cell r="L2771" t="str">
            <v>OK</v>
          </cell>
        </row>
        <row r="2772">
          <cell r="A2772" t="str">
            <v>AHW-45148I22</v>
          </cell>
          <cell r="B2772">
            <v>4010349</v>
          </cell>
          <cell r="C2772" t="str">
            <v>Original</v>
          </cell>
          <cell r="D2772" t="str">
            <v>CTS</v>
          </cell>
          <cell r="E2772" t="str">
            <v>JP</v>
          </cell>
          <cell r="F2772">
            <v>44851</v>
          </cell>
          <cell r="G2772">
            <v>44859</v>
          </cell>
          <cell r="H2772">
            <v>44861</v>
          </cell>
          <cell r="I2772" t="str">
            <v>26.10.2022</v>
          </cell>
          <cell r="J2772" t="str">
            <v>20.10.2022</v>
          </cell>
          <cell r="K2772" t="str">
            <v>-</v>
          </cell>
          <cell r="L2772" t="str">
            <v>OK</v>
          </cell>
        </row>
        <row r="2773">
          <cell r="A2773" t="str">
            <v>AHW-45149I22</v>
          </cell>
          <cell r="B2773">
            <v>4010352</v>
          </cell>
          <cell r="C2773" t="str">
            <v>Original</v>
          </cell>
          <cell r="D2773" t="str">
            <v>CTS</v>
          </cell>
          <cell r="E2773" t="str">
            <v>JP</v>
          </cell>
          <cell r="F2773">
            <v>44851</v>
          </cell>
          <cell r="G2773">
            <v>44859</v>
          </cell>
          <cell r="H2773">
            <v>44861</v>
          </cell>
          <cell r="I2773" t="str">
            <v>26.10.2022</v>
          </cell>
          <cell r="J2773" t="str">
            <v>20.10.2022</v>
          </cell>
          <cell r="K2773" t="str">
            <v>-</v>
          </cell>
          <cell r="L2773" t="str">
            <v>OK</v>
          </cell>
        </row>
        <row r="2774">
          <cell r="A2774" t="str">
            <v>AHW-45196I22</v>
          </cell>
          <cell r="B2774">
            <v>4010364</v>
          </cell>
          <cell r="C2774" t="str">
            <v>Original</v>
          </cell>
          <cell r="D2774" t="str">
            <v>CTS</v>
          </cell>
          <cell r="E2774" t="str">
            <v>JP</v>
          </cell>
          <cell r="F2774">
            <v>44851</v>
          </cell>
          <cell r="G2774">
            <v>44859</v>
          </cell>
          <cell r="H2774">
            <v>44861</v>
          </cell>
          <cell r="I2774" t="str">
            <v>26.10.2022</v>
          </cell>
          <cell r="J2774" t="str">
            <v>20.10.2022</v>
          </cell>
          <cell r="K2774" t="str">
            <v>-</v>
          </cell>
          <cell r="L2774" t="str">
            <v>OK</v>
          </cell>
        </row>
        <row r="2775">
          <cell r="A2775" t="str">
            <v>AHW-45198I22</v>
          </cell>
          <cell r="B2775">
            <v>4009882</v>
          </cell>
          <cell r="C2775" t="str">
            <v>Original</v>
          </cell>
          <cell r="D2775" t="str">
            <v>CTS</v>
          </cell>
          <cell r="E2775" t="str">
            <v>JP</v>
          </cell>
          <cell r="F2775">
            <v>44851</v>
          </cell>
          <cell r="G2775">
            <v>44859</v>
          </cell>
          <cell r="H2775">
            <v>44861</v>
          </cell>
          <cell r="I2775" t="str">
            <v>26.10.2022</v>
          </cell>
          <cell r="J2775" t="str">
            <v>20.10.2022</v>
          </cell>
          <cell r="K2775" t="str">
            <v>-</v>
          </cell>
          <cell r="L2775" t="str">
            <v>OK</v>
          </cell>
        </row>
        <row r="2776">
          <cell r="A2776" t="str">
            <v>AHW-45243I22</v>
          </cell>
          <cell r="B2776">
            <v>4009884</v>
          </cell>
          <cell r="C2776" t="str">
            <v>Original</v>
          </cell>
          <cell r="D2776" t="str">
            <v>CTS</v>
          </cell>
          <cell r="E2776" t="str">
            <v>JP</v>
          </cell>
          <cell r="F2776">
            <v>44851</v>
          </cell>
          <cell r="G2776">
            <v>44859</v>
          </cell>
          <cell r="H2776">
            <v>44861</v>
          </cell>
          <cell r="I2776" t="str">
            <v>26.10.2022</v>
          </cell>
          <cell r="J2776" t="str">
            <v>20.10.2022</v>
          </cell>
          <cell r="K2776" t="str">
            <v>-</v>
          </cell>
          <cell r="L2776" t="str">
            <v>OK</v>
          </cell>
        </row>
        <row r="2777">
          <cell r="A2777" t="str">
            <v>AHW-45252I22</v>
          </cell>
          <cell r="B2777">
            <v>4009889</v>
          </cell>
          <cell r="C2777" t="str">
            <v>Original</v>
          </cell>
          <cell r="D2777" t="str">
            <v>CTS</v>
          </cell>
          <cell r="E2777" t="str">
            <v>JP</v>
          </cell>
          <cell r="F2777">
            <v>44851</v>
          </cell>
          <cell r="G2777">
            <v>44859</v>
          </cell>
          <cell r="H2777">
            <v>44861</v>
          </cell>
          <cell r="I2777" t="str">
            <v>26.10.2022</v>
          </cell>
          <cell r="J2777" t="str">
            <v>20.10.2022</v>
          </cell>
          <cell r="K2777" t="str">
            <v>-</v>
          </cell>
          <cell r="L2777" t="str">
            <v>OK</v>
          </cell>
        </row>
        <row r="2778">
          <cell r="A2778" t="str">
            <v>AHW-45197I22</v>
          </cell>
          <cell r="B2778">
            <v>4010357</v>
          </cell>
          <cell r="C2778" t="str">
            <v>Original</v>
          </cell>
          <cell r="D2778" t="str">
            <v>CTS</v>
          </cell>
          <cell r="E2778" t="str">
            <v>JP</v>
          </cell>
          <cell r="F2778">
            <v>44854</v>
          </cell>
          <cell r="G2778">
            <v>44862</v>
          </cell>
          <cell r="H2778">
            <v>44864</v>
          </cell>
          <cell r="I2778" t="str">
            <v>26.10.2022</v>
          </cell>
          <cell r="J2778" t="str">
            <v>25.10.2022</v>
          </cell>
          <cell r="K2778" t="str">
            <v>-</v>
          </cell>
          <cell r="L2778" t="str">
            <v>OK</v>
          </cell>
        </row>
        <row r="2779">
          <cell r="A2779" t="str">
            <v>AHW-45251I22</v>
          </cell>
          <cell r="B2779">
            <v>4009883</v>
          </cell>
          <cell r="C2779" t="str">
            <v>Original</v>
          </cell>
          <cell r="D2779" t="str">
            <v>CTS</v>
          </cell>
          <cell r="E2779" t="str">
            <v>JP</v>
          </cell>
          <cell r="F2779">
            <v>44854</v>
          </cell>
          <cell r="G2779">
            <v>44862</v>
          </cell>
          <cell r="H2779">
            <v>44864</v>
          </cell>
          <cell r="I2779" t="str">
            <v>26.10.2022</v>
          </cell>
          <cell r="J2779" t="str">
            <v>25.10.2022</v>
          </cell>
          <cell r="K2779" t="str">
            <v>-</v>
          </cell>
          <cell r="L2779" t="str">
            <v>OK</v>
          </cell>
        </row>
        <row r="2780">
          <cell r="A2780" t="str">
            <v>AMS-45291I22</v>
          </cell>
          <cell r="B2780" t="str">
            <v>1Z6469V00475038840</v>
          </cell>
          <cell r="C2780" t="str">
            <v>Brasiliense</v>
          </cell>
          <cell r="D2780" t="str">
            <v>UPS</v>
          </cell>
          <cell r="E2780" t="str">
            <v>Future</v>
          </cell>
          <cell r="F2780">
            <v>44844</v>
          </cell>
          <cell r="G2780">
            <v>44852</v>
          </cell>
          <cell r="H2780">
            <v>44854</v>
          </cell>
          <cell r="I2780" t="str">
            <v>20.10.2022</v>
          </cell>
          <cell r="J2780" t="str">
            <v>25.10.2022</v>
          </cell>
          <cell r="K2780" t="str">
            <v>24.10.2022</v>
          </cell>
          <cell r="L2780" t="str">
            <v>OK</v>
          </cell>
        </row>
        <row r="2781">
          <cell r="A2781" t="str">
            <v>AMS-45292I22</v>
          </cell>
          <cell r="B2781" t="str">
            <v>1Z6469V00474614059</v>
          </cell>
          <cell r="C2781" t="str">
            <v>Brasiliense</v>
          </cell>
          <cell r="D2781" t="str">
            <v>UPS</v>
          </cell>
          <cell r="E2781" t="str">
            <v>Future</v>
          </cell>
          <cell r="F2781">
            <v>44844</v>
          </cell>
          <cell r="G2781">
            <v>44852</v>
          </cell>
          <cell r="H2781">
            <v>44854</v>
          </cell>
          <cell r="I2781" t="str">
            <v>20.10.2022</v>
          </cell>
          <cell r="J2781" t="str">
            <v>25.10.2022</v>
          </cell>
          <cell r="K2781" t="str">
            <v>24.10.2022</v>
          </cell>
          <cell r="L2781" t="str">
            <v>OK</v>
          </cell>
        </row>
        <row r="2782">
          <cell r="A2782" t="str">
            <v>AMS-45293I22</v>
          </cell>
          <cell r="B2782" t="str">
            <v>1Z6469V00475314765</v>
          </cell>
          <cell r="C2782" t="str">
            <v>Brasiliense</v>
          </cell>
          <cell r="D2782" t="str">
            <v>UPS</v>
          </cell>
          <cell r="E2782" t="str">
            <v>Future</v>
          </cell>
          <cell r="F2782">
            <v>44844</v>
          </cell>
          <cell r="G2782">
            <v>44852</v>
          </cell>
          <cell r="H2782">
            <v>44854</v>
          </cell>
          <cell r="I2782" t="str">
            <v>20.10.2022</v>
          </cell>
          <cell r="J2782" t="str">
            <v>25.10.2022</v>
          </cell>
          <cell r="K2782" t="str">
            <v>24.10.2022</v>
          </cell>
          <cell r="L2782" t="str">
            <v>OK</v>
          </cell>
        </row>
        <row r="2783">
          <cell r="A2783" t="str">
            <v>AMS-45365I22</v>
          </cell>
          <cell r="B2783" t="str">
            <v>1Z6469V00475983364</v>
          </cell>
          <cell r="C2783" t="str">
            <v>Brasiliense</v>
          </cell>
          <cell r="D2783" t="str">
            <v>UPS</v>
          </cell>
          <cell r="E2783" t="str">
            <v>Future</v>
          </cell>
          <cell r="F2783">
            <v>44859</v>
          </cell>
          <cell r="G2783">
            <v>44867</v>
          </cell>
          <cell r="H2783">
            <v>44869</v>
          </cell>
          <cell r="I2783" t="str">
            <v>20.10.2022</v>
          </cell>
          <cell r="J2783" t="str">
            <v>25.10.2022</v>
          </cell>
          <cell r="K2783" t="str">
            <v>24.10.2022</v>
          </cell>
          <cell r="L2783" t="str">
            <v>OK</v>
          </cell>
        </row>
        <row r="2784">
          <cell r="A2784" t="str">
            <v>AHW-45250I22</v>
          </cell>
          <cell r="B2784">
            <v>4009915</v>
          </cell>
          <cell r="C2784" t="str">
            <v>Original</v>
          </cell>
          <cell r="D2784" t="str">
            <v>CTS</v>
          </cell>
          <cell r="E2784" t="str">
            <v>JP</v>
          </cell>
          <cell r="F2784">
            <v>44858</v>
          </cell>
          <cell r="G2784">
            <v>44866</v>
          </cell>
          <cell r="H2784">
            <v>44868</v>
          </cell>
          <cell r="I2784" t="str">
            <v>07.11.2022</v>
          </cell>
          <cell r="J2784" t="str">
            <v>25.10.2022</v>
          </cell>
          <cell r="K2784" t="str">
            <v>-</v>
          </cell>
          <cell r="L2784" t="str">
            <v>OK</v>
          </cell>
        </row>
        <row r="2785">
          <cell r="A2785" t="str">
            <v>AHW-45244I22</v>
          </cell>
          <cell r="B2785">
            <v>4009908</v>
          </cell>
          <cell r="C2785" t="str">
            <v>Original</v>
          </cell>
          <cell r="D2785" t="str">
            <v>CTS</v>
          </cell>
          <cell r="E2785" t="str">
            <v>JP</v>
          </cell>
          <cell r="F2785">
            <v>44858</v>
          </cell>
          <cell r="G2785">
            <v>44866</v>
          </cell>
          <cell r="H2785">
            <v>44868</v>
          </cell>
          <cell r="I2785" t="str">
            <v>07.11.2022</v>
          </cell>
          <cell r="J2785" t="str">
            <v>04.11.2022</v>
          </cell>
          <cell r="K2785" t="str">
            <v>-</v>
          </cell>
          <cell r="L2785" t="str">
            <v>OK</v>
          </cell>
        </row>
        <row r="2786">
          <cell r="A2786" t="str">
            <v>AHW-45245I22</v>
          </cell>
          <cell r="B2786">
            <v>4009907</v>
          </cell>
          <cell r="C2786" t="str">
            <v>Original</v>
          </cell>
          <cell r="D2786" t="str">
            <v>CTS</v>
          </cell>
          <cell r="E2786" t="str">
            <v>JP</v>
          </cell>
          <cell r="F2786">
            <v>44858</v>
          </cell>
          <cell r="G2786">
            <v>44866</v>
          </cell>
          <cell r="H2786">
            <v>44868</v>
          </cell>
          <cell r="I2786" t="str">
            <v>07.11.2022</v>
          </cell>
          <cell r="J2786" t="str">
            <v>04.11.2022</v>
          </cell>
          <cell r="K2786" t="str">
            <v>-</v>
          </cell>
          <cell r="L2786" t="str">
            <v>OK</v>
          </cell>
        </row>
        <row r="2787">
          <cell r="A2787" t="str">
            <v>AHW-45246I22</v>
          </cell>
          <cell r="B2787">
            <v>4009914</v>
          </cell>
          <cell r="C2787" t="str">
            <v>Original</v>
          </cell>
          <cell r="D2787" t="str">
            <v>CTS</v>
          </cell>
          <cell r="E2787" t="str">
            <v>JP</v>
          </cell>
          <cell r="F2787">
            <v>44858</v>
          </cell>
          <cell r="G2787">
            <v>44866</v>
          </cell>
          <cell r="H2787">
            <v>44868</v>
          </cell>
          <cell r="I2787" t="str">
            <v>07.11.2022</v>
          </cell>
          <cell r="J2787" t="str">
            <v>04.11.2022</v>
          </cell>
          <cell r="K2787" t="str">
            <v>-</v>
          </cell>
          <cell r="L2787" t="str">
            <v>OK</v>
          </cell>
        </row>
        <row r="2788">
          <cell r="A2788" t="str">
            <v>AHW-45247I22</v>
          </cell>
          <cell r="B2788">
            <v>4009921</v>
          </cell>
          <cell r="C2788" t="str">
            <v>Original</v>
          </cell>
          <cell r="D2788" t="str">
            <v>CTS</v>
          </cell>
          <cell r="E2788" t="str">
            <v>JP</v>
          </cell>
          <cell r="F2788">
            <v>44858</v>
          </cell>
          <cell r="G2788">
            <v>44866</v>
          </cell>
          <cell r="H2788">
            <v>44868</v>
          </cell>
          <cell r="I2788" t="str">
            <v>07.11.2022</v>
          </cell>
          <cell r="J2788" t="str">
            <v>04.11.2022</v>
          </cell>
          <cell r="K2788" t="str">
            <v>-</v>
          </cell>
          <cell r="L2788" t="str">
            <v>OK</v>
          </cell>
        </row>
        <row r="2789">
          <cell r="A2789" t="str">
            <v>AHW-45287I22</v>
          </cell>
          <cell r="B2789" t="str">
            <v>CTS4009939</v>
          </cell>
          <cell r="C2789" t="str">
            <v>Original</v>
          </cell>
          <cell r="D2789" t="str">
            <v>CTS</v>
          </cell>
          <cell r="E2789" t="str">
            <v>JP</v>
          </cell>
          <cell r="F2789">
            <v>44858</v>
          </cell>
          <cell r="G2789">
            <v>44866</v>
          </cell>
          <cell r="H2789">
            <v>44868</v>
          </cell>
          <cell r="I2789" t="str">
            <v>07.11.2022</v>
          </cell>
          <cell r="J2789" t="str">
            <v>04.11.2022</v>
          </cell>
          <cell r="K2789" t="str">
            <v>-</v>
          </cell>
          <cell r="L2789" t="str">
            <v>OK</v>
          </cell>
        </row>
        <row r="2790">
          <cell r="A2790" t="str">
            <v>AHW-45288I22</v>
          </cell>
          <cell r="B2790" t="str">
            <v>CTS4009930</v>
          </cell>
          <cell r="C2790" t="str">
            <v>Original</v>
          </cell>
          <cell r="D2790" t="str">
            <v>CTS</v>
          </cell>
          <cell r="E2790" t="str">
            <v>JP</v>
          </cell>
          <cell r="F2790">
            <v>44858</v>
          </cell>
          <cell r="G2790">
            <v>44866</v>
          </cell>
          <cell r="H2790">
            <v>44868</v>
          </cell>
          <cell r="I2790" t="str">
            <v>07.11.2022</v>
          </cell>
          <cell r="J2790" t="str">
            <v>04.11.2022</v>
          </cell>
          <cell r="K2790" t="str">
            <v>-</v>
          </cell>
          <cell r="L2790" t="str">
            <v>OK</v>
          </cell>
        </row>
        <row r="2791">
          <cell r="A2791" t="str">
            <v>AHW-45368I22</v>
          </cell>
          <cell r="B2791" t="str">
            <v>CTS4009954</v>
          </cell>
          <cell r="C2791" t="str">
            <v>Original</v>
          </cell>
          <cell r="D2791" t="str">
            <v>CTS</v>
          </cell>
          <cell r="E2791" t="str">
            <v>JP</v>
          </cell>
          <cell r="F2791">
            <v>44858</v>
          </cell>
          <cell r="G2791">
            <v>44866</v>
          </cell>
          <cell r="H2791">
            <v>44868</v>
          </cell>
          <cell r="I2791" t="str">
            <v>07.11.2022</v>
          </cell>
          <cell r="J2791" t="str">
            <v>04.11.2022</v>
          </cell>
          <cell r="K2791" t="str">
            <v>-</v>
          </cell>
          <cell r="L2791" t="str">
            <v>OK</v>
          </cell>
        </row>
        <row r="2792">
          <cell r="A2792" t="str">
            <v>AHW-45249I22</v>
          </cell>
          <cell r="B2792">
            <v>4009910</v>
          </cell>
          <cell r="C2792" t="str">
            <v>Original</v>
          </cell>
          <cell r="D2792" t="str">
            <v>CTS</v>
          </cell>
          <cell r="E2792" t="str">
            <v>JP</v>
          </cell>
          <cell r="F2792">
            <v>44859</v>
          </cell>
          <cell r="G2792">
            <v>44867</v>
          </cell>
          <cell r="H2792">
            <v>44869</v>
          </cell>
          <cell r="I2792" t="str">
            <v>07.11.2022</v>
          </cell>
          <cell r="J2792" t="str">
            <v>04.11.2022</v>
          </cell>
          <cell r="K2792" t="str">
            <v>-</v>
          </cell>
          <cell r="L2792" t="str">
            <v>OK</v>
          </cell>
        </row>
        <row r="2793">
          <cell r="A2793" t="str">
            <v>AHW-45369I22</v>
          </cell>
          <cell r="B2793" t="str">
            <v>CTS4009942</v>
          </cell>
          <cell r="C2793" t="str">
            <v>Original</v>
          </cell>
          <cell r="D2793" t="str">
            <v>CTS</v>
          </cell>
          <cell r="E2793" t="str">
            <v>JP</v>
          </cell>
          <cell r="F2793">
            <v>44859</v>
          </cell>
          <cell r="G2793">
            <v>44867</v>
          </cell>
          <cell r="H2793">
            <v>44869</v>
          </cell>
          <cell r="I2793" t="str">
            <v>07.11.2022</v>
          </cell>
          <cell r="J2793" t="str">
            <v>04.11.2022</v>
          </cell>
          <cell r="K2793" t="str">
            <v>-</v>
          </cell>
          <cell r="L2793" t="str">
            <v>OK</v>
          </cell>
        </row>
        <row r="2794">
          <cell r="A2794" t="str">
            <v>AHW-45297I22</v>
          </cell>
          <cell r="B2794" t="str">
            <v>CTS4009944</v>
          </cell>
          <cell r="C2794" t="str">
            <v>Original</v>
          </cell>
          <cell r="D2794" t="str">
            <v>CTS</v>
          </cell>
          <cell r="E2794" t="str">
            <v>JP</v>
          </cell>
          <cell r="F2794">
            <v>44859</v>
          </cell>
          <cell r="G2794">
            <v>44867</v>
          </cell>
          <cell r="H2794">
            <v>44869</v>
          </cell>
          <cell r="I2794" t="str">
            <v>07.11.2022</v>
          </cell>
          <cell r="J2794" t="str">
            <v>04.11.2022</v>
          </cell>
          <cell r="K2794" t="str">
            <v>-</v>
          </cell>
          <cell r="L2794" t="str">
            <v>OK</v>
          </cell>
        </row>
        <row r="2795">
          <cell r="A2795" t="str">
            <v>AHW-45298I22</v>
          </cell>
          <cell r="B2795" t="str">
            <v>CTS4009945</v>
          </cell>
          <cell r="C2795" t="str">
            <v>Original</v>
          </cell>
          <cell r="D2795" t="str">
            <v>CTS</v>
          </cell>
          <cell r="E2795" t="str">
            <v>JP</v>
          </cell>
          <cell r="F2795">
            <v>44859</v>
          </cell>
          <cell r="G2795">
            <v>44867</v>
          </cell>
          <cell r="H2795">
            <v>44869</v>
          </cell>
          <cell r="I2795" t="str">
            <v>07.11.2022</v>
          </cell>
          <cell r="J2795" t="str">
            <v>04.11.2022</v>
          </cell>
          <cell r="K2795" t="str">
            <v>-</v>
          </cell>
          <cell r="L2795" t="str">
            <v>OK</v>
          </cell>
        </row>
        <row r="2796">
          <cell r="A2796" t="str">
            <v>AMS-45428I22</v>
          </cell>
          <cell r="B2796" t="str">
            <v>1Z6469V00474512847</v>
          </cell>
          <cell r="C2796" t="str">
            <v>Brasiliense</v>
          </cell>
          <cell r="D2796" t="str">
            <v>UPS</v>
          </cell>
          <cell r="E2796" t="str">
            <v>Future</v>
          </cell>
          <cell r="F2796">
            <v>44865</v>
          </cell>
          <cell r="G2796">
            <v>44873</v>
          </cell>
          <cell r="H2796">
            <v>44875</v>
          </cell>
          <cell r="I2796" t="str">
            <v>01.11.2022</v>
          </cell>
          <cell r="J2796" t="str">
            <v>04.11.2022</v>
          </cell>
          <cell r="K2796" t="str">
            <v>01.11.2022</v>
          </cell>
          <cell r="L2796" t="str">
            <v>OK</v>
          </cell>
        </row>
        <row r="2797">
          <cell r="A2797" t="str">
            <v>AMS-45429I22</v>
          </cell>
          <cell r="B2797" t="str">
            <v>1Z6469V00473128050</v>
          </cell>
          <cell r="C2797" t="str">
            <v>Brasiliense</v>
          </cell>
          <cell r="D2797" t="str">
            <v>UPS</v>
          </cell>
          <cell r="E2797" t="str">
            <v>Future</v>
          </cell>
          <cell r="F2797">
            <v>44865</v>
          </cell>
          <cell r="G2797">
            <v>44873</v>
          </cell>
          <cell r="H2797">
            <v>44875</v>
          </cell>
          <cell r="I2797" t="str">
            <v>01.11.2022</v>
          </cell>
          <cell r="J2797" t="str">
            <v>04.11.2022</v>
          </cell>
          <cell r="K2797" t="str">
            <v>01.11.2022</v>
          </cell>
          <cell r="L2797" t="str">
            <v>OK</v>
          </cell>
        </row>
        <row r="2798">
          <cell r="A2798" t="str">
            <v>AMS-45430I22</v>
          </cell>
          <cell r="B2798" t="str">
            <v>1Z6469V00473159866</v>
          </cell>
          <cell r="C2798" t="str">
            <v>Brasiliense</v>
          </cell>
          <cell r="D2798" t="str">
            <v>UPS</v>
          </cell>
          <cell r="E2798" t="str">
            <v>Future</v>
          </cell>
          <cell r="F2798">
            <v>44865</v>
          </cell>
          <cell r="G2798">
            <v>44873</v>
          </cell>
          <cell r="H2798">
            <v>44875</v>
          </cell>
          <cell r="I2798" t="str">
            <v>01.11.2022</v>
          </cell>
          <cell r="J2798" t="str">
            <v>04.11.2022</v>
          </cell>
          <cell r="K2798" t="str">
            <v>01.11.2022</v>
          </cell>
          <cell r="L2798" t="str">
            <v>OK</v>
          </cell>
        </row>
        <row r="2799">
          <cell r="A2799" t="str">
            <v>AMS-45431I22</v>
          </cell>
          <cell r="B2799" t="str">
            <v>1Z6469V00473503304</v>
          </cell>
          <cell r="C2799" t="str">
            <v>Brasiliense</v>
          </cell>
          <cell r="D2799" t="str">
            <v>UPS</v>
          </cell>
          <cell r="E2799" t="str">
            <v>Future</v>
          </cell>
          <cell r="F2799">
            <v>44865</v>
          </cell>
          <cell r="G2799">
            <v>44873</v>
          </cell>
          <cell r="H2799">
            <v>44875</v>
          </cell>
          <cell r="I2799" t="str">
            <v>01.11.2022</v>
          </cell>
          <cell r="J2799" t="str">
            <v>07.11.2022</v>
          </cell>
          <cell r="K2799" t="str">
            <v>01.11.2022</v>
          </cell>
          <cell r="L2799" t="str">
            <v>OK</v>
          </cell>
        </row>
        <row r="2800">
          <cell r="A2800" t="str">
            <v>AMS-45432I22</v>
          </cell>
          <cell r="B2800" t="str">
            <v>1Z6469V00473438233</v>
          </cell>
          <cell r="C2800" t="str">
            <v>Brasiliense</v>
          </cell>
          <cell r="D2800" t="str">
            <v>UPS</v>
          </cell>
          <cell r="E2800" t="str">
            <v>Future</v>
          </cell>
          <cell r="F2800">
            <v>44865</v>
          </cell>
          <cell r="G2800">
            <v>44873</v>
          </cell>
          <cell r="H2800">
            <v>44875</v>
          </cell>
          <cell r="I2800" t="str">
            <v>01.11.2022</v>
          </cell>
          <cell r="J2800" t="str">
            <v>07.11.2022</v>
          </cell>
          <cell r="K2800" t="str">
            <v>01.11.2022</v>
          </cell>
          <cell r="L2800" t="str">
            <v>OK</v>
          </cell>
        </row>
        <row r="2801">
          <cell r="A2801" t="str">
            <v>AMS-45483I22</v>
          </cell>
          <cell r="B2801" t="str">
            <v>1Z6469V00474516343</v>
          </cell>
          <cell r="C2801" t="str">
            <v>Brasiliense</v>
          </cell>
          <cell r="D2801" t="str">
            <v>UPS</v>
          </cell>
          <cell r="E2801" t="str">
            <v>Future</v>
          </cell>
          <cell r="F2801">
            <v>44862</v>
          </cell>
          <cell r="G2801">
            <v>44870</v>
          </cell>
          <cell r="H2801">
            <v>44872</v>
          </cell>
          <cell r="I2801" t="str">
            <v>01.11.2022</v>
          </cell>
          <cell r="J2801" t="str">
            <v>07.11.2022</v>
          </cell>
          <cell r="K2801" t="str">
            <v>01.11.2022</v>
          </cell>
          <cell r="L2801" t="str">
            <v>OK</v>
          </cell>
        </row>
        <row r="2802">
          <cell r="A2802" t="str">
            <v>AMS-45484I22</v>
          </cell>
          <cell r="B2802" t="str">
            <v>1Z6469V00474431738</v>
          </cell>
          <cell r="C2802" t="str">
            <v>Brasiliense</v>
          </cell>
          <cell r="D2802" t="str">
            <v>UPS</v>
          </cell>
          <cell r="E2802" t="str">
            <v>Future</v>
          </cell>
          <cell r="F2802">
            <v>44862</v>
          </cell>
          <cell r="G2802">
            <v>44870</v>
          </cell>
          <cell r="H2802">
            <v>44872</v>
          </cell>
          <cell r="I2802" t="str">
            <v>01.11.2022</v>
          </cell>
          <cell r="J2802" t="str">
            <v>07.11.2022</v>
          </cell>
          <cell r="K2802" t="str">
            <v>01.11.2022</v>
          </cell>
          <cell r="L2802" t="str">
            <v>OK</v>
          </cell>
        </row>
        <row r="2803">
          <cell r="A2803" t="str">
            <v>AMS-45485I22</v>
          </cell>
          <cell r="B2803" t="str">
            <v>1Z6469V00475741553</v>
          </cell>
          <cell r="C2803" t="str">
            <v>Brasiliense</v>
          </cell>
          <cell r="D2803" t="str">
            <v>UPS</v>
          </cell>
          <cell r="E2803" t="str">
            <v>Future</v>
          </cell>
          <cell r="F2803">
            <v>44862</v>
          </cell>
          <cell r="G2803">
            <v>44870</v>
          </cell>
          <cell r="H2803">
            <v>44872</v>
          </cell>
          <cell r="I2803" t="str">
            <v>01.11.2022</v>
          </cell>
          <cell r="J2803" t="str">
            <v>07.11.2022</v>
          </cell>
          <cell r="K2803" t="str">
            <v>01.11.2022</v>
          </cell>
          <cell r="L2803" t="str">
            <v>OK</v>
          </cell>
        </row>
        <row r="2804">
          <cell r="A2804" t="str">
            <v>SHW-44773I22</v>
          </cell>
          <cell r="B2804" t="str">
            <v>EGLV149206769407</v>
          </cell>
          <cell r="C2804" t="str">
            <v>Original</v>
          </cell>
          <cell r="D2804" t="str">
            <v>Shenker</v>
          </cell>
          <cell r="E2804" t="str">
            <v>Unitrading</v>
          </cell>
          <cell r="F2804">
            <v>44861</v>
          </cell>
          <cell r="G2804">
            <v>44869</v>
          </cell>
          <cell r="H2804">
            <v>44871</v>
          </cell>
          <cell r="I2804" t="str">
            <v>07.11.2022</v>
          </cell>
          <cell r="J2804" t="str">
            <v>01.11.2022</v>
          </cell>
          <cell r="K2804" t="str">
            <v>-</v>
          </cell>
          <cell r="L2804" t="str">
            <v>OK</v>
          </cell>
        </row>
        <row r="2805">
          <cell r="A2805" t="str">
            <v>SHW-44774I22</v>
          </cell>
          <cell r="B2805" t="str">
            <v>EGLV149206360037</v>
          </cell>
          <cell r="C2805" t="str">
            <v>Original</v>
          </cell>
          <cell r="D2805" t="str">
            <v>Shenker</v>
          </cell>
          <cell r="E2805" t="str">
            <v>Unitrading</v>
          </cell>
          <cell r="F2805">
            <v>44861</v>
          </cell>
          <cell r="G2805">
            <v>44869</v>
          </cell>
          <cell r="H2805">
            <v>44871</v>
          </cell>
          <cell r="I2805" t="str">
            <v>07.11.2022</v>
          </cell>
          <cell r="J2805" t="str">
            <v>01.11.2022</v>
          </cell>
          <cell r="K2805" t="str">
            <v>-</v>
          </cell>
          <cell r="L2805" t="str">
            <v>OK</v>
          </cell>
        </row>
        <row r="2806">
          <cell r="A2806" t="str">
            <v>SHW-44775I22</v>
          </cell>
          <cell r="B2806" t="str">
            <v>EGLV149206712707</v>
          </cell>
          <cell r="C2806" t="str">
            <v>Original</v>
          </cell>
          <cell r="D2806" t="str">
            <v>Shenker</v>
          </cell>
          <cell r="E2806" t="str">
            <v>Unitrading</v>
          </cell>
          <cell r="F2806">
            <v>44860</v>
          </cell>
          <cell r="G2806">
            <v>44868</v>
          </cell>
          <cell r="H2806">
            <v>44870</v>
          </cell>
          <cell r="I2806" t="str">
            <v>07.11.2022</v>
          </cell>
          <cell r="J2806" t="str">
            <v>01.11.2022</v>
          </cell>
          <cell r="K2806" t="str">
            <v>-</v>
          </cell>
          <cell r="L2806" t="str">
            <v>OK</v>
          </cell>
        </row>
        <row r="2807">
          <cell r="A2807" t="str">
            <v>SHW-44776I22</v>
          </cell>
          <cell r="B2807" t="str">
            <v>EGLV149206712456</v>
          </cell>
          <cell r="C2807" t="str">
            <v>Original</v>
          </cell>
          <cell r="D2807" t="str">
            <v>Shenker</v>
          </cell>
          <cell r="E2807" t="str">
            <v>Unitrading</v>
          </cell>
          <cell r="F2807">
            <v>44860</v>
          </cell>
          <cell r="G2807">
            <v>44868</v>
          </cell>
          <cell r="H2807">
            <v>44870</v>
          </cell>
          <cell r="I2807" t="str">
            <v>07.11.2022</v>
          </cell>
          <cell r="J2807" t="str">
            <v>01.11.2022</v>
          </cell>
          <cell r="K2807" t="str">
            <v>-</v>
          </cell>
          <cell r="L2807" t="str">
            <v>OK</v>
          </cell>
        </row>
        <row r="2808">
          <cell r="A2808" t="str">
            <v>SHW-44915I22</v>
          </cell>
          <cell r="B2808" t="str">
            <v>EGLV149206857993</v>
          </cell>
          <cell r="C2808" t="str">
            <v>Original</v>
          </cell>
          <cell r="D2808" t="str">
            <v>Shenker</v>
          </cell>
          <cell r="E2808" t="str">
            <v>Unitrading</v>
          </cell>
          <cell r="F2808">
            <v>44861</v>
          </cell>
          <cell r="G2808">
            <v>44869</v>
          </cell>
          <cell r="H2808">
            <v>44871</v>
          </cell>
          <cell r="I2808" t="str">
            <v>07.11.2022</v>
          </cell>
          <cell r="J2808" t="str">
            <v>01.11.2022</v>
          </cell>
          <cell r="K2808" t="str">
            <v>-</v>
          </cell>
          <cell r="L2808" t="str">
            <v xml:space="preserve">OK </v>
          </cell>
        </row>
        <row r="2809">
          <cell r="A2809" t="str">
            <v>SHW-44693I22</v>
          </cell>
          <cell r="B2809" t="str">
            <v>EGLV149206669062</v>
          </cell>
          <cell r="C2809" t="str">
            <v>Original</v>
          </cell>
          <cell r="D2809" t="str">
            <v>Shenker</v>
          </cell>
          <cell r="E2809" t="str">
            <v>Unitrading</v>
          </cell>
          <cell r="F2809">
            <v>44862</v>
          </cell>
          <cell r="G2809">
            <v>44870</v>
          </cell>
          <cell r="H2809">
            <v>44872</v>
          </cell>
          <cell r="I2809" t="str">
            <v>07.11.2022</v>
          </cell>
          <cell r="J2809" t="str">
            <v>01.11.2022</v>
          </cell>
          <cell r="K2809" t="str">
            <v>-</v>
          </cell>
          <cell r="L2809" t="str">
            <v xml:space="preserve">OK </v>
          </cell>
        </row>
        <row r="2810">
          <cell r="A2810" t="str">
            <v>SHW-44656I22</v>
          </cell>
          <cell r="B2810" t="str">
            <v>EGLV149206361483</v>
          </cell>
          <cell r="C2810" t="str">
            <v>Original</v>
          </cell>
          <cell r="D2810" t="str">
            <v>Shenker</v>
          </cell>
          <cell r="E2810" t="str">
            <v>Unitrading</v>
          </cell>
          <cell r="F2810">
            <v>44862</v>
          </cell>
          <cell r="G2810">
            <v>44870</v>
          </cell>
          <cell r="H2810">
            <v>44872</v>
          </cell>
          <cell r="I2810" t="str">
            <v>07.11.2022</v>
          </cell>
          <cell r="J2810" t="str">
            <v>01.11.2022</v>
          </cell>
          <cell r="K2810" t="str">
            <v>-</v>
          </cell>
          <cell r="L2810" t="str">
            <v xml:space="preserve">OK </v>
          </cell>
        </row>
        <row r="2811">
          <cell r="A2811" t="str">
            <v>AHW-45378I22</v>
          </cell>
          <cell r="B2811">
            <v>4009979</v>
          </cell>
          <cell r="C2811" t="str">
            <v>Original</v>
          </cell>
          <cell r="D2811" t="str">
            <v>CTS</v>
          </cell>
          <cell r="E2811" t="str">
            <v>JP</v>
          </cell>
          <cell r="F2811">
            <v>44865</v>
          </cell>
          <cell r="G2811">
            <v>44873</v>
          </cell>
          <cell r="H2811">
            <v>44875</v>
          </cell>
          <cell r="I2811" t="str">
            <v>07.11.2022</v>
          </cell>
          <cell r="J2811" t="str">
            <v>04.11.2022</v>
          </cell>
          <cell r="K2811" t="str">
            <v>-</v>
          </cell>
          <cell r="L2811" t="str">
            <v xml:space="preserve">OK </v>
          </cell>
        </row>
        <row r="2812">
          <cell r="A2812" t="str">
            <v>AHW-45379I22</v>
          </cell>
          <cell r="B2812">
            <v>4009966</v>
          </cell>
          <cell r="C2812" t="str">
            <v>Original</v>
          </cell>
          <cell r="D2812" t="str">
            <v>CTS</v>
          </cell>
          <cell r="E2812" t="str">
            <v>JP</v>
          </cell>
          <cell r="F2812">
            <v>44865</v>
          </cell>
          <cell r="G2812">
            <v>44873</v>
          </cell>
          <cell r="H2812">
            <v>44875</v>
          </cell>
          <cell r="I2812" t="str">
            <v>07.11.2022</v>
          </cell>
          <cell r="J2812" t="str">
            <v>04.11.2022</v>
          </cell>
          <cell r="K2812" t="str">
            <v>-</v>
          </cell>
          <cell r="L2812" t="str">
            <v xml:space="preserve">OK </v>
          </cell>
        </row>
        <row r="2813">
          <cell r="A2813" t="str">
            <v>AHW-45380I22</v>
          </cell>
          <cell r="B2813">
            <v>4009980</v>
          </cell>
          <cell r="C2813" t="str">
            <v>Original</v>
          </cell>
          <cell r="D2813" t="str">
            <v>CTS</v>
          </cell>
          <cell r="E2813" t="str">
            <v>JP</v>
          </cell>
          <cell r="F2813">
            <v>44865</v>
          </cell>
          <cell r="G2813">
            <v>44873</v>
          </cell>
          <cell r="H2813">
            <v>44875</v>
          </cell>
          <cell r="I2813" t="str">
            <v>07.11.2022</v>
          </cell>
          <cell r="J2813" t="str">
            <v>04.11.2022</v>
          </cell>
          <cell r="K2813" t="str">
            <v>-</v>
          </cell>
          <cell r="L2813" t="str">
            <v xml:space="preserve">OK </v>
          </cell>
        </row>
        <row r="2814">
          <cell r="A2814" t="str">
            <v>AHW-45381I22</v>
          </cell>
          <cell r="B2814">
            <v>4009959</v>
          </cell>
          <cell r="C2814" t="str">
            <v>Original</v>
          </cell>
          <cell r="D2814" t="str">
            <v>CTS</v>
          </cell>
          <cell r="E2814" t="str">
            <v>JP</v>
          </cell>
          <cell r="F2814">
            <v>44865</v>
          </cell>
          <cell r="G2814">
            <v>44873</v>
          </cell>
          <cell r="H2814">
            <v>44875</v>
          </cell>
          <cell r="I2814" t="str">
            <v>07.11.2022</v>
          </cell>
          <cell r="J2814" t="str">
            <v>04.11.2022</v>
          </cell>
          <cell r="K2814" t="str">
            <v>-</v>
          </cell>
          <cell r="L2814" t="str">
            <v xml:space="preserve">OK </v>
          </cell>
        </row>
        <row r="2815">
          <cell r="A2815" t="str">
            <v>AHW-45382I22</v>
          </cell>
          <cell r="B2815">
            <v>4009969</v>
          </cell>
          <cell r="C2815" t="str">
            <v>Original</v>
          </cell>
          <cell r="D2815" t="str">
            <v>CTS</v>
          </cell>
          <cell r="E2815" t="str">
            <v>JP</v>
          </cell>
          <cell r="F2815">
            <v>44865</v>
          </cell>
          <cell r="G2815">
            <v>44873</v>
          </cell>
          <cell r="H2815">
            <v>44875</v>
          </cell>
          <cell r="I2815" t="str">
            <v>07.11.2022</v>
          </cell>
          <cell r="J2815" t="str">
            <v>04.11.2022</v>
          </cell>
          <cell r="K2815" t="str">
            <v>-</v>
          </cell>
          <cell r="L2815" t="str">
            <v xml:space="preserve">OK </v>
          </cell>
        </row>
        <row r="2816">
          <cell r="A2816" t="str">
            <v>AHW-45383I22</v>
          </cell>
          <cell r="B2816">
            <v>4009958</v>
          </cell>
          <cell r="C2816" t="str">
            <v>Original</v>
          </cell>
          <cell r="D2816" t="str">
            <v>CTS</v>
          </cell>
          <cell r="E2816" t="str">
            <v>JP</v>
          </cell>
          <cell r="F2816">
            <v>44865</v>
          </cell>
          <cell r="G2816">
            <v>44873</v>
          </cell>
          <cell r="H2816">
            <v>44875</v>
          </cell>
          <cell r="I2816" t="str">
            <v>07.11.2022</v>
          </cell>
          <cell r="J2816" t="str">
            <v>04.11.2022</v>
          </cell>
          <cell r="K2816" t="str">
            <v>-</v>
          </cell>
          <cell r="L2816" t="str">
            <v xml:space="preserve">OK </v>
          </cell>
        </row>
        <row r="2817">
          <cell r="A2817" t="str">
            <v>AHW-45384I22</v>
          </cell>
          <cell r="B2817">
            <v>4009957</v>
          </cell>
          <cell r="C2817" t="str">
            <v>Original</v>
          </cell>
          <cell r="D2817" t="str">
            <v>CTS</v>
          </cell>
          <cell r="E2817" t="str">
            <v>JP</v>
          </cell>
          <cell r="F2817">
            <v>44865</v>
          </cell>
          <cell r="G2817">
            <v>44873</v>
          </cell>
          <cell r="H2817">
            <v>44875</v>
          </cell>
          <cell r="I2817" t="str">
            <v>09.11.2022</v>
          </cell>
          <cell r="J2817" t="str">
            <v>04.11.2022</v>
          </cell>
          <cell r="K2817" t="str">
            <v>-</v>
          </cell>
          <cell r="L2817" t="str">
            <v>OK</v>
          </cell>
        </row>
        <row r="2818">
          <cell r="A2818" t="str">
            <v>AHW-45385I22</v>
          </cell>
          <cell r="B2818">
            <v>4009978</v>
          </cell>
          <cell r="C2818" t="str">
            <v>Original</v>
          </cell>
          <cell r="D2818" t="str">
            <v>CTS</v>
          </cell>
          <cell r="E2818" t="str">
            <v>JP</v>
          </cell>
          <cell r="F2818">
            <v>44865</v>
          </cell>
          <cell r="G2818">
            <v>44873</v>
          </cell>
          <cell r="H2818">
            <v>44875</v>
          </cell>
          <cell r="I2818" t="str">
            <v>07.11.2022</v>
          </cell>
          <cell r="J2818" t="str">
            <v>04.11.2022</v>
          </cell>
          <cell r="K2818" t="str">
            <v>-</v>
          </cell>
          <cell r="L2818" t="str">
            <v>OK</v>
          </cell>
        </row>
        <row r="2819">
          <cell r="A2819" t="str">
            <v>AHW-45423I22</v>
          </cell>
          <cell r="B2819">
            <v>4009990</v>
          </cell>
          <cell r="C2819" t="str">
            <v>Original</v>
          </cell>
          <cell r="D2819" t="str">
            <v>CTS</v>
          </cell>
          <cell r="E2819" t="str">
            <v>JP</v>
          </cell>
          <cell r="F2819">
            <v>44865</v>
          </cell>
          <cell r="G2819">
            <v>44873</v>
          </cell>
          <cell r="H2819">
            <v>44875</v>
          </cell>
          <cell r="I2819" t="str">
            <v>07.11.2022</v>
          </cell>
          <cell r="J2819" t="str">
            <v>04.11.2022</v>
          </cell>
          <cell r="K2819" t="str">
            <v>-</v>
          </cell>
          <cell r="L2819" t="str">
            <v>OK</v>
          </cell>
        </row>
        <row r="2820">
          <cell r="A2820" t="str">
            <v>AHW-45425I22</v>
          </cell>
          <cell r="B2820">
            <v>4009991</v>
          </cell>
          <cell r="C2820" t="str">
            <v>Original</v>
          </cell>
          <cell r="D2820" t="str">
            <v>CTS</v>
          </cell>
          <cell r="E2820" t="str">
            <v>JP</v>
          </cell>
          <cell r="F2820">
            <v>44865</v>
          </cell>
          <cell r="G2820">
            <v>44873</v>
          </cell>
          <cell r="H2820">
            <v>44875</v>
          </cell>
          <cell r="I2820" t="str">
            <v>07.11.2022</v>
          </cell>
          <cell r="J2820" t="str">
            <v>04.11.2022</v>
          </cell>
          <cell r="K2820" t="str">
            <v>-</v>
          </cell>
          <cell r="L2820" t="str">
            <v>OK</v>
          </cell>
        </row>
        <row r="2821">
          <cell r="A2821" t="str">
            <v>AHW-45455I22</v>
          </cell>
          <cell r="B2821">
            <v>4010001</v>
          </cell>
          <cell r="C2821" t="str">
            <v>Original</v>
          </cell>
          <cell r="D2821" t="str">
            <v>CTS</v>
          </cell>
          <cell r="E2821" t="str">
            <v>JP</v>
          </cell>
          <cell r="F2821">
            <v>44865</v>
          </cell>
          <cell r="G2821">
            <v>44873</v>
          </cell>
          <cell r="H2821">
            <v>44875</v>
          </cell>
          <cell r="I2821" t="str">
            <v>09.11.2022</v>
          </cell>
          <cell r="J2821" t="str">
            <v>07.11.2022</v>
          </cell>
          <cell r="K2821" t="str">
            <v>-</v>
          </cell>
          <cell r="L2821" t="str">
            <v>OK</v>
          </cell>
        </row>
        <row r="2822">
          <cell r="A2822" t="str">
            <v>AHW-45456I22</v>
          </cell>
          <cell r="B2822">
            <v>4009993</v>
          </cell>
          <cell r="C2822" t="str">
            <v>Original</v>
          </cell>
          <cell r="D2822" t="str">
            <v>CTS</v>
          </cell>
          <cell r="E2822" t="str">
            <v>JP</v>
          </cell>
          <cell r="F2822">
            <v>44865</v>
          </cell>
          <cell r="G2822">
            <v>44873</v>
          </cell>
          <cell r="H2822">
            <v>44875</v>
          </cell>
          <cell r="I2822" t="str">
            <v>07.11.2022</v>
          </cell>
          <cell r="J2822" t="str">
            <v>07.11.2022</v>
          </cell>
          <cell r="K2822" t="str">
            <v>-</v>
          </cell>
          <cell r="L2822" t="str">
            <v>OK</v>
          </cell>
        </row>
        <row r="2823">
          <cell r="A2823" t="str">
            <v>AHW-45462I22</v>
          </cell>
          <cell r="B2823">
            <v>4010012</v>
          </cell>
          <cell r="C2823" t="str">
            <v>Original</v>
          </cell>
          <cell r="D2823" t="str">
            <v>CTS</v>
          </cell>
          <cell r="E2823" t="str">
            <v>JP</v>
          </cell>
          <cell r="F2823">
            <v>44865</v>
          </cell>
          <cell r="G2823">
            <v>44873</v>
          </cell>
          <cell r="H2823">
            <v>44875</v>
          </cell>
          <cell r="I2823" t="str">
            <v>07.11.2022</v>
          </cell>
          <cell r="J2823" t="str">
            <v>07.11.2022</v>
          </cell>
          <cell r="K2823" t="str">
            <v>-</v>
          </cell>
          <cell r="L2823" t="str">
            <v>OK</v>
          </cell>
        </row>
        <row r="2824">
          <cell r="A2824" t="str">
            <v>AHW-45367I22</v>
          </cell>
          <cell r="B2824">
            <v>4009955</v>
          </cell>
          <cell r="C2824" t="str">
            <v>Original</v>
          </cell>
          <cell r="D2824" t="str">
            <v>CTS</v>
          </cell>
          <cell r="E2824" t="str">
            <v>JP</v>
          </cell>
          <cell r="F2824">
            <v>44868</v>
          </cell>
          <cell r="G2824">
            <v>44876</v>
          </cell>
          <cell r="H2824">
            <v>44878</v>
          </cell>
          <cell r="I2824" t="str">
            <v>10.11.2022</v>
          </cell>
          <cell r="J2824" t="str">
            <v>08.11.2022</v>
          </cell>
          <cell r="K2824" t="str">
            <v>-</v>
          </cell>
          <cell r="L2824" t="str">
            <v>OK</v>
          </cell>
        </row>
        <row r="2825">
          <cell r="A2825" t="str">
            <v>AHW-45463I22</v>
          </cell>
          <cell r="B2825">
            <v>4010013</v>
          </cell>
          <cell r="C2825" t="str">
            <v>Original</v>
          </cell>
          <cell r="D2825" t="str">
            <v>CTS</v>
          </cell>
          <cell r="E2825" t="str">
            <v>JP</v>
          </cell>
          <cell r="F2825">
            <v>44869</v>
          </cell>
          <cell r="G2825">
            <v>44877</v>
          </cell>
          <cell r="H2825">
            <v>44879</v>
          </cell>
          <cell r="I2825" t="str">
            <v>18.11.2022</v>
          </cell>
          <cell r="J2825" t="str">
            <v>18.11.2022</v>
          </cell>
          <cell r="K2825" t="str">
            <v>-</v>
          </cell>
          <cell r="L2825" t="str">
            <v>OK</v>
          </cell>
        </row>
        <row r="2826">
          <cell r="A2826" t="str">
            <v>AHW-45521I22</v>
          </cell>
          <cell r="B2826">
            <v>4010019</v>
          </cell>
          <cell r="C2826" t="str">
            <v>Original</v>
          </cell>
          <cell r="D2826" t="str">
            <v>CTS</v>
          </cell>
          <cell r="E2826" t="str">
            <v>JP</v>
          </cell>
          <cell r="F2826">
            <v>44869</v>
          </cell>
          <cell r="G2826">
            <v>44877</v>
          </cell>
          <cell r="H2826">
            <v>44879</v>
          </cell>
          <cell r="I2826" t="str">
            <v>18.11.2022</v>
          </cell>
          <cell r="J2826" t="str">
            <v>18.11.2022</v>
          </cell>
          <cell r="K2826" t="str">
            <v>-</v>
          </cell>
          <cell r="L2826" t="str">
            <v>OK</v>
          </cell>
        </row>
        <row r="2827">
          <cell r="A2827" t="str">
            <v>AHW-45522I22</v>
          </cell>
          <cell r="B2827">
            <v>4010028</v>
          </cell>
          <cell r="C2827" t="str">
            <v>Original</v>
          </cell>
          <cell r="D2827" t="str">
            <v>CTS</v>
          </cell>
          <cell r="E2827" t="str">
            <v>JP</v>
          </cell>
          <cell r="F2827">
            <v>44872</v>
          </cell>
          <cell r="G2827">
            <v>44880</v>
          </cell>
          <cell r="H2827">
            <v>44882</v>
          </cell>
          <cell r="I2827" t="str">
            <v>11.11.2022</v>
          </cell>
          <cell r="J2827" t="str">
            <v>18.11.2022</v>
          </cell>
          <cell r="K2827" t="str">
            <v>-</v>
          </cell>
          <cell r="L2827" t="str">
            <v>OK</v>
          </cell>
        </row>
        <row r="2828">
          <cell r="A2828" t="str">
            <v>SHW-44883I22</v>
          </cell>
          <cell r="B2828" t="str">
            <v>EGLV149206360002</v>
          </cell>
          <cell r="C2828" t="str">
            <v>Original</v>
          </cell>
          <cell r="D2828" t="str">
            <v>Shenker</v>
          </cell>
          <cell r="E2828" t="str">
            <v>Unitrading</v>
          </cell>
          <cell r="F2828">
            <v>44872</v>
          </cell>
          <cell r="G2828">
            <v>44880</v>
          </cell>
          <cell r="H2828">
            <v>44882</v>
          </cell>
          <cell r="I2828" t="str">
            <v>16.11.2022</v>
          </cell>
          <cell r="J2828" t="str">
            <v>11.11.2022</v>
          </cell>
          <cell r="K2828" t="str">
            <v>-</v>
          </cell>
          <cell r="L2828" t="str">
            <v xml:space="preserve">OK </v>
          </cell>
        </row>
        <row r="2829">
          <cell r="A2829" t="str">
            <v>SHW-45074I22</v>
          </cell>
          <cell r="B2829" t="str">
            <v>EGLV149206977573</v>
          </cell>
          <cell r="C2829" t="str">
            <v>Original</v>
          </cell>
          <cell r="D2829" t="str">
            <v>Shenker</v>
          </cell>
          <cell r="E2829" t="str">
            <v>Unitrading</v>
          </cell>
          <cell r="F2829">
            <v>44872</v>
          </cell>
          <cell r="G2829">
            <v>44880</v>
          </cell>
          <cell r="H2829">
            <v>44882</v>
          </cell>
          <cell r="I2829" t="str">
            <v>17.11.2022</v>
          </cell>
          <cell r="J2829" t="str">
            <v>11.11.2022</v>
          </cell>
          <cell r="K2829" t="str">
            <v>-</v>
          </cell>
          <cell r="L2829" t="str">
            <v>OK</v>
          </cell>
        </row>
        <row r="2830">
          <cell r="A2830" t="str">
            <v>SHW-45076I22</v>
          </cell>
          <cell r="B2830" t="str">
            <v>EGLV149207047112</v>
          </cell>
          <cell r="C2830" t="str">
            <v>Original</v>
          </cell>
          <cell r="D2830" t="str">
            <v>Shenker</v>
          </cell>
          <cell r="E2830" t="str">
            <v>Unitrading</v>
          </cell>
          <cell r="F2830">
            <v>44873</v>
          </cell>
          <cell r="G2830">
            <v>44881</v>
          </cell>
          <cell r="H2830">
            <v>44883</v>
          </cell>
          <cell r="I2830" t="str">
            <v>17.11.2022</v>
          </cell>
          <cell r="J2830" t="str">
            <v>16.11.2022</v>
          </cell>
          <cell r="K2830" t="str">
            <v>-</v>
          </cell>
          <cell r="L2830" t="str">
            <v>OK</v>
          </cell>
        </row>
        <row r="2831">
          <cell r="A2831" t="str">
            <v>SHW-45150I22</v>
          </cell>
          <cell r="B2831" t="str">
            <v>EGLV149207029580</v>
          </cell>
          <cell r="C2831" t="str">
            <v>Original</v>
          </cell>
          <cell r="D2831" t="str">
            <v>Shenker</v>
          </cell>
          <cell r="E2831" t="str">
            <v>Unitrading</v>
          </cell>
          <cell r="F2831">
            <v>44873</v>
          </cell>
          <cell r="G2831">
            <v>44881</v>
          </cell>
          <cell r="H2831">
            <v>44883</v>
          </cell>
          <cell r="I2831" t="str">
            <v>17.11.2022</v>
          </cell>
          <cell r="J2831" t="str">
            <v>16.11.2022</v>
          </cell>
          <cell r="K2831" t="str">
            <v>-</v>
          </cell>
          <cell r="L2831" t="str">
            <v>OK</v>
          </cell>
        </row>
        <row r="2832">
          <cell r="A2832" t="str">
            <v>AHW-45520I22</v>
          </cell>
          <cell r="B2832">
            <v>4010027</v>
          </cell>
          <cell r="C2832" t="str">
            <v>Original</v>
          </cell>
          <cell r="D2832" t="str">
            <v>CTS</v>
          </cell>
          <cell r="E2832" t="str">
            <v>JP</v>
          </cell>
          <cell r="F2832">
            <v>44874</v>
          </cell>
          <cell r="G2832">
            <v>44882</v>
          </cell>
          <cell r="H2832">
            <v>44884</v>
          </cell>
          <cell r="I2832" t="str">
            <v>11.11.2022</v>
          </cell>
          <cell r="J2832" t="str">
            <v>18.11.2022</v>
          </cell>
          <cell r="K2832" t="str">
            <v>-</v>
          </cell>
          <cell r="L2832" t="str">
            <v>OK</v>
          </cell>
        </row>
        <row r="2833">
          <cell r="A2833" t="str">
            <v>AHW-45424I22</v>
          </cell>
          <cell r="B2833">
            <v>4009992</v>
          </cell>
          <cell r="C2833" t="str">
            <v>Original</v>
          </cell>
          <cell r="D2833" t="str">
            <v>CTS</v>
          </cell>
          <cell r="E2833" t="str">
            <v>JP</v>
          </cell>
          <cell r="F2833">
            <v>44876</v>
          </cell>
          <cell r="G2833">
            <v>44884</v>
          </cell>
          <cell r="H2833">
            <v>44886</v>
          </cell>
          <cell r="I2833" t="str">
            <v>22.11.2022</v>
          </cell>
          <cell r="J2833" t="str">
            <v>18.11.2022</v>
          </cell>
          <cell r="K2833" t="str">
            <v>-</v>
          </cell>
          <cell r="L2833" t="str">
            <v>OK</v>
          </cell>
        </row>
        <row r="2834">
          <cell r="A2834" t="str">
            <v>SHW-45075I22</v>
          </cell>
          <cell r="B2834" t="str">
            <v>EGLV149207014698</v>
          </cell>
          <cell r="C2834" t="str">
            <v>Original</v>
          </cell>
          <cell r="D2834" t="str">
            <v>Shenker</v>
          </cell>
          <cell r="E2834" t="str">
            <v>Unitrading</v>
          </cell>
          <cell r="F2834">
            <v>44876</v>
          </cell>
          <cell r="G2834">
            <v>44884</v>
          </cell>
          <cell r="H2834">
            <v>44886</v>
          </cell>
          <cell r="I2834" t="str">
            <v>17.11.2022</v>
          </cell>
          <cell r="J2834" t="str">
            <v>18.11.2022</v>
          </cell>
          <cell r="K2834" t="str">
            <v>-</v>
          </cell>
          <cell r="L2834" t="str">
            <v>OK</v>
          </cell>
        </row>
        <row r="2835">
          <cell r="A2835" t="str">
            <v>SHW-44919I22</v>
          </cell>
          <cell r="B2835">
            <v>914620309</v>
          </cell>
          <cell r="C2835" t="str">
            <v>Original</v>
          </cell>
          <cell r="D2835" t="str">
            <v>Shenker</v>
          </cell>
          <cell r="E2835" t="str">
            <v>Unitrading</v>
          </cell>
          <cell r="F2835">
            <v>44876</v>
          </cell>
          <cell r="G2835">
            <v>44884</v>
          </cell>
          <cell r="H2835">
            <v>44886</v>
          </cell>
          <cell r="I2835" t="str">
            <v>17.11.2022</v>
          </cell>
          <cell r="J2835" t="str">
            <v>16.11.2022</v>
          </cell>
          <cell r="K2835" t="str">
            <v>-</v>
          </cell>
          <cell r="L2835" t="str">
            <v>OK</v>
          </cell>
        </row>
        <row r="2836">
          <cell r="A2836" t="str">
            <v>SHW-45077I22</v>
          </cell>
          <cell r="B2836">
            <v>221995032</v>
          </cell>
          <cell r="C2836" t="str">
            <v>Original</v>
          </cell>
          <cell r="D2836" t="str">
            <v>Shenker</v>
          </cell>
          <cell r="E2836" t="str">
            <v>Unitrading</v>
          </cell>
          <cell r="F2836">
            <v>44876</v>
          </cell>
          <cell r="G2836">
            <v>44884</v>
          </cell>
          <cell r="H2836">
            <v>44886</v>
          </cell>
          <cell r="I2836" t="str">
            <v>17.11.2022</v>
          </cell>
          <cell r="J2836" t="str">
            <v>16.11.2022</v>
          </cell>
          <cell r="K2836" t="str">
            <v>-</v>
          </cell>
          <cell r="L2836" t="str">
            <v>OK</v>
          </cell>
        </row>
        <row r="2837">
          <cell r="A2837" t="str">
            <v>AHW-45674I22</v>
          </cell>
          <cell r="B2837">
            <v>4010605</v>
          </cell>
          <cell r="C2837" t="str">
            <v>Original</v>
          </cell>
          <cell r="D2837" t="str">
            <v>CTS</v>
          </cell>
          <cell r="E2837" t="str">
            <v>JP</v>
          </cell>
          <cell r="F2837">
            <v>44881</v>
          </cell>
          <cell r="G2837">
            <v>44889</v>
          </cell>
          <cell r="H2837">
            <v>44891</v>
          </cell>
          <cell r="I2837" t="str">
            <v>18.11.2022</v>
          </cell>
          <cell r="J2837" t="str">
            <v>24.11.2022</v>
          </cell>
          <cell r="K2837" t="str">
            <v>-</v>
          </cell>
          <cell r="L2837" t="str">
            <v>OK</v>
          </cell>
        </row>
        <row r="2838">
          <cell r="A2838" t="str">
            <v>AHW-45675I22</v>
          </cell>
          <cell r="B2838">
            <v>4010604</v>
          </cell>
          <cell r="C2838" t="str">
            <v>Original</v>
          </cell>
          <cell r="D2838" t="str">
            <v>CTS</v>
          </cell>
          <cell r="E2838" t="str">
            <v>JP</v>
          </cell>
          <cell r="F2838">
            <v>44881</v>
          </cell>
          <cell r="G2838">
            <v>44889</v>
          </cell>
          <cell r="H2838">
            <v>44891</v>
          </cell>
          <cell r="I2838" t="str">
            <v>22.11.2022</v>
          </cell>
          <cell r="J2838" t="str">
            <v>24.11.2022</v>
          </cell>
          <cell r="K2838" t="str">
            <v>-</v>
          </cell>
          <cell r="L2838" t="str">
            <v>OK</v>
          </cell>
        </row>
        <row r="2839">
          <cell r="A2839" t="str">
            <v>AHW-45676I22</v>
          </cell>
          <cell r="B2839">
            <v>4010606</v>
          </cell>
          <cell r="C2839" t="str">
            <v>Original</v>
          </cell>
          <cell r="D2839" t="str">
            <v>CTS</v>
          </cell>
          <cell r="E2839" t="str">
            <v>JP</v>
          </cell>
          <cell r="F2839">
            <v>44881</v>
          </cell>
          <cell r="G2839">
            <v>44889</v>
          </cell>
          <cell r="H2839">
            <v>44891</v>
          </cell>
          <cell r="I2839" t="str">
            <v>22.11.2022</v>
          </cell>
          <cell r="J2839" t="str">
            <v>05.12.2022</v>
          </cell>
          <cell r="K2839" t="str">
            <v>-</v>
          </cell>
          <cell r="L2839" t="str">
            <v>OK</v>
          </cell>
        </row>
        <row r="2840">
          <cell r="A2840" t="str">
            <v>AHW-45677I22</v>
          </cell>
          <cell r="B2840">
            <v>4010607</v>
          </cell>
          <cell r="C2840" t="str">
            <v>Original</v>
          </cell>
          <cell r="D2840" t="str">
            <v>CTS</v>
          </cell>
          <cell r="E2840" t="str">
            <v>JP</v>
          </cell>
          <cell r="F2840">
            <v>44881</v>
          </cell>
          <cell r="G2840">
            <v>44889</v>
          </cell>
          <cell r="H2840">
            <v>44891</v>
          </cell>
          <cell r="I2840" t="str">
            <v>22.11.2022</v>
          </cell>
          <cell r="J2840" t="str">
            <v>05.12.2022</v>
          </cell>
          <cell r="K2840" t="str">
            <v>-</v>
          </cell>
          <cell r="L2840" t="str">
            <v>OK</v>
          </cell>
        </row>
        <row r="2841">
          <cell r="A2841" t="str">
            <v>AHW-45678I22</v>
          </cell>
          <cell r="B2841">
            <v>4010076</v>
          </cell>
          <cell r="C2841" t="str">
            <v>Original</v>
          </cell>
          <cell r="D2841" t="str">
            <v>CTS</v>
          </cell>
          <cell r="E2841" t="str">
            <v>JP</v>
          </cell>
          <cell r="F2841">
            <v>44881</v>
          </cell>
          <cell r="G2841">
            <v>44889</v>
          </cell>
          <cell r="H2841">
            <v>44891</v>
          </cell>
          <cell r="I2841" t="str">
            <v>22.11.2022</v>
          </cell>
          <cell r="J2841" t="str">
            <v>05.12.2022</v>
          </cell>
          <cell r="K2841" t="str">
            <v>-</v>
          </cell>
          <cell r="L2841" t="str">
            <v>OK</v>
          </cell>
        </row>
        <row r="2842">
          <cell r="A2842" t="str">
            <v>AHW-45679I22</v>
          </cell>
          <cell r="B2842">
            <v>4010608</v>
          </cell>
          <cell r="C2842" t="str">
            <v>Original</v>
          </cell>
          <cell r="D2842" t="str">
            <v>CTS</v>
          </cell>
          <cell r="E2842" t="str">
            <v>JP</v>
          </cell>
          <cell r="F2842">
            <v>44881</v>
          </cell>
          <cell r="G2842">
            <v>44889</v>
          </cell>
          <cell r="H2842">
            <v>44891</v>
          </cell>
          <cell r="I2842" t="str">
            <v>22.11.2022</v>
          </cell>
          <cell r="J2842" t="str">
            <v>05.12.2022</v>
          </cell>
          <cell r="K2842" t="str">
            <v>-</v>
          </cell>
          <cell r="L2842" t="str">
            <v>OK</v>
          </cell>
        </row>
        <row r="2843">
          <cell r="A2843" t="str">
            <v>AMS-45285I22</v>
          </cell>
          <cell r="B2843" t="str">
            <v>MIA2203848</v>
          </cell>
          <cell r="C2843" t="str">
            <v>Original</v>
          </cell>
          <cell r="D2843" t="str">
            <v xml:space="preserve">Asia Shipping </v>
          </cell>
          <cell r="E2843" t="str">
            <v>Future</v>
          </cell>
          <cell r="F2843">
            <v>44862</v>
          </cell>
          <cell r="G2843">
            <v>44870</v>
          </cell>
          <cell r="H2843">
            <v>44872</v>
          </cell>
          <cell r="I2843" t="str">
            <v>17.11.2022</v>
          </cell>
          <cell r="J2843" t="str">
            <v>08.11.2022</v>
          </cell>
          <cell r="K2843" t="str">
            <v>16.11.2022</v>
          </cell>
          <cell r="L2843" t="str">
            <v>OK</v>
          </cell>
        </row>
        <row r="2844">
          <cell r="A2844" t="str">
            <v>AHW-45605I22</v>
          </cell>
          <cell r="B2844">
            <v>4010063</v>
          </cell>
          <cell r="C2844" t="str">
            <v>Original</v>
          </cell>
          <cell r="D2844" t="str">
            <v>CTS</v>
          </cell>
          <cell r="E2844" t="str">
            <v>Rodoimport</v>
          </cell>
          <cell r="F2844">
            <v>44882</v>
          </cell>
          <cell r="G2844">
            <v>44890</v>
          </cell>
          <cell r="H2844">
            <v>44892</v>
          </cell>
          <cell r="I2844" t="str">
            <v>22.11.2022</v>
          </cell>
          <cell r="J2844" t="str">
            <v>24.11.2022</v>
          </cell>
          <cell r="K2844" t="str">
            <v>-</v>
          </cell>
          <cell r="L2844" t="str">
            <v>OK</v>
          </cell>
        </row>
        <row r="2845">
          <cell r="A2845" t="str">
            <v>AHW-45606I22</v>
          </cell>
          <cell r="B2845">
            <v>78284199</v>
          </cell>
          <cell r="C2845" t="str">
            <v>Original</v>
          </cell>
          <cell r="D2845" t="str">
            <v>CEVA</v>
          </cell>
          <cell r="E2845" t="str">
            <v>JP</v>
          </cell>
          <cell r="F2845">
            <v>44882</v>
          </cell>
          <cell r="G2845">
            <v>44890</v>
          </cell>
          <cell r="H2845">
            <v>44892</v>
          </cell>
          <cell r="I2845" t="str">
            <v>22.11.2022</v>
          </cell>
          <cell r="J2845" t="str">
            <v>05.12.2022</v>
          </cell>
          <cell r="K2845" t="str">
            <v>-</v>
          </cell>
          <cell r="L2845" t="str">
            <v>OK</v>
          </cell>
        </row>
        <row r="2846">
          <cell r="A2846" t="str">
            <v>AHW-45607I22</v>
          </cell>
          <cell r="B2846">
            <v>4010064</v>
          </cell>
          <cell r="C2846" t="str">
            <v>Original</v>
          </cell>
          <cell r="D2846" t="str">
            <v>CTS</v>
          </cell>
          <cell r="E2846" t="str">
            <v>JP</v>
          </cell>
          <cell r="F2846">
            <v>44882</v>
          </cell>
          <cell r="G2846">
            <v>44890</v>
          </cell>
          <cell r="H2846">
            <v>44892</v>
          </cell>
          <cell r="I2846" t="str">
            <v>22.11.2022</v>
          </cell>
          <cell r="J2846" t="str">
            <v>05.12.2022</v>
          </cell>
          <cell r="K2846" t="str">
            <v>-</v>
          </cell>
          <cell r="L2846" t="str">
            <v>OK</v>
          </cell>
        </row>
        <row r="2847">
          <cell r="A2847" t="str">
            <v>AHW-45611I22</v>
          </cell>
          <cell r="B2847">
            <v>78284184</v>
          </cell>
          <cell r="C2847" t="str">
            <v>Original</v>
          </cell>
          <cell r="D2847" t="str">
            <v>CEVA</v>
          </cell>
          <cell r="E2847" t="str">
            <v>Rodoimport</v>
          </cell>
          <cell r="F2847">
            <v>44882</v>
          </cell>
          <cell r="G2847">
            <v>44890</v>
          </cell>
          <cell r="H2847">
            <v>44892</v>
          </cell>
          <cell r="I2847" t="str">
            <v>22.11.2022</v>
          </cell>
          <cell r="J2847" t="str">
            <v>24.11.2022</v>
          </cell>
          <cell r="K2847" t="str">
            <v>-</v>
          </cell>
          <cell r="L2847" t="str">
            <v>OK</v>
          </cell>
        </row>
        <row r="2848">
          <cell r="A2848" t="str">
            <v>AHW-45613I22</v>
          </cell>
          <cell r="B2848">
            <v>4010075</v>
          </cell>
          <cell r="C2848" t="str">
            <v>Original</v>
          </cell>
          <cell r="D2848" t="str">
            <v>CTS</v>
          </cell>
          <cell r="E2848" t="str">
            <v>JP</v>
          </cell>
          <cell r="F2848">
            <v>44882</v>
          </cell>
          <cell r="G2848">
            <v>44890</v>
          </cell>
          <cell r="H2848">
            <v>44892</v>
          </cell>
          <cell r="I2848" t="str">
            <v>22.11.2022</v>
          </cell>
          <cell r="J2848" t="str">
            <v>24.11.2022</v>
          </cell>
          <cell r="K2848" t="str">
            <v>-</v>
          </cell>
          <cell r="L2848" t="str">
            <v>OK</v>
          </cell>
        </row>
        <row r="2849">
          <cell r="A2849" t="str">
            <v>AHW-45761I22</v>
          </cell>
          <cell r="B2849">
            <v>4011645</v>
          </cell>
          <cell r="C2849" t="str">
            <v>Original</v>
          </cell>
          <cell r="D2849" t="str">
            <v>CTS</v>
          </cell>
          <cell r="E2849" t="str">
            <v>JP</v>
          </cell>
          <cell r="F2849">
            <v>44882</v>
          </cell>
          <cell r="G2849">
            <v>44890</v>
          </cell>
          <cell r="H2849">
            <v>44892</v>
          </cell>
          <cell r="I2849" t="str">
            <v>22.11.2022</v>
          </cell>
          <cell r="J2849" t="str">
            <v>24.11.2022</v>
          </cell>
          <cell r="K2849" t="str">
            <v>-</v>
          </cell>
          <cell r="L2849" t="str">
            <v>OK</v>
          </cell>
        </row>
        <row r="2850">
          <cell r="A2850" t="str">
            <v>AHW-45604I22</v>
          </cell>
          <cell r="B2850">
            <v>78284200</v>
          </cell>
          <cell r="C2850" t="str">
            <v>Original</v>
          </cell>
          <cell r="D2850" t="str">
            <v>CEVA</v>
          </cell>
          <cell r="E2850" t="str">
            <v>Rodoimport</v>
          </cell>
          <cell r="F2850">
            <v>44887</v>
          </cell>
          <cell r="G2850">
            <v>44895</v>
          </cell>
          <cell r="H2850">
            <v>44897</v>
          </cell>
          <cell r="I2850" t="str">
            <v>06.12.2022</v>
          </cell>
          <cell r="J2850" t="str">
            <v>06.12.2022</v>
          </cell>
          <cell r="K2850" t="str">
            <v>-</v>
          </cell>
          <cell r="L2850" t="str">
            <v>OK</v>
          </cell>
        </row>
        <row r="2851">
          <cell r="A2851" t="str">
            <v>AHW-45773I22</v>
          </cell>
          <cell r="B2851">
            <v>78284296</v>
          </cell>
          <cell r="C2851" t="str">
            <v>Original</v>
          </cell>
          <cell r="D2851" t="str">
            <v>CEVA</v>
          </cell>
          <cell r="E2851" t="str">
            <v>Rodoimport</v>
          </cell>
          <cell r="F2851">
            <v>44887</v>
          </cell>
          <cell r="G2851">
            <v>44895</v>
          </cell>
          <cell r="H2851">
            <v>44897</v>
          </cell>
          <cell r="I2851" t="str">
            <v>06.12.2022</v>
          </cell>
          <cell r="J2851" t="str">
            <v>06.12.2022</v>
          </cell>
          <cell r="K2851" t="str">
            <v>-</v>
          </cell>
          <cell r="L2851" t="str">
            <v>OK</v>
          </cell>
        </row>
        <row r="2852">
          <cell r="A2852" t="str">
            <v>AHW-45774I22</v>
          </cell>
          <cell r="B2852">
            <v>4010639</v>
          </cell>
          <cell r="C2852" t="str">
            <v>Original</v>
          </cell>
          <cell r="D2852" t="str">
            <v>CTS</v>
          </cell>
          <cell r="E2852" t="str">
            <v>JP</v>
          </cell>
          <cell r="F2852">
            <v>44887</v>
          </cell>
          <cell r="G2852">
            <v>44895</v>
          </cell>
          <cell r="H2852">
            <v>44897</v>
          </cell>
          <cell r="I2852" t="str">
            <v>06.12.2022</v>
          </cell>
          <cell r="J2852" t="str">
            <v>06.12.2022</v>
          </cell>
          <cell r="K2852" t="str">
            <v>-</v>
          </cell>
          <cell r="L2852" t="str">
            <v>OK</v>
          </cell>
        </row>
        <row r="2853">
          <cell r="A2853" t="str">
            <v>AHW-45775I22</v>
          </cell>
          <cell r="B2853">
            <v>78284297</v>
          </cell>
          <cell r="C2853" t="str">
            <v>Original</v>
          </cell>
          <cell r="D2853" t="str">
            <v>CEVA</v>
          </cell>
          <cell r="E2853" t="str">
            <v>Rodoimport</v>
          </cell>
          <cell r="F2853">
            <v>44887</v>
          </cell>
          <cell r="G2853">
            <v>44895</v>
          </cell>
          <cell r="H2853">
            <v>44897</v>
          </cell>
          <cell r="I2853" t="str">
            <v>06.12.2022</v>
          </cell>
          <cell r="J2853" t="str">
            <v>05.12.2022</v>
          </cell>
          <cell r="K2853" t="str">
            <v>-</v>
          </cell>
          <cell r="L2853" t="str">
            <v>OK</v>
          </cell>
        </row>
        <row r="2854">
          <cell r="A2854" t="str">
            <v>AHW-45776I22</v>
          </cell>
          <cell r="B2854">
            <v>4010638</v>
          </cell>
          <cell r="C2854" t="str">
            <v>Original</v>
          </cell>
          <cell r="D2854" t="str">
            <v>CTS</v>
          </cell>
          <cell r="E2854" t="str">
            <v>JP</v>
          </cell>
          <cell r="F2854">
            <v>44887</v>
          </cell>
          <cell r="G2854">
            <v>44895</v>
          </cell>
          <cell r="H2854">
            <v>44897</v>
          </cell>
          <cell r="I2854" t="str">
            <v>06.12.2022</v>
          </cell>
          <cell r="J2854" t="str">
            <v>05.12.2022</v>
          </cell>
          <cell r="K2854" t="str">
            <v>-</v>
          </cell>
          <cell r="L2854" t="str">
            <v>OK</v>
          </cell>
        </row>
        <row r="2855">
          <cell r="A2855" t="str">
            <v>AHW-45777I22</v>
          </cell>
          <cell r="B2855">
            <v>78284295</v>
          </cell>
          <cell r="C2855" t="str">
            <v>Original</v>
          </cell>
          <cell r="D2855" t="str">
            <v>CEVA</v>
          </cell>
          <cell r="E2855" t="str">
            <v>Rodoimport</v>
          </cell>
          <cell r="F2855">
            <v>44887</v>
          </cell>
          <cell r="G2855">
            <v>44895</v>
          </cell>
          <cell r="H2855">
            <v>44897</v>
          </cell>
          <cell r="I2855" t="str">
            <v>06.12.2022</v>
          </cell>
          <cell r="J2855" t="str">
            <v>05.12.2022</v>
          </cell>
          <cell r="K2855" t="str">
            <v>-</v>
          </cell>
          <cell r="L2855" t="str">
            <v>OK</v>
          </cell>
        </row>
        <row r="2856">
          <cell r="A2856" t="str">
            <v>AMS-45757I22</v>
          </cell>
          <cell r="B2856" t="str">
            <v>CAI22007129</v>
          </cell>
          <cell r="C2856" t="str">
            <v>Original</v>
          </cell>
          <cell r="D2856" t="str">
            <v>Vsantos</v>
          </cell>
          <cell r="E2856" t="str">
            <v>Technology</v>
          </cell>
          <cell r="F2856">
            <v>44887</v>
          </cell>
          <cell r="G2856">
            <v>44895</v>
          </cell>
          <cell r="H2856">
            <v>44897</v>
          </cell>
          <cell r="I2856" t="str">
            <v>08.12.2022</v>
          </cell>
          <cell r="J2856" t="str">
            <v>23.11.2022</v>
          </cell>
          <cell r="K2856" t="str">
            <v>-</v>
          </cell>
          <cell r="L2856" t="str">
            <v>OK</v>
          </cell>
        </row>
        <row r="2857">
          <cell r="A2857" t="str">
            <v>SHW-44920I22</v>
          </cell>
          <cell r="B2857" t="str">
            <v>BRA2022100550002</v>
          </cell>
          <cell r="C2857" t="str">
            <v>Original</v>
          </cell>
          <cell r="D2857" t="str">
            <v>Shenker</v>
          </cell>
          <cell r="E2857" t="str">
            <v>Unitrading</v>
          </cell>
          <cell r="F2857">
            <v>44887</v>
          </cell>
          <cell r="G2857">
            <v>44895</v>
          </cell>
          <cell r="H2857">
            <v>44897</v>
          </cell>
          <cell r="I2857" t="str">
            <v>06.12.2022</v>
          </cell>
          <cell r="J2857" t="str">
            <v>23.11.2022</v>
          </cell>
          <cell r="K2857" t="str">
            <v>-</v>
          </cell>
          <cell r="L2857" t="str">
            <v>OK</v>
          </cell>
        </row>
        <row r="2858">
          <cell r="A2858" t="str">
            <v>SHW-45242I22</v>
          </cell>
          <cell r="B2858" t="str">
            <v>BRA2022101050004</v>
          </cell>
          <cell r="C2858" t="str">
            <v>Original</v>
          </cell>
          <cell r="D2858" t="str">
            <v>Shenker</v>
          </cell>
          <cell r="E2858" t="str">
            <v>Unitrading</v>
          </cell>
          <cell r="F2858">
            <v>44888</v>
          </cell>
          <cell r="G2858">
            <v>44896</v>
          </cell>
          <cell r="H2858">
            <v>44898</v>
          </cell>
          <cell r="I2858" t="str">
            <v>06.12.2022</v>
          </cell>
          <cell r="J2858" t="str">
            <v>24.11.2022</v>
          </cell>
          <cell r="K2858" t="str">
            <v>-</v>
          </cell>
          <cell r="L2858" t="str">
            <v>OK</v>
          </cell>
        </row>
        <row r="2859">
          <cell r="A2859" t="str">
            <v>SHW-45370I22</v>
          </cell>
          <cell r="B2859" t="str">
            <v>BRA2022101450006</v>
          </cell>
          <cell r="C2859" t="str">
            <v>Original</v>
          </cell>
          <cell r="D2859" t="str">
            <v>Shenker</v>
          </cell>
          <cell r="E2859" t="str">
            <v>Unitrading</v>
          </cell>
          <cell r="F2859">
            <v>44888</v>
          </cell>
          <cell r="G2859">
            <v>44896</v>
          </cell>
          <cell r="H2859">
            <v>44898</v>
          </cell>
          <cell r="I2859" t="str">
            <v>06.12.2022</v>
          </cell>
          <cell r="J2859" t="str">
            <v>24.11.2022</v>
          </cell>
          <cell r="K2859" t="str">
            <v>-</v>
          </cell>
          <cell r="L2859" t="str">
            <v>OK</v>
          </cell>
        </row>
        <row r="2860">
          <cell r="A2860" t="str">
            <v>SHW-45372I22</v>
          </cell>
          <cell r="B2860" t="str">
            <v>BRA2022101450005</v>
          </cell>
          <cell r="C2860" t="str">
            <v>Original</v>
          </cell>
          <cell r="D2860" t="str">
            <v>Shenker</v>
          </cell>
          <cell r="E2860" t="str">
            <v>Unitrading</v>
          </cell>
          <cell r="F2860">
            <v>44888</v>
          </cell>
          <cell r="G2860">
            <v>44896</v>
          </cell>
          <cell r="H2860">
            <v>44898</v>
          </cell>
          <cell r="I2860" t="str">
            <v>06.12.2022</v>
          </cell>
          <cell r="J2860" t="str">
            <v>24.11.2022</v>
          </cell>
          <cell r="K2860" t="str">
            <v>-</v>
          </cell>
          <cell r="L2860" t="str">
            <v>OK</v>
          </cell>
        </row>
        <row r="2861">
          <cell r="A2861" t="str">
            <v>AHW-45841I22</v>
          </cell>
          <cell r="B2861">
            <v>4010660</v>
          </cell>
          <cell r="C2861" t="str">
            <v>Original</v>
          </cell>
          <cell r="D2861" t="str">
            <v>CTS</v>
          </cell>
          <cell r="E2861" t="str">
            <v>JP</v>
          </cell>
          <cell r="F2861">
            <v>44893</v>
          </cell>
          <cell r="G2861">
            <v>44901</v>
          </cell>
          <cell r="H2861">
            <v>44903</v>
          </cell>
          <cell r="I2861" t="str">
            <v>08.12.2022</v>
          </cell>
          <cell r="J2861" t="str">
            <v>06.12.2022</v>
          </cell>
          <cell r="K2861" t="str">
            <v>-</v>
          </cell>
          <cell r="L2861" t="str">
            <v>OK</v>
          </cell>
        </row>
        <row r="2862">
          <cell r="A2862" t="str">
            <v>AHW-45842I22</v>
          </cell>
          <cell r="B2862">
            <v>78284365</v>
          </cell>
          <cell r="C2862" t="str">
            <v>Original</v>
          </cell>
          <cell r="D2862" t="str">
            <v>CEVA</v>
          </cell>
          <cell r="E2862" t="str">
            <v>Rodoimport</v>
          </cell>
          <cell r="F2862">
            <v>44893</v>
          </cell>
          <cell r="G2862">
            <v>44901</v>
          </cell>
          <cell r="H2862">
            <v>44903</v>
          </cell>
          <cell r="I2862" t="str">
            <v>13.12.2022</v>
          </cell>
          <cell r="J2862" t="str">
            <v>06.12.2022</v>
          </cell>
          <cell r="K2862" t="str">
            <v>-</v>
          </cell>
          <cell r="L2862" t="str">
            <v>OK</v>
          </cell>
        </row>
        <row r="2863">
          <cell r="A2863" t="str">
            <v>AHW-45843I22</v>
          </cell>
          <cell r="B2863">
            <v>78284388</v>
          </cell>
          <cell r="C2863" t="str">
            <v>Original</v>
          </cell>
          <cell r="D2863" t="str">
            <v>CEVA</v>
          </cell>
          <cell r="E2863" t="str">
            <v>Rodoimport</v>
          </cell>
          <cell r="F2863">
            <v>44894</v>
          </cell>
          <cell r="G2863">
            <v>44902</v>
          </cell>
          <cell r="H2863">
            <v>44904</v>
          </cell>
          <cell r="I2863" t="str">
            <v>13.12.2022</v>
          </cell>
          <cell r="J2863" t="str">
            <v>06.12.2022</v>
          </cell>
          <cell r="K2863" t="str">
            <v>-</v>
          </cell>
          <cell r="L2863" t="str">
            <v>OK</v>
          </cell>
        </row>
        <row r="2864">
          <cell r="A2864" t="str">
            <v>AHW-45844I22</v>
          </cell>
          <cell r="B2864">
            <v>78284913</v>
          </cell>
          <cell r="C2864" t="str">
            <v>Original</v>
          </cell>
          <cell r="D2864" t="str">
            <v>CEVA</v>
          </cell>
          <cell r="E2864" t="str">
            <v>Rodoimport</v>
          </cell>
          <cell r="F2864">
            <v>44894</v>
          </cell>
          <cell r="G2864">
            <v>44902</v>
          </cell>
          <cell r="H2864">
            <v>44904</v>
          </cell>
          <cell r="I2864" t="str">
            <v>13.12.2022</v>
          </cell>
          <cell r="J2864" t="str">
            <v>06.12.2022</v>
          </cell>
          <cell r="K2864" t="str">
            <v>-</v>
          </cell>
          <cell r="L2864" t="str">
            <v>OK</v>
          </cell>
        </row>
        <row r="2865">
          <cell r="A2865" t="str">
            <v>AHW-45845I22</v>
          </cell>
          <cell r="B2865">
            <v>78284368</v>
          </cell>
          <cell r="C2865" t="str">
            <v>Original</v>
          </cell>
          <cell r="D2865" t="str">
            <v>CEVA</v>
          </cell>
          <cell r="E2865" t="str">
            <v>Rodoimport</v>
          </cell>
          <cell r="F2865">
            <v>44894</v>
          </cell>
          <cell r="G2865">
            <v>44902</v>
          </cell>
          <cell r="H2865">
            <v>44904</v>
          </cell>
          <cell r="I2865" t="str">
            <v>13.12.2022</v>
          </cell>
          <cell r="J2865" t="str">
            <v>06.12.2022</v>
          </cell>
          <cell r="K2865" t="str">
            <v>-</v>
          </cell>
          <cell r="L2865" t="str">
            <v>OK</v>
          </cell>
        </row>
        <row r="2866">
          <cell r="A2866" t="str">
            <v>AMS-45208I22</v>
          </cell>
          <cell r="B2866" t="str">
            <v>1Z6469V00474113591 / 1Z6469V00475676071 / 1Z6469V00475340647 / 1Z6469V00475082695 / 1Z6469V00474680022 / 1Z6469V00474573808 / 1Z6469V00474528901 / 1Z6469V00473837089 / 1Z6469V00473651716 / 1Z6469V00473558032 / 1Z6469V00473343853 / 1Z6469V00473243667 / 1Z6469V00473150614 /</v>
          </cell>
          <cell r="C2866" t="str">
            <v>Brasiliense</v>
          </cell>
          <cell r="D2866" t="str">
            <v>UPS</v>
          </cell>
          <cell r="E2866" t="str">
            <v>Future</v>
          </cell>
          <cell r="F2866">
            <v>44847</v>
          </cell>
          <cell r="G2866">
            <v>44855</v>
          </cell>
          <cell r="H2866">
            <v>44857</v>
          </cell>
          <cell r="I2866" t="str">
            <v>18.10.2022</v>
          </cell>
          <cell r="J2866" t="str">
            <v>20.10.2022</v>
          </cell>
          <cell r="K2866" t="str">
            <v>24.10.2022</v>
          </cell>
          <cell r="L2866" t="str">
            <v>OK</v>
          </cell>
        </row>
        <row r="2867">
          <cell r="A2867" t="str">
            <v>AMS-45206I22</v>
          </cell>
          <cell r="B2867" t="str">
            <v>1Z6469V00474680497 / 1Z6469V00474905511 / 1Z6469V00474714709 / 1Z6469V00473488920 / 1Z6469V00473260933 / 1Z6469V00473177542 /</v>
          </cell>
          <cell r="C2867" t="str">
            <v>Brasiliense</v>
          </cell>
          <cell r="D2867" t="str">
            <v>UPS</v>
          </cell>
          <cell r="E2867" t="str">
            <v>Future</v>
          </cell>
          <cell r="F2867">
            <v>44851</v>
          </cell>
          <cell r="G2867">
            <v>44859</v>
          </cell>
          <cell r="H2867">
            <v>44861</v>
          </cell>
          <cell r="I2867" t="str">
            <v>18.10.2022</v>
          </cell>
          <cell r="J2867" t="str">
            <v>25.10.2022</v>
          </cell>
          <cell r="K2867" t="str">
            <v>24.10.2022</v>
          </cell>
          <cell r="L2867" t="str">
            <v>OK</v>
          </cell>
        </row>
        <row r="2868">
          <cell r="A2868" t="str">
            <v>AMS-45207I22</v>
          </cell>
          <cell r="B2868" t="str">
            <v>1Z6469V00473536716</v>
          </cell>
          <cell r="C2868" t="str">
            <v>Brasiliense</v>
          </cell>
          <cell r="D2868" t="str">
            <v>UPS</v>
          </cell>
          <cell r="E2868" t="str">
            <v>Future</v>
          </cell>
          <cell r="F2868">
            <v>44851</v>
          </cell>
          <cell r="G2868">
            <v>44859</v>
          </cell>
          <cell r="H2868">
            <v>44861</v>
          </cell>
          <cell r="I2868" t="str">
            <v>18.10.2022</v>
          </cell>
          <cell r="J2868" t="str">
            <v>25.10.2022</v>
          </cell>
          <cell r="K2868" t="str">
            <v>24.10.2022</v>
          </cell>
          <cell r="L2868" t="str">
            <v>OK</v>
          </cell>
        </row>
        <row r="2869">
          <cell r="A2869" t="str">
            <v>AMS-45294I22</v>
          </cell>
          <cell r="B2869" t="str">
            <v>1Z6469V00473974154
1Z6469V00475862379
1Z6469V00475710014
1Z6469V00474944998
1Z6469V00474649209
1Z6469V00473411967
1Z6469V00473321386</v>
          </cell>
          <cell r="C2869" t="str">
            <v>Brasiliense</v>
          </cell>
          <cell r="D2869" t="str">
            <v>UPS</v>
          </cell>
          <cell r="E2869" t="str">
            <v>Future</v>
          </cell>
          <cell r="F2869">
            <v>44852</v>
          </cell>
          <cell r="G2869">
            <v>44860</v>
          </cell>
          <cell r="H2869">
            <v>44862</v>
          </cell>
          <cell r="I2869" t="str">
            <v>20.10.2022</v>
          </cell>
          <cell r="J2869" t="str">
            <v>25.10.2022</v>
          </cell>
          <cell r="K2869" t="str">
            <v>24.10.2022</v>
          </cell>
          <cell r="L2869" t="str">
            <v>OK</v>
          </cell>
        </row>
        <row r="2870">
          <cell r="A2870" t="str">
            <v>AMS-45770I22</v>
          </cell>
          <cell r="B2870" t="str">
            <v>1Z6469V00475365157 / 1Z6469V00475573379 / 1Z6469V00475375995 / 1Z6469V00473662964 / 1Z6469V00473340203 / 1Z6469V00473261012 / 1Z6469V00473092384 /</v>
          </cell>
          <cell r="C2870" t="str">
            <v>Brasiliense</v>
          </cell>
          <cell r="D2870" t="str">
            <v>UPS</v>
          </cell>
          <cell r="E2870" t="str">
            <v>Future</v>
          </cell>
          <cell r="F2870">
            <v>44894</v>
          </cell>
          <cell r="G2870">
            <v>44902</v>
          </cell>
          <cell r="H2870">
            <v>44904</v>
          </cell>
          <cell r="I2870" t="str">
            <v>02.12.2022</v>
          </cell>
          <cell r="J2870" t="str">
            <v>06.12.2022</v>
          </cell>
          <cell r="K2870" t="str">
            <v>05.12.2022</v>
          </cell>
          <cell r="L2870" t="str">
            <v>OK</v>
          </cell>
        </row>
        <row r="2871">
          <cell r="A2871" t="str">
            <v>AMS-45680I22</v>
          </cell>
          <cell r="B2871" t="str">
            <v>1Z6469V00473409569</v>
          </cell>
          <cell r="C2871" t="str">
            <v>Brasiliense</v>
          </cell>
          <cell r="D2871" t="str">
            <v>UPS</v>
          </cell>
          <cell r="E2871" t="str">
            <v>Future</v>
          </cell>
          <cell r="F2871">
            <v>44873</v>
          </cell>
          <cell r="G2871">
            <v>44881</v>
          </cell>
          <cell r="H2871">
            <v>44883</v>
          </cell>
          <cell r="I2871" t="str">
            <v>18.11.2022</v>
          </cell>
          <cell r="J2871" t="str">
            <v>18.11.2022</v>
          </cell>
          <cell r="K2871" t="str">
            <v>21.11.2022</v>
          </cell>
          <cell r="L2871" t="str">
            <v>OK</v>
          </cell>
        </row>
        <row r="2872">
          <cell r="A2872" t="str">
            <v>AMS-45763I22</v>
          </cell>
          <cell r="B2872" t="str">
            <v>SHA01508192</v>
          </cell>
          <cell r="C2872" t="str">
            <v>Original</v>
          </cell>
          <cell r="D2872" t="str">
            <v>PGL</v>
          </cell>
          <cell r="E2872" t="str">
            <v>Buick</v>
          </cell>
          <cell r="F2872">
            <v>44893</v>
          </cell>
          <cell r="G2872">
            <v>44901</v>
          </cell>
          <cell r="H2872">
            <v>44903</v>
          </cell>
          <cell r="I2872" t="str">
            <v>08.12.2022</v>
          </cell>
          <cell r="J2872" t="str">
            <v>01.12.2022</v>
          </cell>
          <cell r="K2872" t="str">
            <v>-</v>
          </cell>
          <cell r="L2872" t="str">
            <v>OK</v>
          </cell>
        </row>
        <row r="2873">
          <cell r="A2873" t="str">
            <v>AMS-45764I22</v>
          </cell>
          <cell r="B2873" t="str">
            <v>SHA01508193</v>
          </cell>
          <cell r="C2873" t="str">
            <v>Original</v>
          </cell>
          <cell r="D2873" t="str">
            <v>PGL</v>
          </cell>
          <cell r="E2873" t="str">
            <v>Technology</v>
          </cell>
          <cell r="F2873">
            <v>44893</v>
          </cell>
          <cell r="G2873">
            <v>44901</v>
          </cell>
          <cell r="H2873">
            <v>44903</v>
          </cell>
          <cell r="I2873" t="str">
            <v>08.12.2022</v>
          </cell>
          <cell r="J2873" t="str">
            <v>01.12.2022</v>
          </cell>
          <cell r="K2873" t="str">
            <v>-</v>
          </cell>
          <cell r="L2873" t="str">
            <v>OK</v>
          </cell>
        </row>
        <row r="2874">
          <cell r="A2874" t="str">
            <v>SHW-45376I22</v>
          </cell>
          <cell r="B2874">
            <v>222400771</v>
          </cell>
          <cell r="C2874" t="str">
            <v>Original</v>
          </cell>
          <cell r="D2874" t="str">
            <v>Shenker</v>
          </cell>
          <cell r="E2874" t="str">
            <v>Unitrading</v>
          </cell>
          <cell r="F2874">
            <v>44897</v>
          </cell>
          <cell r="G2874">
            <v>44905</v>
          </cell>
          <cell r="H2874">
            <v>44907</v>
          </cell>
          <cell r="I2874" t="str">
            <v>06.12.2022</v>
          </cell>
          <cell r="J2874" t="str">
            <v>07.12.2022</v>
          </cell>
          <cell r="K2874" t="str">
            <v>-</v>
          </cell>
          <cell r="L2874" t="str">
            <v>OK</v>
          </cell>
        </row>
        <row r="2875">
          <cell r="A2875" t="str">
            <v>SHW-45377I22</v>
          </cell>
          <cell r="B2875">
            <v>609254753</v>
          </cell>
          <cell r="C2875" t="str">
            <v>Original</v>
          </cell>
          <cell r="D2875" t="str">
            <v>Shenker</v>
          </cell>
          <cell r="E2875" t="str">
            <v>Unitrading</v>
          </cell>
          <cell r="F2875">
            <v>44897</v>
          </cell>
          <cell r="G2875">
            <v>44905</v>
          </cell>
          <cell r="H2875">
            <v>44907</v>
          </cell>
          <cell r="I2875" t="str">
            <v>06.12.2022</v>
          </cell>
          <cell r="J2875" t="str">
            <v>07.12.2022</v>
          </cell>
          <cell r="K2875" t="str">
            <v>-</v>
          </cell>
          <cell r="L2875" t="str">
            <v>OK</v>
          </cell>
        </row>
        <row r="2876">
          <cell r="A2876" t="str">
            <v>SHW-45457I22</v>
          </cell>
          <cell r="B2876">
            <v>222484311</v>
          </cell>
          <cell r="C2876" t="str">
            <v>Original</v>
          </cell>
          <cell r="D2876" t="str">
            <v>Shenker</v>
          </cell>
          <cell r="E2876" t="str">
            <v>Unitrading</v>
          </cell>
          <cell r="F2876">
            <v>44897</v>
          </cell>
          <cell r="G2876">
            <v>44905</v>
          </cell>
          <cell r="H2876">
            <v>44907</v>
          </cell>
          <cell r="I2876" t="str">
            <v>06.12.2022</v>
          </cell>
          <cell r="J2876" t="str">
            <v>07.12.2022</v>
          </cell>
          <cell r="K2876" t="str">
            <v>-</v>
          </cell>
          <cell r="L2876" t="str">
            <v>OK</v>
          </cell>
        </row>
        <row r="2877">
          <cell r="A2877" t="str">
            <v>SHW-45458I22</v>
          </cell>
          <cell r="B2877">
            <v>222401106</v>
          </cell>
          <cell r="C2877" t="str">
            <v>Original</v>
          </cell>
          <cell r="D2877" t="str">
            <v>Shenker</v>
          </cell>
          <cell r="E2877" t="str">
            <v>Unitrading</v>
          </cell>
          <cell r="F2877">
            <v>44897</v>
          </cell>
          <cell r="G2877">
            <v>44905</v>
          </cell>
          <cell r="H2877">
            <v>44907</v>
          </cell>
          <cell r="I2877" t="str">
            <v>06.12.2022</v>
          </cell>
          <cell r="J2877" t="str">
            <v>07.12.2022</v>
          </cell>
          <cell r="K2877" t="str">
            <v>-</v>
          </cell>
          <cell r="L2877" t="str">
            <v>OK</v>
          </cell>
        </row>
        <row r="2878">
          <cell r="A2878" t="str">
            <v>SHW-45459I22</v>
          </cell>
          <cell r="B2878">
            <v>222400963</v>
          </cell>
          <cell r="C2878" t="str">
            <v>Original</v>
          </cell>
          <cell r="D2878" t="str">
            <v>Shenker</v>
          </cell>
          <cell r="E2878" t="str">
            <v>Unitrading</v>
          </cell>
          <cell r="F2878">
            <v>44897</v>
          </cell>
          <cell r="G2878">
            <v>44905</v>
          </cell>
          <cell r="H2878">
            <v>44907</v>
          </cell>
          <cell r="I2878" t="str">
            <v>06.12.2022</v>
          </cell>
          <cell r="J2878" t="str">
            <v>07.12.2022</v>
          </cell>
          <cell r="K2878" t="str">
            <v>-</v>
          </cell>
          <cell r="L2878" t="str">
            <v>OK</v>
          </cell>
        </row>
        <row r="2879">
          <cell r="A2879" t="str">
            <v>SHW-45464I22</v>
          </cell>
          <cell r="B2879">
            <v>222550497</v>
          </cell>
          <cell r="C2879" t="str">
            <v>Original</v>
          </cell>
          <cell r="D2879" t="str">
            <v>Shenker</v>
          </cell>
          <cell r="E2879" t="str">
            <v>Unitrading</v>
          </cell>
          <cell r="F2879">
            <v>44897</v>
          </cell>
          <cell r="G2879">
            <v>44905</v>
          </cell>
          <cell r="H2879">
            <v>44907</v>
          </cell>
          <cell r="I2879" t="str">
            <v>06.12.2022</v>
          </cell>
          <cell r="J2879" t="str">
            <v>07.12.2022</v>
          </cell>
          <cell r="K2879" t="str">
            <v>-</v>
          </cell>
          <cell r="L2879" t="str">
            <v>OK</v>
          </cell>
        </row>
        <row r="2880">
          <cell r="A2880" t="str">
            <v>AMS-45906I22</v>
          </cell>
          <cell r="B2880">
            <v>416320277</v>
          </cell>
          <cell r="C2880" t="str">
            <v>Original</v>
          </cell>
          <cell r="D2880" t="str">
            <v>Vsantos</v>
          </cell>
          <cell r="E2880" t="str">
            <v>Technology</v>
          </cell>
          <cell r="F2880">
            <v>44900</v>
          </cell>
          <cell r="G2880">
            <v>44908</v>
          </cell>
          <cell r="H2880">
            <v>44910</v>
          </cell>
          <cell r="I2880" t="str">
            <v>06.12.2022</v>
          </cell>
          <cell r="J2880" t="str">
            <v>07.12.2022</v>
          </cell>
          <cell r="K2880" t="str">
            <v>-</v>
          </cell>
          <cell r="L2880" t="str">
            <v>OK</v>
          </cell>
        </row>
        <row r="2881">
          <cell r="A2881" t="str">
            <v>AHW-45840I22</v>
          </cell>
          <cell r="B2881">
            <v>78284364</v>
          </cell>
          <cell r="C2881" t="str">
            <v>Original</v>
          </cell>
          <cell r="D2881" t="str">
            <v>CEVA</v>
          </cell>
          <cell r="E2881" t="str">
            <v>Rodoimport</v>
          </cell>
          <cell r="F2881">
            <v>44901</v>
          </cell>
          <cell r="G2881">
            <v>44909</v>
          </cell>
          <cell r="H2881">
            <v>44911</v>
          </cell>
          <cell r="I2881" t="str">
            <v>15.12.2022</v>
          </cell>
          <cell r="J2881" t="str">
            <v>20.12.2022</v>
          </cell>
          <cell r="K2881" t="str">
            <v>-</v>
          </cell>
          <cell r="L2881" t="str">
            <v>OK</v>
          </cell>
        </row>
        <row r="2882">
          <cell r="A2882" t="str">
            <v>AHW-45903I22</v>
          </cell>
          <cell r="B2882">
            <v>78284949</v>
          </cell>
          <cell r="C2882" t="str">
            <v>Original</v>
          </cell>
          <cell r="D2882" t="str">
            <v>CEVA</v>
          </cell>
          <cell r="E2882" t="str">
            <v>Rodoimport</v>
          </cell>
          <cell r="F2882">
            <v>44901</v>
          </cell>
          <cell r="G2882">
            <v>44909</v>
          </cell>
          <cell r="H2882">
            <v>44911</v>
          </cell>
          <cell r="I2882" t="str">
            <v>14.12.2022</v>
          </cell>
          <cell r="J2882" t="str">
            <v>20.12.2022</v>
          </cell>
          <cell r="K2882" t="str">
            <v>-</v>
          </cell>
          <cell r="L2882" t="str">
            <v>OK</v>
          </cell>
        </row>
        <row r="2883">
          <cell r="A2883" t="str">
            <v>AHW-45904I22</v>
          </cell>
          <cell r="B2883">
            <v>78284950</v>
          </cell>
          <cell r="C2883" t="str">
            <v>Original</v>
          </cell>
          <cell r="D2883" t="str">
            <v>CEVA</v>
          </cell>
          <cell r="E2883" t="str">
            <v>Rodoimport</v>
          </cell>
          <cell r="F2883">
            <v>44901</v>
          </cell>
          <cell r="G2883">
            <v>44909</v>
          </cell>
          <cell r="H2883">
            <v>44911</v>
          </cell>
          <cell r="I2883" t="str">
            <v>14.12.2022</v>
          </cell>
          <cell r="J2883" t="str">
            <v>20.12.2022</v>
          </cell>
          <cell r="K2883" t="str">
            <v>-</v>
          </cell>
          <cell r="L2883" t="str">
            <v>OK</v>
          </cell>
        </row>
        <row r="2884">
          <cell r="A2884" t="str">
            <v>AHW-45961I22</v>
          </cell>
          <cell r="B2884">
            <v>78284984</v>
          </cell>
          <cell r="C2884" t="str">
            <v>Original</v>
          </cell>
          <cell r="D2884" t="str">
            <v>CEVA</v>
          </cell>
          <cell r="E2884" t="str">
            <v>Rodoimport</v>
          </cell>
          <cell r="F2884">
            <v>44901</v>
          </cell>
          <cell r="G2884">
            <v>44909</v>
          </cell>
          <cell r="H2884">
            <v>44911</v>
          </cell>
          <cell r="I2884" t="str">
            <v>14.12.2022</v>
          </cell>
          <cell r="J2884" t="str">
            <v>20.12.2022</v>
          </cell>
          <cell r="K2884" t="str">
            <v>-</v>
          </cell>
          <cell r="L2884" t="str">
            <v>OK</v>
          </cell>
        </row>
        <row r="2885">
          <cell r="A2885" t="str">
            <v>AHW-45963I22</v>
          </cell>
          <cell r="B2885">
            <v>4010729</v>
          </cell>
          <cell r="C2885" t="str">
            <v>Original</v>
          </cell>
          <cell r="D2885" t="str">
            <v>CTS</v>
          </cell>
          <cell r="E2885" t="str">
            <v>JP</v>
          </cell>
          <cell r="F2885">
            <v>44901</v>
          </cell>
          <cell r="G2885">
            <v>44909</v>
          </cell>
          <cell r="H2885">
            <v>44911</v>
          </cell>
          <cell r="I2885" t="str">
            <v>14.12.2022</v>
          </cell>
          <cell r="J2885" t="str">
            <v>20.12.2022</v>
          </cell>
          <cell r="K2885" t="str">
            <v>-</v>
          </cell>
          <cell r="L2885" t="str">
            <v>OK</v>
          </cell>
        </row>
        <row r="2886">
          <cell r="A2886" t="str">
            <v>AHW-45960I22</v>
          </cell>
          <cell r="B2886">
            <v>78325512</v>
          </cell>
          <cell r="C2886" t="str">
            <v>Original</v>
          </cell>
          <cell r="D2886" t="str">
            <v>CEVA</v>
          </cell>
          <cell r="E2886" t="str">
            <v>Rodoimport</v>
          </cell>
          <cell r="F2886">
            <v>44904</v>
          </cell>
          <cell r="G2886">
            <v>44912</v>
          </cell>
          <cell r="H2886">
            <v>44914</v>
          </cell>
          <cell r="I2886" t="str">
            <v>14.12.2022</v>
          </cell>
          <cell r="J2886" t="str">
            <v>20.12.2022</v>
          </cell>
          <cell r="K2886" t="str">
            <v>-</v>
          </cell>
          <cell r="L2886" t="str">
            <v>OK</v>
          </cell>
        </row>
        <row r="2887">
          <cell r="A2887" t="str">
            <v>AHW-45962I22</v>
          </cell>
          <cell r="B2887">
            <v>78325513</v>
          </cell>
          <cell r="C2887" t="str">
            <v>Original</v>
          </cell>
          <cell r="D2887" t="str">
            <v>CEVA</v>
          </cell>
          <cell r="E2887" t="str">
            <v>Rodoimport</v>
          </cell>
          <cell r="F2887">
            <v>44904</v>
          </cell>
          <cell r="G2887">
            <v>44912</v>
          </cell>
          <cell r="H2887">
            <v>44914</v>
          </cell>
          <cell r="I2887" t="str">
            <v>14.12.2022</v>
          </cell>
          <cell r="J2887" t="str">
            <v>20.12.2022</v>
          </cell>
          <cell r="K2887" t="str">
            <v>-</v>
          </cell>
          <cell r="L2887" t="str">
            <v>OK</v>
          </cell>
        </row>
        <row r="2888">
          <cell r="A2888" t="str">
            <v>AMS-45994I22</v>
          </cell>
          <cell r="B2888">
            <v>417329686</v>
          </cell>
          <cell r="C2888" t="str">
            <v>Original</v>
          </cell>
          <cell r="D2888" t="str">
            <v>PGL</v>
          </cell>
          <cell r="E2888" t="str">
            <v>Technology</v>
          </cell>
          <cell r="F2888">
            <v>44907</v>
          </cell>
          <cell r="G2888">
            <v>44915</v>
          </cell>
          <cell r="H2888">
            <v>44917</v>
          </cell>
          <cell r="I2888" t="str">
            <v>15.12.2022</v>
          </cell>
          <cell r="J2888" t="str">
            <v>13.12.2022</v>
          </cell>
          <cell r="K2888" t="str">
            <v>-</v>
          </cell>
          <cell r="L2888" t="str">
            <v>OK</v>
          </cell>
        </row>
        <row r="2889">
          <cell r="A2889" t="str">
            <v>AMS-46017I22</v>
          </cell>
          <cell r="B2889" t="str">
            <v>41L0096408</v>
          </cell>
          <cell r="C2889" t="str">
            <v>Original</v>
          </cell>
          <cell r="D2889" t="str">
            <v>Expeditors</v>
          </cell>
          <cell r="E2889" t="str">
            <v>Expeditors</v>
          </cell>
          <cell r="F2889">
            <v>44907</v>
          </cell>
          <cell r="G2889">
            <v>44915</v>
          </cell>
          <cell r="H2889">
            <v>44917</v>
          </cell>
          <cell r="I2889" t="str">
            <v>15.12.2022</v>
          </cell>
          <cell r="J2889" t="str">
            <v>12.12.2022</v>
          </cell>
          <cell r="K2889" t="str">
            <v>-</v>
          </cell>
          <cell r="L2889" t="str">
            <v>OK</v>
          </cell>
        </row>
        <row r="2890">
          <cell r="A2890" t="str">
            <v>AMS-46018I22</v>
          </cell>
          <cell r="B2890" t="str">
            <v>41L0096409</v>
          </cell>
          <cell r="C2890" t="str">
            <v>Original</v>
          </cell>
          <cell r="D2890" t="str">
            <v>Expeditors</v>
          </cell>
          <cell r="E2890" t="str">
            <v>Expeditors</v>
          </cell>
          <cell r="F2890">
            <v>44907</v>
          </cell>
          <cell r="G2890">
            <v>44915</v>
          </cell>
          <cell r="H2890">
            <v>44917</v>
          </cell>
          <cell r="I2890" t="str">
            <v>15.12.2022</v>
          </cell>
          <cell r="J2890" t="str">
            <v>12.12.2022</v>
          </cell>
          <cell r="K2890" t="str">
            <v>-</v>
          </cell>
          <cell r="L2890" t="str">
            <v>OK</v>
          </cell>
        </row>
        <row r="2891">
          <cell r="A2891" t="str">
            <v>AMS-46019I22</v>
          </cell>
          <cell r="B2891" t="str">
            <v>41L0096410</v>
          </cell>
          <cell r="C2891" t="str">
            <v>Original</v>
          </cell>
          <cell r="D2891" t="str">
            <v>Expeditors</v>
          </cell>
          <cell r="E2891" t="str">
            <v>Expeditors</v>
          </cell>
          <cell r="F2891">
            <v>44907</v>
          </cell>
          <cell r="G2891">
            <v>44915</v>
          </cell>
          <cell r="H2891">
            <v>44917</v>
          </cell>
          <cell r="I2891" t="str">
            <v>15.12.2022</v>
          </cell>
          <cell r="J2891" t="str">
            <v>12.12.2022</v>
          </cell>
          <cell r="K2891" t="str">
            <v>-</v>
          </cell>
          <cell r="L2891" t="str">
            <v>OK</v>
          </cell>
        </row>
        <row r="2892">
          <cell r="A2892" t="str">
            <v>AMS-46020I22</v>
          </cell>
          <cell r="B2892" t="str">
            <v>41L0096411</v>
          </cell>
          <cell r="C2892" t="str">
            <v>Original</v>
          </cell>
          <cell r="D2892" t="str">
            <v>Expeditors</v>
          </cell>
          <cell r="E2892" t="str">
            <v>Expeditors</v>
          </cell>
          <cell r="F2892">
            <v>44907</v>
          </cell>
          <cell r="G2892">
            <v>44915</v>
          </cell>
          <cell r="H2892">
            <v>44917</v>
          </cell>
          <cell r="I2892" t="str">
            <v>15.12.2022</v>
          </cell>
          <cell r="J2892" t="str">
            <v>12.12.2022</v>
          </cell>
          <cell r="K2892" t="str">
            <v>-</v>
          </cell>
          <cell r="L2892" t="str">
            <v>OK</v>
          </cell>
        </row>
        <row r="2893">
          <cell r="A2893" t="str">
            <v>AHW-45964I22</v>
          </cell>
          <cell r="B2893">
            <v>78325561</v>
          </cell>
          <cell r="C2893" t="str">
            <v>Original</v>
          </cell>
          <cell r="D2893" t="str">
            <v>CEVA</v>
          </cell>
          <cell r="E2893" t="str">
            <v>Rodoimport</v>
          </cell>
          <cell r="F2893">
            <v>44907</v>
          </cell>
          <cell r="G2893">
            <v>44915</v>
          </cell>
          <cell r="H2893">
            <v>44917</v>
          </cell>
          <cell r="I2893" t="str">
            <v>15.12.2022</v>
          </cell>
          <cell r="J2893" t="str">
            <v>20.12.2022</v>
          </cell>
          <cell r="K2893" t="str">
            <v>-</v>
          </cell>
          <cell r="L2893" t="str">
            <v>OK</v>
          </cell>
        </row>
        <row r="2894">
          <cell r="A2894" t="str">
            <v>AHW-46023I22</v>
          </cell>
          <cell r="B2894">
            <v>4010737</v>
          </cell>
          <cell r="C2894" t="str">
            <v>Original</v>
          </cell>
          <cell r="D2894" t="str">
            <v>CTS</v>
          </cell>
          <cell r="E2894" t="str">
            <v>JP</v>
          </cell>
          <cell r="F2894">
            <v>44907</v>
          </cell>
          <cell r="G2894">
            <v>44915</v>
          </cell>
          <cell r="H2894">
            <v>44917</v>
          </cell>
          <cell r="I2894" t="str">
            <v>15.12.2022</v>
          </cell>
          <cell r="J2894" t="str">
            <v>20.12.2022</v>
          </cell>
          <cell r="K2894" t="str">
            <v>-</v>
          </cell>
          <cell r="L2894" t="str">
            <v>OK</v>
          </cell>
        </row>
        <row r="2895">
          <cell r="A2895" t="str">
            <v>AHW-46039I22</v>
          </cell>
          <cell r="B2895">
            <v>78325611</v>
          </cell>
          <cell r="C2895" t="str">
            <v>Original</v>
          </cell>
          <cell r="D2895" t="str">
            <v>CEVA</v>
          </cell>
          <cell r="E2895" t="str">
            <v>Rodoimport</v>
          </cell>
          <cell r="F2895">
            <v>44908</v>
          </cell>
          <cell r="G2895">
            <v>44916</v>
          </cell>
          <cell r="H2895">
            <v>44918</v>
          </cell>
          <cell r="I2895" t="str">
            <v>15.12.2022</v>
          </cell>
          <cell r="J2895" t="str">
            <v>20.12.2022</v>
          </cell>
          <cell r="K2895" t="str">
            <v>-</v>
          </cell>
          <cell r="L2895" t="str">
            <v>OK</v>
          </cell>
        </row>
        <row r="2896">
          <cell r="A2896" t="str">
            <v>AMS-45968I22</v>
          </cell>
          <cell r="B2896" t="str">
            <v>1Z6469V00475380372</v>
          </cell>
          <cell r="C2896" t="str">
            <v>Brasiliense</v>
          </cell>
          <cell r="D2896" t="str">
            <v>UPS</v>
          </cell>
          <cell r="E2896" t="str">
            <v>Future</v>
          </cell>
          <cell r="F2896">
            <v>44897</v>
          </cell>
          <cell r="G2896">
            <v>44905</v>
          </cell>
          <cell r="H2896">
            <v>44907</v>
          </cell>
          <cell r="I2896" t="str">
            <v>06.12.2022</v>
          </cell>
          <cell r="J2896" t="str">
            <v>20.12.2022</v>
          </cell>
          <cell r="K2896" t="str">
            <v>05.12.2022</v>
          </cell>
          <cell r="L2896" t="str">
            <v>OK</v>
          </cell>
        </row>
        <row r="2897">
          <cell r="A2897" t="str">
            <v>AMS-45969I22</v>
          </cell>
          <cell r="B2897" t="str">
            <v>1Z6469V00474181955 / 1Z6469V00475926176 / 1Z6469V00475245812 / 1Z6469V00474984794 / 1Z6469V00474807761 / 1Z6469V00474357239 / 1Z6469V00474333184 / 1Z6469V00473967224 / 1Z6469V00473597008 /</v>
          </cell>
          <cell r="C2897" t="str">
            <v>Brasiliense</v>
          </cell>
          <cell r="D2897" t="str">
            <v>UPS</v>
          </cell>
          <cell r="E2897" t="str">
            <v>Future</v>
          </cell>
          <cell r="F2897">
            <v>44897</v>
          </cell>
          <cell r="G2897">
            <v>44905</v>
          </cell>
          <cell r="H2897">
            <v>44907</v>
          </cell>
          <cell r="I2897" t="str">
            <v>06.12.2022</v>
          </cell>
          <cell r="J2897" t="str">
            <v>20.12.2022</v>
          </cell>
          <cell r="K2897" t="str">
            <v>05.12.2022</v>
          </cell>
          <cell r="L2897" t="str">
            <v>OK</v>
          </cell>
        </row>
        <row r="2898">
          <cell r="A2898" t="str">
            <v>AHW-46038I22</v>
          </cell>
          <cell r="B2898">
            <v>78325630</v>
          </cell>
          <cell r="C2898" t="str">
            <v>Original</v>
          </cell>
          <cell r="D2898" t="str">
            <v>CEVA</v>
          </cell>
          <cell r="E2898" t="str">
            <v>Rodoimport</v>
          </cell>
          <cell r="F2898">
            <v>44911</v>
          </cell>
          <cell r="G2898">
            <v>44919</v>
          </cell>
          <cell r="H2898">
            <v>44921</v>
          </cell>
          <cell r="I2898" t="str">
            <v>05.01.2023</v>
          </cell>
          <cell r="J2898" t="str">
            <v>20.12.2022</v>
          </cell>
          <cell r="K2898" t="str">
            <v>-</v>
          </cell>
          <cell r="L2898" t="str">
            <v>OK</v>
          </cell>
        </row>
        <row r="2899">
          <cell r="A2899" t="str">
            <v>SHW-45523I22</v>
          </cell>
          <cell r="B2899">
            <v>609257352</v>
          </cell>
          <cell r="C2899" t="str">
            <v>Original</v>
          </cell>
          <cell r="D2899" t="str">
            <v>Shenker</v>
          </cell>
          <cell r="E2899" t="str">
            <v>Unitrading</v>
          </cell>
          <cell r="F2899">
            <v>44903</v>
          </cell>
          <cell r="G2899">
            <v>44911</v>
          </cell>
          <cell r="H2899">
            <v>44913</v>
          </cell>
          <cell r="I2899" t="str">
            <v>09.12.2022</v>
          </cell>
          <cell r="J2899" t="str">
            <v>09.12.2022</v>
          </cell>
          <cell r="K2899" t="str">
            <v>-</v>
          </cell>
          <cell r="L2899" t="str">
            <v>OK</v>
          </cell>
        </row>
        <row r="2900">
          <cell r="A2900" t="str">
            <v>SHW-45524I22</v>
          </cell>
          <cell r="B2900">
            <v>222635270</v>
          </cell>
          <cell r="C2900" t="str">
            <v>Original</v>
          </cell>
          <cell r="D2900" t="str">
            <v>Shenker</v>
          </cell>
          <cell r="E2900" t="str">
            <v>Unitrading</v>
          </cell>
          <cell r="F2900">
            <v>44903</v>
          </cell>
          <cell r="G2900">
            <v>44911</v>
          </cell>
          <cell r="H2900">
            <v>44913</v>
          </cell>
          <cell r="I2900" t="str">
            <v>09.12.2022</v>
          </cell>
          <cell r="J2900" t="str">
            <v>09.12.2022</v>
          </cell>
          <cell r="K2900" t="str">
            <v>-</v>
          </cell>
          <cell r="L2900" t="str">
            <v>OK</v>
          </cell>
        </row>
        <row r="2901">
          <cell r="A2901" t="str">
            <v>SHW-45648I22</v>
          </cell>
          <cell r="B2901">
            <v>222790561</v>
          </cell>
          <cell r="C2901" t="str">
            <v>Original</v>
          </cell>
          <cell r="D2901" t="str">
            <v>Shenker</v>
          </cell>
          <cell r="E2901" t="str">
            <v>Unitrading</v>
          </cell>
          <cell r="F2901">
            <v>44908</v>
          </cell>
          <cell r="G2901">
            <v>44916</v>
          </cell>
          <cell r="H2901">
            <v>44918</v>
          </cell>
          <cell r="I2901" t="str">
            <v>16.12.2022</v>
          </cell>
          <cell r="J2901" t="str">
            <v>15.12.2022</v>
          </cell>
          <cell r="K2901" t="str">
            <v>-</v>
          </cell>
          <cell r="L2901" t="str">
            <v>OK</v>
          </cell>
        </row>
        <row r="2902">
          <cell r="A2902" t="str">
            <v>SHW-45649I22</v>
          </cell>
          <cell r="B2902">
            <v>609288978</v>
          </cell>
          <cell r="C2902" t="str">
            <v>Original</v>
          </cell>
          <cell r="D2902" t="str">
            <v>Shenker</v>
          </cell>
          <cell r="E2902" t="str">
            <v>Unitrading</v>
          </cell>
          <cell r="F2902">
            <v>44908</v>
          </cell>
          <cell r="G2902">
            <v>44916</v>
          </cell>
          <cell r="H2902">
            <v>44918</v>
          </cell>
          <cell r="I2902" t="str">
            <v>16.12.2022</v>
          </cell>
          <cell r="J2902" t="str">
            <v>15.12.2022</v>
          </cell>
          <cell r="K2902" t="str">
            <v>-</v>
          </cell>
          <cell r="L2902" t="str">
            <v>OK</v>
          </cell>
        </row>
        <row r="2903">
          <cell r="A2903" t="str">
            <v>AHW-46139I22</v>
          </cell>
          <cell r="B2903">
            <v>4010793</v>
          </cell>
          <cell r="C2903" t="str">
            <v>Original</v>
          </cell>
          <cell r="D2903" t="str">
            <v>CTS</v>
          </cell>
          <cell r="E2903" t="str">
            <v>JP</v>
          </cell>
          <cell r="F2903">
            <v>44914</v>
          </cell>
          <cell r="G2903">
            <v>44922</v>
          </cell>
          <cell r="H2903">
            <v>44924</v>
          </cell>
          <cell r="I2903" t="str">
            <v>05.01.2023</v>
          </cell>
          <cell r="J2903" t="str">
            <v>03.01.2023</v>
          </cell>
          <cell r="K2903" t="str">
            <v>-</v>
          </cell>
          <cell r="L2903" t="str">
            <v>OK</v>
          </cell>
        </row>
        <row r="2904">
          <cell r="A2904" t="str">
            <v>AHW-46140I22</v>
          </cell>
          <cell r="B2904">
            <v>4010794</v>
          </cell>
          <cell r="C2904" t="str">
            <v>Original</v>
          </cell>
          <cell r="D2904" t="str">
            <v>CTS</v>
          </cell>
          <cell r="E2904" t="str">
            <v>JP</v>
          </cell>
          <cell r="F2904">
            <v>44914</v>
          </cell>
          <cell r="G2904">
            <v>44922</v>
          </cell>
          <cell r="H2904">
            <v>44924</v>
          </cell>
          <cell r="I2904" t="str">
            <v>05.01.2023</v>
          </cell>
          <cell r="J2904" t="str">
            <v>04.01.2023</v>
          </cell>
          <cell r="K2904" t="str">
            <v>-</v>
          </cell>
          <cell r="L2904" t="str">
            <v>OK</v>
          </cell>
        </row>
        <row r="2905">
          <cell r="A2905" t="str">
            <v>AMS-46108I22</v>
          </cell>
          <cell r="B2905">
            <v>418795405</v>
          </cell>
          <cell r="C2905" t="str">
            <v>Original</v>
          </cell>
          <cell r="D2905" t="str">
            <v>PGL</v>
          </cell>
          <cell r="E2905" t="str">
            <v>Technology</v>
          </cell>
          <cell r="F2905">
            <v>44915</v>
          </cell>
          <cell r="G2905">
            <v>44923</v>
          </cell>
          <cell r="H2905">
            <v>44925</v>
          </cell>
          <cell r="I2905" t="str">
            <v>05.01.2023</v>
          </cell>
          <cell r="J2905" t="str">
            <v>04.01.2023</v>
          </cell>
          <cell r="K2905" t="str">
            <v>-</v>
          </cell>
          <cell r="L2905" t="str">
            <v>OK</v>
          </cell>
        </row>
        <row r="2906">
          <cell r="A2906" t="str">
            <v>AMS-46110I22</v>
          </cell>
          <cell r="B2906" t="str">
            <v>41L0096789</v>
          </cell>
          <cell r="C2906" t="str">
            <v>Original</v>
          </cell>
          <cell r="D2906" t="str">
            <v>Expeditors</v>
          </cell>
          <cell r="E2906" t="str">
            <v>Expeditors</v>
          </cell>
          <cell r="F2906">
            <v>44915</v>
          </cell>
          <cell r="G2906">
            <v>44923</v>
          </cell>
          <cell r="H2906">
            <v>44925</v>
          </cell>
          <cell r="I2906" t="str">
            <v>05.01.2023</v>
          </cell>
          <cell r="J2906" t="str">
            <v>04.01.2023</v>
          </cell>
          <cell r="K2906" t="str">
            <v>-</v>
          </cell>
          <cell r="L2906" t="str">
            <v>OK</v>
          </cell>
        </row>
        <row r="2907">
          <cell r="A2907" t="str">
            <v>AMS-46111I22</v>
          </cell>
          <cell r="B2907" t="str">
            <v>41L0096790</v>
          </cell>
          <cell r="C2907" t="str">
            <v>Original</v>
          </cell>
          <cell r="D2907" t="str">
            <v>Expeditors</v>
          </cell>
          <cell r="E2907" t="str">
            <v>Expeditors</v>
          </cell>
          <cell r="F2907">
            <v>44915</v>
          </cell>
          <cell r="G2907">
            <v>44923</v>
          </cell>
          <cell r="H2907">
            <v>44925</v>
          </cell>
          <cell r="I2907" t="str">
            <v>05.01.2023</v>
          </cell>
          <cell r="J2907" t="str">
            <v>04.01.2023</v>
          </cell>
          <cell r="K2907" t="str">
            <v>-</v>
          </cell>
          <cell r="L2907" t="str">
            <v>OK</v>
          </cell>
        </row>
        <row r="2908">
          <cell r="A2908" t="str">
            <v>AMS-46112I22</v>
          </cell>
          <cell r="B2908" t="str">
            <v>41L0096791</v>
          </cell>
          <cell r="C2908" t="str">
            <v>Original</v>
          </cell>
          <cell r="D2908" t="str">
            <v>Expeditors</v>
          </cell>
          <cell r="E2908" t="str">
            <v>Expeditors</v>
          </cell>
          <cell r="F2908">
            <v>44915</v>
          </cell>
          <cell r="G2908">
            <v>44923</v>
          </cell>
          <cell r="H2908">
            <v>44925</v>
          </cell>
          <cell r="I2908" t="str">
            <v>05.01.2023</v>
          </cell>
          <cell r="J2908" t="str">
            <v>04.01.2023</v>
          </cell>
          <cell r="K2908" t="str">
            <v>-</v>
          </cell>
          <cell r="L2908" t="str">
            <v>OK</v>
          </cell>
        </row>
        <row r="2909">
          <cell r="A2909" t="str">
            <v>AMS-46113I22</v>
          </cell>
          <cell r="B2909" t="str">
            <v>41L0096829</v>
          </cell>
          <cell r="C2909" t="str">
            <v>Original</v>
          </cell>
          <cell r="D2909" t="str">
            <v>Expeditors</v>
          </cell>
          <cell r="E2909" t="str">
            <v>Expeditors</v>
          </cell>
          <cell r="F2909">
            <v>44915</v>
          </cell>
          <cell r="G2909">
            <v>44923</v>
          </cell>
          <cell r="H2909">
            <v>44925</v>
          </cell>
          <cell r="I2909" t="str">
            <v>05.01.2023</v>
          </cell>
          <cell r="J2909" t="str">
            <v>04.01.2023</v>
          </cell>
          <cell r="K2909" t="str">
            <v>-</v>
          </cell>
          <cell r="L2909" t="str">
            <v>OK</v>
          </cell>
        </row>
        <row r="2910">
          <cell r="A2910" t="str">
            <v>AMS-46135I22</v>
          </cell>
          <cell r="B2910" t="str">
            <v>41L0096820</v>
          </cell>
          <cell r="C2910" t="str">
            <v>Original</v>
          </cell>
          <cell r="D2910" t="str">
            <v>Expeditors</v>
          </cell>
          <cell r="E2910" t="str">
            <v>Expeditors</v>
          </cell>
          <cell r="F2910">
            <v>44915</v>
          </cell>
          <cell r="G2910">
            <v>44923</v>
          </cell>
          <cell r="H2910">
            <v>44925</v>
          </cell>
          <cell r="I2910" t="str">
            <v>05.01.2023</v>
          </cell>
          <cell r="J2910" t="str">
            <v>04.01.2023</v>
          </cell>
          <cell r="K2910" t="str">
            <v>-</v>
          </cell>
          <cell r="L2910" t="str">
            <v>OK</v>
          </cell>
        </row>
        <row r="2911">
          <cell r="A2911" t="str">
            <v>AMS-45768I22</v>
          </cell>
          <cell r="B2911" t="str">
            <v xml:space="preserve">1Z6469V00473279254 / 1Z6469V00475587588 / 1Z6469V00475492215 / 1Z6469V00475419474 / 1Z6469V00475344483 / 1Z6469V00475171142 / 1Z6469V00475158532 / 1Z6469V00475131631 / 1Z6469V00475063198 / 1Z6469V00474996576 / 1Z6469V00474970245 / 1Z6469V00474934169 / 1Z6469V00474691118 / 1Z6469V00474539408 / 1Z6469V00474357622 / 1Z6469V00474284308 / 1Z6469V00473850528 / 1Z6469V00473794090 / 1Z6469V00473263065 / 1Z6469V00473204351 / </v>
          </cell>
          <cell r="C2911" t="str">
            <v>Brasiliense</v>
          </cell>
          <cell r="D2911" t="str">
            <v>UPS</v>
          </cell>
          <cell r="E2911" t="str">
            <v>Future</v>
          </cell>
          <cell r="F2911">
            <v>44914</v>
          </cell>
          <cell r="G2911">
            <v>44922</v>
          </cell>
          <cell r="H2911">
            <v>44924</v>
          </cell>
          <cell r="I2911" t="str">
            <v>05.01.2023</v>
          </cell>
          <cell r="J2911" t="str">
            <v>03.01.2023</v>
          </cell>
          <cell r="K2911" t="str">
            <v>03.01.2023</v>
          </cell>
          <cell r="L2911" t="str">
            <v>OK</v>
          </cell>
        </row>
        <row r="2912">
          <cell r="A2912" t="str">
            <v>AMS-45769I22</v>
          </cell>
          <cell r="B2912" t="str">
            <v>1Z6469V00473729857 / 1Z6469V00475987324 / 1Z6469V00475897136 / 1Z6469V00475630235 / 1Z6469V00475519179 / 1Z6469V00475420766 / 1Z6469V00475243949 / 1Z6469V00475189660 / 1Z6469V00475024846 / 1Z6469V00474937791 / 1Z6469V00474930001 / 1Z6469V00474865743 / 1Z6469V00474823332 / 1Z6469V00474793124 / 1Z6469V00474706183 / 1Z6469V00474703088 / 1Z6469V00474614951 / 1Z6469V00474460224 / 1Z6469V00474397713 / 1Z6469V00474379911 / 1Z6469V00474169282 / 1Z6469V00473911864 / 1Z6469V00473805103 / 1Z6469V00473782076 / 1Z6469V00473758816 / 1Z6469V00473714907 / 1Z6469V00473626897 / 1Z6469V00473308696 / 1Z6469V00473160050 / 1Z6469V00473116278 /</v>
          </cell>
          <cell r="C2912" t="str">
            <v>Brasiliense</v>
          </cell>
          <cell r="D2912" t="str">
            <v>UPS</v>
          </cell>
          <cell r="E2912" t="str">
            <v>Future</v>
          </cell>
          <cell r="F2912">
            <v>44914</v>
          </cell>
          <cell r="G2912">
            <v>44922</v>
          </cell>
          <cell r="H2912">
            <v>44924</v>
          </cell>
          <cell r="I2912" t="str">
            <v>05.01.2023</v>
          </cell>
          <cell r="J2912" t="str">
            <v>03.01.2023</v>
          </cell>
          <cell r="K2912" t="str">
            <v>03.01.2023</v>
          </cell>
          <cell r="L2912" t="str">
            <v>OK</v>
          </cell>
        </row>
        <row r="2913">
          <cell r="A2913" t="str">
            <v>AMS-45771I22</v>
          </cell>
          <cell r="B2913" t="str">
            <v>1Z6469V00474636544 / 1Z6469V00475866133 / 1Z6469V00475848171 / 1Z6469V00475845272 / 1Z6469V00475809767 / 1Z6469V00475754101 / 1Z6469V00475433976 / 1Z6469V00475422120 / 1Z6469V00475416324 / 1Z6469V00475409056 / 1Z6469V00475317691 / 1Z6469V00475215023 / 1Z6469V00475086717 / 1Z6469V00475028986 / 1Z6469V00474999233 / 1Z6469V00474972083 / 1Z6469V00474807565 / 1Z6469V00474711079 / 1Z6469V00474585617 / 1Z6469V00474553759 / 1Z6469V00474489221 / 1Z6469V00474479009 / 1Z6469V00474463954 / 1Z6469V00474435896 / 1Z6469V00474375184 / 1Z6469V00474348598 / 1Z6469V00474178852 / 1Z6469V00474075641 / 1Z6469V00473908805 / 1Z6469V00473868911 / 1Z6469V00473863907 / 1Z6469V00473847818 / 1Z6469V00473700869 / 1Z6469V00473592334 / 1Z6469V00473574747 / 1Z6469V00473346798 / 1Z6469V00473238280 / 1Z6469V00473193033 / 1Z6469V00473178667 / 1Z6469V00473133848 /</v>
          </cell>
          <cell r="C2913" t="str">
            <v>Brasiliense</v>
          </cell>
          <cell r="D2913" t="str">
            <v>UPS</v>
          </cell>
          <cell r="E2913" t="str">
            <v>Future</v>
          </cell>
          <cell r="F2913">
            <v>44914</v>
          </cell>
          <cell r="G2913">
            <v>44922</v>
          </cell>
          <cell r="H2913">
            <v>44924</v>
          </cell>
          <cell r="I2913" t="str">
            <v>05.01.2023</v>
          </cell>
          <cell r="J2913" t="str">
            <v>03.01.2023</v>
          </cell>
          <cell r="K2913" t="str">
            <v>03.01.2023</v>
          </cell>
          <cell r="L2913" t="str">
            <v>OK</v>
          </cell>
        </row>
        <row r="2914">
          <cell r="A2914" t="str">
            <v>AMS-45768I22</v>
          </cell>
          <cell r="B2914" t="str">
            <v xml:space="preserve">1Z6469V00473279254 / 1Z6469V00475587588 / 1Z6469V00475492215 / 1Z6469V00475419474 / 1Z6469V00475344483 / 1Z6469V00475171142 / 1Z6469V00475158532 / 1Z6469V00475131631 / 1Z6469V00475063198 / 1Z6469V00474996576 / 1Z6469V00474970245 / 1Z6469V00474934169 / 1Z6469V00474691118 / 1Z6469V00474539408 / 1Z6469V00474357622 / 1Z6469V00474284308 / 1Z6469V00473850528 / 1Z6469V00473794090 / 1Z6469V00473263065 / 1Z6469V00473204351 / </v>
          </cell>
          <cell r="C2914" t="str">
            <v>Brasiliense</v>
          </cell>
          <cell r="D2914" t="str">
            <v>UPS</v>
          </cell>
          <cell r="E2914" t="str">
            <v>Future</v>
          </cell>
          <cell r="F2914">
            <v>44914</v>
          </cell>
          <cell r="G2914">
            <v>44922</v>
          </cell>
          <cell r="H2914">
            <v>44924</v>
          </cell>
          <cell r="I2914" t="str">
            <v>05.01.2023</v>
          </cell>
          <cell r="J2914" t="str">
            <v>03.01.2023</v>
          </cell>
          <cell r="K2914" t="str">
            <v>03.01.2023</v>
          </cell>
          <cell r="L2914" t="str">
            <v>OK</v>
          </cell>
        </row>
        <row r="2915">
          <cell r="A2915" t="str">
            <v>AMS-45769I22</v>
          </cell>
          <cell r="B2915" t="str">
            <v>1Z6469V00473729857 / 1Z6469V00475987324 / 1Z6469V00475897136 / 1Z6469V00475630235 / 1Z6469V00475519179 / 1Z6469V00475420766 / 1Z6469V00475243949 / 1Z6469V00475189660 / 1Z6469V00475024846 / 1Z6469V00474937791 / 1Z6469V00474930001 / 1Z6469V00474865743 / 1Z6469V00474823332 / 1Z6469V00474793124 / 1Z6469V00474706183 / 1Z6469V00474703088 / 1Z6469V00474614951 / 1Z6469V00474460224 / 1Z6469V00474397713 / 1Z6469V00474379911 / 1Z6469V00474169282 / 1Z6469V00473911864 / 1Z6469V00473805103 / 1Z6469V00473782076 / 1Z6469V00473758816 / 1Z6469V00473714907 / 1Z6469V00473626897 / 1Z6469V00473308696 / 1Z6469V00473160050 / 1Z6469V00473116278 /</v>
          </cell>
          <cell r="C2915" t="str">
            <v>Brasiliense</v>
          </cell>
          <cell r="D2915" t="str">
            <v>UPS</v>
          </cell>
          <cell r="E2915" t="str">
            <v>Future</v>
          </cell>
          <cell r="F2915">
            <v>44914</v>
          </cell>
          <cell r="G2915">
            <v>44922</v>
          </cell>
          <cell r="H2915">
            <v>44924</v>
          </cell>
          <cell r="I2915" t="str">
            <v>05.01.2023</v>
          </cell>
          <cell r="J2915" t="str">
            <v>03.01.2023</v>
          </cell>
          <cell r="K2915" t="str">
            <v>03.01.2023</v>
          </cell>
          <cell r="L2915" t="str">
            <v>OK</v>
          </cell>
        </row>
        <row r="2916">
          <cell r="A2916" t="str">
            <v>AMS-45771I22</v>
          </cell>
          <cell r="B2916" t="str">
            <v>1Z6469V00474636544 / 1Z6469V00475866133 / 1Z6469V00475848171 / 1Z6469V00475845272 / 1Z6469V00475809767 / 1Z6469V00475754101 / 1Z6469V00475433976 / 1Z6469V00475422120 / 1Z6469V00475416324 / 1Z6469V00475409056 / 1Z6469V00475317691 / 1Z6469V00475215023 / 1Z6469V00475086717 / 1Z6469V00475028986 / 1Z6469V00474999233 / 1Z6469V00474972083 / 1Z6469V00474807565 / 1Z6469V00474711079 / 1Z6469V00474585617 / 1Z6469V00474553759 / 1Z6469V00474489221 / 1Z6469V00474479009 / 1Z6469V00474463954 / 1Z6469V00474435896 / 1Z6469V00474375184 / 1Z6469V00474348598 / 1Z6469V00474178852 / 1Z6469V00474075641 / 1Z6469V00473908805 / 1Z6469V00473868911 / 1Z6469V00473863907 / 1Z6469V00473847818 / 1Z6469V00473700869 / 1Z6469V00473592334 / 1Z6469V00473574747 / 1Z6469V00473346798 / 1Z6469V00473238280 / 1Z6469V00473193033 / 1Z6469V00473178667 / 1Z6469V00473133848 /</v>
          </cell>
          <cell r="C2916" t="str">
            <v>Brasiliense</v>
          </cell>
          <cell r="D2916" t="str">
            <v>UPS</v>
          </cell>
          <cell r="E2916" t="str">
            <v>Future</v>
          </cell>
          <cell r="F2916">
            <v>44914</v>
          </cell>
          <cell r="G2916">
            <v>44922</v>
          </cell>
          <cell r="H2916">
            <v>44924</v>
          </cell>
          <cell r="I2916" t="str">
            <v>05.01.2023</v>
          </cell>
          <cell r="J2916" t="str">
            <v>03.01.2023</v>
          </cell>
          <cell r="K2916" t="str">
            <v>03.01.2023</v>
          </cell>
          <cell r="L2916" t="str">
            <v>OK</v>
          </cell>
        </row>
        <row r="2917">
          <cell r="A2917" t="str">
            <v>AMS-46196I22</v>
          </cell>
          <cell r="B2917" t="str">
            <v>1Z6469V00475991845</v>
          </cell>
          <cell r="C2917" t="str">
            <v>Brasiliense</v>
          </cell>
          <cell r="D2917" t="str">
            <v>UPS</v>
          </cell>
          <cell r="E2917" t="str">
            <v>Future</v>
          </cell>
          <cell r="F2917">
            <v>44914</v>
          </cell>
          <cell r="G2917">
            <v>44922</v>
          </cell>
          <cell r="H2917">
            <v>44924</v>
          </cell>
          <cell r="I2917" t="str">
            <v>05.01.2023</v>
          </cell>
          <cell r="J2917" t="str">
            <v>03.01.2023</v>
          </cell>
          <cell r="K2917" t="str">
            <v>03.01.2023</v>
          </cell>
          <cell r="L2917" t="str">
            <v>OK</v>
          </cell>
        </row>
        <row r="2918">
          <cell r="A2918" t="str">
            <v>AMS-46197I22</v>
          </cell>
          <cell r="B2918" t="str">
            <v>1Z6469V00473947059</v>
          </cell>
          <cell r="C2918" t="str">
            <v>Brasiliense</v>
          </cell>
          <cell r="D2918" t="str">
            <v>UPS</v>
          </cell>
          <cell r="E2918" t="str">
            <v>Future</v>
          </cell>
          <cell r="F2918">
            <v>44914</v>
          </cell>
          <cell r="G2918">
            <v>44922</v>
          </cell>
          <cell r="H2918">
            <v>44924</v>
          </cell>
          <cell r="I2918" t="str">
            <v>05.01.2023</v>
          </cell>
          <cell r="J2918" t="str">
            <v>03.01.2023</v>
          </cell>
          <cell r="K2918" t="str">
            <v>03.01.2023</v>
          </cell>
          <cell r="L2918" t="str">
            <v>OK</v>
          </cell>
        </row>
        <row r="2919">
          <cell r="A2919" t="str">
            <v>AMS-46198I22</v>
          </cell>
          <cell r="B2919" t="str">
            <v>1Z6469V00473465810</v>
          </cell>
          <cell r="C2919" t="str">
            <v>Brasiliense</v>
          </cell>
          <cell r="D2919" t="str">
            <v>UPS</v>
          </cell>
          <cell r="E2919" t="str">
            <v>Future</v>
          </cell>
          <cell r="F2919">
            <v>44914</v>
          </cell>
          <cell r="G2919">
            <v>44922</v>
          </cell>
          <cell r="H2919">
            <v>44924</v>
          </cell>
          <cell r="I2919" t="str">
            <v>05.01.2023</v>
          </cell>
          <cell r="J2919" t="str">
            <v>03.01.2023</v>
          </cell>
          <cell r="K2919" t="str">
            <v>03.01.2023</v>
          </cell>
          <cell r="L2919" t="str">
            <v>OK</v>
          </cell>
        </row>
        <row r="2920">
          <cell r="A2920" t="str">
            <v>AMS-46199I22</v>
          </cell>
          <cell r="B2920" t="str">
            <v>1Z6469V00474728409</v>
          </cell>
          <cell r="C2920" t="str">
            <v>Brasiliense</v>
          </cell>
          <cell r="D2920" t="str">
            <v>UPS</v>
          </cell>
          <cell r="E2920" t="str">
            <v>Future</v>
          </cell>
          <cell r="F2920">
            <v>44914</v>
          </cell>
          <cell r="G2920">
            <v>44922</v>
          </cell>
          <cell r="H2920">
            <v>44924</v>
          </cell>
          <cell r="I2920" t="str">
            <v>05.01.2023</v>
          </cell>
          <cell r="J2920" t="str">
            <v>03.01.2023</v>
          </cell>
          <cell r="K2920" t="str">
            <v>03.01.2023</v>
          </cell>
          <cell r="L2920" t="str">
            <v>OK</v>
          </cell>
        </row>
        <row r="2921">
          <cell r="A2921" t="str">
            <v>AHW-45248I22</v>
          </cell>
          <cell r="B2921">
            <v>4009913</v>
          </cell>
          <cell r="C2921" t="str">
            <v>Original</v>
          </cell>
          <cell r="D2921" t="str">
            <v>CTS</v>
          </cell>
          <cell r="E2921" t="str">
            <v>JP</v>
          </cell>
          <cell r="F2921">
            <v>44859</v>
          </cell>
          <cell r="G2921">
            <v>44867</v>
          </cell>
          <cell r="H2921">
            <v>44869</v>
          </cell>
          <cell r="I2921" t="str">
            <v>08.11.2022</v>
          </cell>
          <cell r="J2921" t="str">
            <v>25.10.2022</v>
          </cell>
          <cell r="K2921" t="str">
            <v>-</v>
          </cell>
          <cell r="L2921" t="str">
            <v>OK</v>
          </cell>
        </row>
        <row r="2922">
          <cell r="A2922" t="str">
            <v>AMS-46109I22</v>
          </cell>
          <cell r="B2922" t="str">
            <v>41L0096788</v>
          </cell>
          <cell r="C2922" t="str">
            <v>Original</v>
          </cell>
          <cell r="D2922" t="str">
            <v>Expeditors</v>
          </cell>
          <cell r="E2922" t="str">
            <v>Expeditors</v>
          </cell>
          <cell r="F2922">
            <v>44916</v>
          </cell>
          <cell r="G2922">
            <v>44924</v>
          </cell>
          <cell r="H2922">
            <v>44926</v>
          </cell>
          <cell r="I2922" t="str">
            <v>05.01.2023</v>
          </cell>
          <cell r="J2922" t="str">
            <v>04.01.2023</v>
          </cell>
          <cell r="K2922" t="str">
            <v>-</v>
          </cell>
          <cell r="L2922" t="str">
            <v>OK</v>
          </cell>
        </row>
        <row r="2923">
          <cell r="A2923" t="str">
            <v>AMS-46114I22</v>
          </cell>
          <cell r="B2923" t="str">
            <v>41L0096830</v>
          </cell>
          <cell r="C2923" t="str">
            <v>Original</v>
          </cell>
          <cell r="D2923" t="str">
            <v>Expeditors</v>
          </cell>
          <cell r="E2923" t="str">
            <v>Expeditors</v>
          </cell>
          <cell r="F2923">
            <v>44916</v>
          </cell>
          <cell r="G2923">
            <v>44924</v>
          </cell>
          <cell r="H2923">
            <v>44926</v>
          </cell>
          <cell r="I2923" t="str">
            <v>05.01.2023</v>
          </cell>
          <cell r="J2923" t="str">
            <v>04.01.2023</v>
          </cell>
          <cell r="K2923" t="str">
            <v>-</v>
          </cell>
          <cell r="L2923" t="str">
            <v>OK</v>
          </cell>
        </row>
        <row r="2924">
          <cell r="A2924" t="str">
            <v>AMS-46115I22</v>
          </cell>
          <cell r="B2924" t="str">
            <v>41L0096831</v>
          </cell>
          <cell r="C2924" t="str">
            <v>Original</v>
          </cell>
          <cell r="D2924" t="str">
            <v>Expeditors</v>
          </cell>
          <cell r="E2924" t="str">
            <v>Expeditors</v>
          </cell>
          <cell r="F2924">
            <v>44916</v>
          </cell>
          <cell r="G2924">
            <v>44924</v>
          </cell>
          <cell r="H2924">
            <v>44926</v>
          </cell>
          <cell r="I2924" t="str">
            <v>05.01.2023</v>
          </cell>
          <cell r="J2924" t="str">
            <v>04.01.2023</v>
          </cell>
          <cell r="K2924" t="str">
            <v>-</v>
          </cell>
          <cell r="L2924" t="str">
            <v>OK</v>
          </cell>
        </row>
        <row r="2925">
          <cell r="A2925" t="str">
            <v>AMS-46131I22</v>
          </cell>
          <cell r="B2925" t="str">
            <v>41L0096816</v>
          </cell>
          <cell r="C2925" t="str">
            <v>Original</v>
          </cell>
          <cell r="D2925" t="str">
            <v>Expeditors</v>
          </cell>
          <cell r="E2925" t="str">
            <v>Expeditors</v>
          </cell>
          <cell r="F2925">
            <v>44916</v>
          </cell>
          <cell r="G2925">
            <v>44924</v>
          </cell>
          <cell r="H2925">
            <v>44926</v>
          </cell>
          <cell r="I2925" t="str">
            <v>05.01.2023</v>
          </cell>
          <cell r="J2925" t="str">
            <v>04.01.2023</v>
          </cell>
          <cell r="K2925" t="str">
            <v>-</v>
          </cell>
          <cell r="L2925" t="str">
            <v>OK</v>
          </cell>
        </row>
        <row r="2926">
          <cell r="A2926" t="str">
            <v>AMS-46132I22</v>
          </cell>
          <cell r="B2926" t="str">
            <v>41L0096817</v>
          </cell>
          <cell r="C2926" t="str">
            <v>Original</v>
          </cell>
          <cell r="D2926" t="str">
            <v>Expeditors</v>
          </cell>
          <cell r="E2926" t="str">
            <v>Expeditors</v>
          </cell>
          <cell r="F2926">
            <v>44916</v>
          </cell>
          <cell r="G2926">
            <v>44924</v>
          </cell>
          <cell r="H2926">
            <v>44926</v>
          </cell>
          <cell r="I2926" t="str">
            <v>05.01.2023</v>
          </cell>
          <cell r="J2926" t="str">
            <v>04.01.2023</v>
          </cell>
          <cell r="K2926" t="str">
            <v>-</v>
          </cell>
          <cell r="L2926" t="str">
            <v>OK</v>
          </cell>
        </row>
        <row r="2927">
          <cell r="A2927" t="str">
            <v>AMS-46133I22</v>
          </cell>
          <cell r="B2927" t="str">
            <v>41L0096818</v>
          </cell>
          <cell r="C2927" t="str">
            <v>Original</v>
          </cell>
          <cell r="D2927" t="str">
            <v>Expeditors</v>
          </cell>
          <cell r="E2927" t="str">
            <v>Expeditors</v>
          </cell>
          <cell r="F2927">
            <v>44916</v>
          </cell>
          <cell r="G2927">
            <v>44924</v>
          </cell>
          <cell r="H2927">
            <v>44926</v>
          </cell>
          <cell r="I2927" t="str">
            <v>05.01.2023</v>
          </cell>
          <cell r="J2927" t="str">
            <v>04.01.2023</v>
          </cell>
          <cell r="K2927" t="str">
            <v>-</v>
          </cell>
          <cell r="L2927" t="str">
            <v>OK</v>
          </cell>
        </row>
        <row r="2928">
          <cell r="A2928" t="str">
            <v>AMS-46134I22</v>
          </cell>
          <cell r="B2928" t="str">
            <v>41L0096819</v>
          </cell>
          <cell r="C2928" t="str">
            <v>Original</v>
          </cell>
          <cell r="D2928" t="str">
            <v>Expeditors</v>
          </cell>
          <cell r="E2928" t="str">
            <v>Expeditors</v>
          </cell>
          <cell r="F2928">
            <v>44916</v>
          </cell>
          <cell r="G2928">
            <v>44924</v>
          </cell>
          <cell r="H2928">
            <v>44926</v>
          </cell>
          <cell r="I2928" t="str">
            <v>05.01.2023</v>
          </cell>
          <cell r="J2928" t="str">
            <v>04.01.2023</v>
          </cell>
          <cell r="K2928" t="str">
            <v>-</v>
          </cell>
          <cell r="L2928" t="str">
            <v>OK</v>
          </cell>
        </row>
        <row r="2929">
          <cell r="A2929" t="str">
            <v>AMS-46136I22</v>
          </cell>
          <cell r="B2929" t="str">
            <v>41L0096828</v>
          </cell>
          <cell r="C2929" t="str">
            <v>Original</v>
          </cell>
          <cell r="D2929" t="str">
            <v>Expeditors</v>
          </cell>
          <cell r="E2929" t="str">
            <v>Expeditors</v>
          </cell>
          <cell r="F2929">
            <v>44916</v>
          </cell>
          <cell r="G2929">
            <v>44924</v>
          </cell>
          <cell r="H2929">
            <v>44926</v>
          </cell>
          <cell r="I2929" t="str">
            <v>05.01.2023</v>
          </cell>
          <cell r="J2929" t="str">
            <v>04.01.2023</v>
          </cell>
          <cell r="K2929" t="str">
            <v>-</v>
          </cell>
          <cell r="L2929" t="str">
            <v>OK</v>
          </cell>
        </row>
        <row r="2930">
          <cell r="A2930" t="str">
            <v>AMS-46148I22</v>
          </cell>
          <cell r="B2930">
            <v>419044194</v>
          </cell>
          <cell r="C2930" t="str">
            <v>Original</v>
          </cell>
          <cell r="D2930" t="str">
            <v>PGL</v>
          </cell>
          <cell r="E2930" t="str">
            <v>PGL</v>
          </cell>
          <cell r="F2930">
            <v>44923</v>
          </cell>
          <cell r="G2930">
            <v>44931</v>
          </cell>
          <cell r="H2930">
            <v>44933</v>
          </cell>
          <cell r="I2930" t="str">
            <v>05.01.2023</v>
          </cell>
          <cell r="J2930" t="str">
            <v>04.01.2023</v>
          </cell>
          <cell r="K2930" t="str">
            <v>-</v>
          </cell>
          <cell r="L2930" t="str">
            <v>OK</v>
          </cell>
        </row>
        <row r="2931">
          <cell r="A2931" t="str">
            <v>AMS-46149I22</v>
          </cell>
          <cell r="B2931">
            <v>419044180</v>
          </cell>
          <cell r="C2931" t="str">
            <v>Original</v>
          </cell>
          <cell r="D2931" t="str">
            <v>PGL</v>
          </cell>
          <cell r="E2931" t="str">
            <v>PGL</v>
          </cell>
          <cell r="F2931">
            <v>44921</v>
          </cell>
          <cell r="G2931">
            <v>44929</v>
          </cell>
          <cell r="H2931">
            <v>44931</v>
          </cell>
          <cell r="I2931" t="str">
            <v>05.01.2023</v>
          </cell>
          <cell r="J2931" t="str">
            <v>04.01.2023</v>
          </cell>
          <cell r="K2931" t="str">
            <v>-</v>
          </cell>
          <cell r="L2931" t="str">
            <v>OK</v>
          </cell>
        </row>
        <row r="2932">
          <cell r="A2932" t="str">
            <v>AMS-46150I22</v>
          </cell>
          <cell r="B2932">
            <v>419044181</v>
          </cell>
          <cell r="C2932" t="str">
            <v>Original</v>
          </cell>
          <cell r="D2932" t="str">
            <v>PGL</v>
          </cell>
          <cell r="E2932" t="str">
            <v>PGL</v>
          </cell>
          <cell r="F2932">
            <v>44921</v>
          </cell>
          <cell r="G2932">
            <v>44929</v>
          </cell>
          <cell r="H2932">
            <v>44931</v>
          </cell>
          <cell r="I2932" t="str">
            <v>05.01.2023</v>
          </cell>
          <cell r="J2932" t="str">
            <v>05.01.2023</v>
          </cell>
          <cell r="K2932" t="str">
            <v>-</v>
          </cell>
          <cell r="L2932" t="str">
            <v>OK</v>
          </cell>
        </row>
        <row r="2933">
          <cell r="A2933" t="str">
            <v>AMS-46151I22</v>
          </cell>
          <cell r="B2933">
            <v>419044183</v>
          </cell>
          <cell r="C2933" t="str">
            <v>Original</v>
          </cell>
          <cell r="D2933" t="str">
            <v>PGL</v>
          </cell>
          <cell r="E2933" t="str">
            <v>PGL</v>
          </cell>
          <cell r="F2933">
            <v>44921</v>
          </cell>
          <cell r="G2933">
            <v>44929</v>
          </cell>
          <cell r="H2933">
            <v>44931</v>
          </cell>
          <cell r="I2933" t="str">
            <v>05.01.2023</v>
          </cell>
          <cell r="J2933" t="str">
            <v>05.01.2023</v>
          </cell>
          <cell r="K2933" t="str">
            <v>-</v>
          </cell>
          <cell r="L2933" t="str">
            <v>OK</v>
          </cell>
        </row>
        <row r="2934">
          <cell r="A2934" t="str">
            <v>AMS-46152I22</v>
          </cell>
          <cell r="B2934">
            <v>419044186</v>
          </cell>
          <cell r="C2934" t="str">
            <v>Original</v>
          </cell>
          <cell r="D2934" t="str">
            <v>PGL</v>
          </cell>
          <cell r="E2934" t="str">
            <v>PGL</v>
          </cell>
          <cell r="F2934">
            <v>44921</v>
          </cell>
          <cell r="G2934">
            <v>44929</v>
          </cell>
          <cell r="H2934">
            <v>44931</v>
          </cell>
          <cell r="I2934" t="str">
            <v>05.01.2023</v>
          </cell>
          <cell r="J2934" t="str">
            <v>05.01.2023</v>
          </cell>
          <cell r="K2934" t="str">
            <v>-</v>
          </cell>
          <cell r="L2934" t="str">
            <v>OK</v>
          </cell>
        </row>
        <row r="2935">
          <cell r="A2935" t="str">
            <v>AMS-46201I22</v>
          </cell>
          <cell r="B2935">
            <v>419821932</v>
          </cell>
          <cell r="C2935" t="str">
            <v>Original</v>
          </cell>
          <cell r="D2935" t="str">
            <v>PGL</v>
          </cell>
          <cell r="E2935" t="str">
            <v>PGL</v>
          </cell>
          <cell r="F2935">
            <v>44924</v>
          </cell>
          <cell r="G2935">
            <v>44932</v>
          </cell>
          <cell r="H2935">
            <v>44934</v>
          </cell>
          <cell r="I2935" t="str">
            <v>05.01.2023</v>
          </cell>
          <cell r="J2935" t="str">
            <v>05.01.2023</v>
          </cell>
          <cell r="K2935" t="str">
            <v>-</v>
          </cell>
          <cell r="L2935" t="str">
            <v>OK</v>
          </cell>
        </row>
        <row r="2936">
          <cell r="A2936" t="str">
            <v>AMS-46202I22</v>
          </cell>
          <cell r="B2936">
            <v>419821938</v>
          </cell>
          <cell r="C2936" t="str">
            <v>Original</v>
          </cell>
          <cell r="D2936" t="str">
            <v>PGL</v>
          </cell>
          <cell r="E2936" t="str">
            <v>PGL</v>
          </cell>
          <cell r="F2936">
            <v>44924</v>
          </cell>
          <cell r="G2936">
            <v>44932</v>
          </cell>
          <cell r="H2936">
            <v>44934</v>
          </cell>
          <cell r="I2936" t="str">
            <v>05.01.2023</v>
          </cell>
          <cell r="J2936" t="str">
            <v>05.01.2023</v>
          </cell>
          <cell r="K2936" t="str">
            <v>-</v>
          </cell>
          <cell r="L2936" t="str">
            <v>OK</v>
          </cell>
        </row>
        <row r="2937">
          <cell r="A2937" t="str">
            <v>AMS-46026I22</v>
          </cell>
          <cell r="B2937">
            <v>419731735</v>
          </cell>
          <cell r="C2937" t="str">
            <v>Original</v>
          </cell>
          <cell r="D2937" t="str">
            <v>PGL</v>
          </cell>
          <cell r="E2937" t="str">
            <v>PGL</v>
          </cell>
          <cell r="F2937">
            <v>44922</v>
          </cell>
          <cell r="G2937">
            <v>44930</v>
          </cell>
          <cell r="H2937">
            <v>44932</v>
          </cell>
          <cell r="I2937" t="str">
            <v>05.01.2023</v>
          </cell>
          <cell r="J2937" t="str">
            <v>04.01.2023</v>
          </cell>
          <cell r="K2937" t="str">
            <v>-</v>
          </cell>
          <cell r="L2937" t="str">
            <v>OK</v>
          </cell>
        </row>
        <row r="2938">
          <cell r="A2938" t="str">
            <v>AMS-46203I22</v>
          </cell>
          <cell r="B2938">
            <v>419749957</v>
          </cell>
          <cell r="C2938" t="str">
            <v>Original</v>
          </cell>
          <cell r="D2938" t="str">
            <v>PGL</v>
          </cell>
          <cell r="E2938" t="str">
            <v>PGL</v>
          </cell>
          <cell r="F2938">
            <v>44922</v>
          </cell>
          <cell r="G2938">
            <v>44930</v>
          </cell>
          <cell r="H2938">
            <v>44932</v>
          </cell>
          <cell r="I2938" t="str">
            <v>05.01.2023</v>
          </cell>
          <cell r="J2938" t="str">
            <v>05.01.2023</v>
          </cell>
          <cell r="K2938" t="str">
            <v>-</v>
          </cell>
          <cell r="L2938" t="str">
            <v>OK</v>
          </cell>
        </row>
        <row r="2939">
          <cell r="A2939" t="str">
            <v>AMS-46204I22</v>
          </cell>
          <cell r="B2939">
            <v>419750007</v>
          </cell>
          <cell r="C2939" t="str">
            <v>Original</v>
          </cell>
          <cell r="D2939" t="str">
            <v>PGL</v>
          </cell>
          <cell r="E2939" t="str">
            <v>PGL</v>
          </cell>
          <cell r="F2939">
            <v>44922</v>
          </cell>
          <cell r="G2939">
            <v>44930</v>
          </cell>
          <cell r="H2939">
            <v>44932</v>
          </cell>
          <cell r="I2939" t="str">
            <v>05.01.2023</v>
          </cell>
          <cell r="J2939" t="str">
            <v>05.01.2023</v>
          </cell>
          <cell r="K2939" t="str">
            <v>-</v>
          </cell>
          <cell r="L2939" t="str">
            <v>OK</v>
          </cell>
        </row>
        <row r="2940">
          <cell r="A2940" t="str">
            <v>AMS-46206I22</v>
          </cell>
          <cell r="B2940">
            <v>419750055</v>
          </cell>
          <cell r="C2940" t="str">
            <v>Original</v>
          </cell>
          <cell r="D2940" t="str">
            <v>PGL</v>
          </cell>
          <cell r="E2940" t="str">
            <v>PGL</v>
          </cell>
          <cell r="F2940">
            <v>44922</v>
          </cell>
          <cell r="G2940">
            <v>44930</v>
          </cell>
          <cell r="H2940">
            <v>44932</v>
          </cell>
          <cell r="I2940" t="str">
            <v>05.01.2023</v>
          </cell>
          <cell r="J2940" t="str">
            <v>05.01.2023</v>
          </cell>
          <cell r="K2940" t="str">
            <v>-</v>
          </cell>
          <cell r="L2940" t="str">
            <v>OK</v>
          </cell>
        </row>
        <row r="2941">
          <cell r="A2941" t="str">
            <v>AMS-46210I22</v>
          </cell>
          <cell r="B2941">
            <v>420951010</v>
          </cell>
          <cell r="C2941" t="str">
            <v>Original</v>
          </cell>
          <cell r="D2941" t="str">
            <v>PGL</v>
          </cell>
          <cell r="E2941" t="str">
            <v>PGL</v>
          </cell>
          <cell r="F2941">
            <v>44922</v>
          </cell>
          <cell r="G2941">
            <v>44930</v>
          </cell>
          <cell r="H2941">
            <v>44932</v>
          </cell>
          <cell r="I2941" t="str">
            <v>05.01.2023</v>
          </cell>
          <cell r="J2941" t="str">
            <v>05.01.2023</v>
          </cell>
          <cell r="K2941" t="str">
            <v>-</v>
          </cell>
          <cell r="L2941" t="str">
            <v>OK</v>
          </cell>
        </row>
        <row r="2942">
          <cell r="A2942" t="str">
            <v>AMS-46263I22</v>
          </cell>
          <cell r="B2942" t="str">
            <v>1ZY17F130441214440</v>
          </cell>
          <cell r="C2942" t="str">
            <v>Brasiliense</v>
          </cell>
          <cell r="D2942" t="str">
            <v>UPS</v>
          </cell>
          <cell r="E2942" t="str">
            <v>Future</v>
          </cell>
          <cell r="F2942">
            <v>44917</v>
          </cell>
          <cell r="G2942">
            <v>44925</v>
          </cell>
          <cell r="H2942">
            <v>44927</v>
          </cell>
          <cell r="I2942" t="str">
            <v>05.01.2023</v>
          </cell>
          <cell r="J2942" t="str">
            <v>05.01.2023</v>
          </cell>
          <cell r="K2942" t="str">
            <v>03.01.2023</v>
          </cell>
          <cell r="L2942" t="str">
            <v>OK</v>
          </cell>
        </row>
        <row r="2943">
          <cell r="A2943" t="str">
            <v>AMS-46285I22</v>
          </cell>
          <cell r="B2943" t="str">
            <v>1Z6469V00475328732</v>
          </cell>
          <cell r="C2943" t="str">
            <v>Brasiliense</v>
          </cell>
          <cell r="D2943" t="str">
            <v>UPS</v>
          </cell>
          <cell r="E2943" t="str">
            <v>Future</v>
          </cell>
          <cell r="F2943">
            <v>44918</v>
          </cell>
          <cell r="G2943">
            <v>44926</v>
          </cell>
          <cell r="H2943">
            <v>44928</v>
          </cell>
          <cell r="I2943" t="str">
            <v>05.01.2023</v>
          </cell>
          <cell r="J2943" t="str">
            <v>03.01.2023</v>
          </cell>
          <cell r="K2943" t="str">
            <v>03.01.2023</v>
          </cell>
          <cell r="L2943" t="str">
            <v>OK</v>
          </cell>
        </row>
        <row r="2944">
          <cell r="A2944" t="str">
            <v>AMS-46148I22</v>
          </cell>
          <cell r="B2944">
            <v>419044194</v>
          </cell>
          <cell r="C2944" t="str">
            <v>Original</v>
          </cell>
          <cell r="D2944" t="str">
            <v>PGL</v>
          </cell>
          <cell r="E2944" t="str">
            <v>Technology</v>
          </cell>
          <cell r="F2944">
            <v>44923</v>
          </cell>
          <cell r="G2944">
            <v>44931</v>
          </cell>
          <cell r="H2944">
            <v>44933</v>
          </cell>
          <cell r="I2944" t="str">
            <v>05.01.2023</v>
          </cell>
          <cell r="J2944" t="str">
            <v>04.01.2023</v>
          </cell>
          <cell r="K2944" t="str">
            <v>-</v>
          </cell>
          <cell r="L2944" t="str">
            <v>OK</v>
          </cell>
        </row>
        <row r="2945">
          <cell r="A2945" t="str">
            <v>AMS-46149I22</v>
          </cell>
          <cell r="B2945">
            <v>419044180</v>
          </cell>
          <cell r="C2945" t="str">
            <v>Original</v>
          </cell>
          <cell r="D2945" t="str">
            <v>PGL</v>
          </cell>
          <cell r="E2945" t="str">
            <v>Technology</v>
          </cell>
          <cell r="F2945">
            <v>44921</v>
          </cell>
          <cell r="G2945">
            <v>44929</v>
          </cell>
          <cell r="H2945">
            <v>44931</v>
          </cell>
          <cell r="I2945" t="str">
            <v>05.01.2023</v>
          </cell>
          <cell r="J2945" t="str">
            <v>04.01.2023</v>
          </cell>
          <cell r="K2945" t="str">
            <v>-</v>
          </cell>
          <cell r="L2945" t="str">
            <v>OK</v>
          </cell>
        </row>
        <row r="2946">
          <cell r="A2946" t="str">
            <v>AMS-46150I22</v>
          </cell>
          <cell r="B2946">
            <v>419044181</v>
          </cell>
          <cell r="C2946" t="str">
            <v>Original</v>
          </cell>
          <cell r="D2946" t="str">
            <v>PGL</v>
          </cell>
          <cell r="E2946" t="str">
            <v>Technology</v>
          </cell>
          <cell r="F2946">
            <v>44921</v>
          </cell>
          <cell r="G2946">
            <v>44929</v>
          </cell>
          <cell r="H2946">
            <v>44931</v>
          </cell>
          <cell r="I2946" t="str">
            <v>05.01.2023</v>
          </cell>
          <cell r="J2946" t="str">
            <v>05.01.2023</v>
          </cell>
          <cell r="K2946" t="str">
            <v>-</v>
          </cell>
          <cell r="L2946" t="str">
            <v>OK</v>
          </cell>
        </row>
        <row r="2947">
          <cell r="A2947" t="str">
            <v>AMS-46151I22</v>
          </cell>
          <cell r="B2947">
            <v>419044183</v>
          </cell>
          <cell r="C2947" t="str">
            <v>Original</v>
          </cell>
          <cell r="D2947" t="str">
            <v>PGL</v>
          </cell>
          <cell r="E2947" t="str">
            <v>Technology</v>
          </cell>
          <cell r="F2947">
            <v>44921</v>
          </cell>
          <cell r="G2947">
            <v>44929</v>
          </cell>
          <cell r="H2947">
            <v>44931</v>
          </cell>
          <cell r="I2947" t="str">
            <v>05.01.2023</v>
          </cell>
          <cell r="J2947" t="str">
            <v>05.01.2023</v>
          </cell>
          <cell r="K2947" t="str">
            <v>-</v>
          </cell>
          <cell r="L2947" t="str">
            <v>OK</v>
          </cell>
        </row>
        <row r="2948">
          <cell r="A2948" t="str">
            <v>AMS-46152I22</v>
          </cell>
          <cell r="B2948">
            <v>419044186</v>
          </cell>
          <cell r="C2948" t="str">
            <v>Original</v>
          </cell>
          <cell r="D2948" t="str">
            <v>PGL</v>
          </cell>
          <cell r="E2948" t="str">
            <v>Technology</v>
          </cell>
          <cell r="F2948">
            <v>44921</v>
          </cell>
          <cell r="G2948">
            <v>44929</v>
          </cell>
          <cell r="H2948">
            <v>44931</v>
          </cell>
          <cell r="I2948" t="str">
            <v>05.01.2023</v>
          </cell>
          <cell r="J2948" t="str">
            <v>05.01.2023</v>
          </cell>
          <cell r="K2948" t="str">
            <v>-</v>
          </cell>
          <cell r="L2948" t="str">
            <v>OK</v>
          </cell>
        </row>
        <row r="2949">
          <cell r="A2949" t="str">
            <v>AMS-46201I22</v>
          </cell>
          <cell r="B2949">
            <v>419821932</v>
          </cell>
          <cell r="C2949" t="str">
            <v>Original</v>
          </cell>
          <cell r="D2949" t="str">
            <v>Vsantos</v>
          </cell>
          <cell r="E2949" t="str">
            <v>Technology</v>
          </cell>
          <cell r="F2949">
            <v>44924</v>
          </cell>
          <cell r="G2949">
            <v>44932</v>
          </cell>
          <cell r="H2949">
            <v>44934</v>
          </cell>
          <cell r="I2949" t="str">
            <v>05.01.2023</v>
          </cell>
          <cell r="J2949" t="str">
            <v>05.01.2023</v>
          </cell>
          <cell r="K2949" t="str">
            <v>-</v>
          </cell>
          <cell r="L2949" t="str">
            <v>OK</v>
          </cell>
        </row>
        <row r="2950">
          <cell r="A2950" t="str">
            <v>AMS-46202I22</v>
          </cell>
          <cell r="B2950">
            <v>419821938</v>
          </cell>
          <cell r="C2950" t="str">
            <v>Original</v>
          </cell>
          <cell r="D2950" t="str">
            <v>Vsantos</v>
          </cell>
          <cell r="E2950" t="str">
            <v>Technology</v>
          </cell>
          <cell r="F2950">
            <v>44924</v>
          </cell>
          <cell r="G2950">
            <v>44932</v>
          </cell>
          <cell r="H2950">
            <v>44934</v>
          </cell>
          <cell r="I2950" t="str">
            <v>05.01.2023</v>
          </cell>
          <cell r="J2950" t="str">
            <v>05.01.2023</v>
          </cell>
          <cell r="K2950" t="str">
            <v>-</v>
          </cell>
          <cell r="L2950" t="str">
            <v>OK</v>
          </cell>
        </row>
        <row r="2951">
          <cell r="A2951" t="str">
            <v>AMS-46026I22</v>
          </cell>
          <cell r="B2951">
            <v>419731735</v>
          </cell>
          <cell r="C2951" t="str">
            <v>Original</v>
          </cell>
          <cell r="D2951" t="str">
            <v>Vsantos</v>
          </cell>
          <cell r="E2951" t="str">
            <v>Buick</v>
          </cell>
          <cell r="F2951">
            <v>44922</v>
          </cell>
          <cell r="G2951">
            <v>44930</v>
          </cell>
          <cell r="H2951">
            <v>44932</v>
          </cell>
          <cell r="I2951" t="str">
            <v>05.01.2023</v>
          </cell>
          <cell r="J2951" t="str">
            <v>04.01.2023</v>
          </cell>
          <cell r="K2951" t="str">
            <v>-</v>
          </cell>
          <cell r="L2951" t="str">
            <v>OK</v>
          </cell>
        </row>
        <row r="2952">
          <cell r="A2952" t="str">
            <v>AMS-46203I22</v>
          </cell>
          <cell r="B2952">
            <v>419749957</v>
          </cell>
          <cell r="C2952" t="str">
            <v>Original</v>
          </cell>
          <cell r="D2952" t="str">
            <v>Vsantos</v>
          </cell>
          <cell r="E2952" t="str">
            <v>Technology</v>
          </cell>
          <cell r="F2952">
            <v>44922</v>
          </cell>
          <cell r="G2952">
            <v>44930</v>
          </cell>
          <cell r="H2952">
            <v>44932</v>
          </cell>
          <cell r="I2952" t="str">
            <v>05.01.2023</v>
          </cell>
          <cell r="J2952" t="str">
            <v>05.01.2023</v>
          </cell>
          <cell r="K2952" t="str">
            <v>-</v>
          </cell>
          <cell r="L2952" t="str">
            <v>OK</v>
          </cell>
        </row>
        <row r="2953">
          <cell r="A2953" t="str">
            <v>AMS-46204I22</v>
          </cell>
          <cell r="B2953">
            <v>419750007</v>
          </cell>
          <cell r="C2953" t="str">
            <v>Original</v>
          </cell>
          <cell r="D2953" t="str">
            <v>Vsantos</v>
          </cell>
          <cell r="E2953" t="str">
            <v>Technology</v>
          </cell>
          <cell r="F2953">
            <v>44922</v>
          </cell>
          <cell r="G2953">
            <v>44930</v>
          </cell>
          <cell r="H2953">
            <v>44932</v>
          </cell>
          <cell r="I2953" t="str">
            <v>05.01.2023</v>
          </cell>
          <cell r="J2953" t="str">
            <v>05.01.2023</v>
          </cell>
          <cell r="K2953" t="str">
            <v>-</v>
          </cell>
          <cell r="L2953" t="str">
            <v>OK</v>
          </cell>
        </row>
        <row r="2954">
          <cell r="A2954" t="str">
            <v>AMS-46206I22</v>
          </cell>
          <cell r="B2954">
            <v>419750055</v>
          </cell>
          <cell r="C2954" t="str">
            <v>Original</v>
          </cell>
          <cell r="D2954" t="str">
            <v>Vsantos</v>
          </cell>
          <cell r="E2954" t="str">
            <v>Technology</v>
          </cell>
          <cell r="F2954">
            <v>44922</v>
          </cell>
          <cell r="G2954">
            <v>44930</v>
          </cell>
          <cell r="H2954">
            <v>44932</v>
          </cell>
          <cell r="I2954" t="str">
            <v>05.01.2023</v>
          </cell>
          <cell r="J2954" t="str">
            <v>05.01.2023</v>
          </cell>
          <cell r="K2954" t="str">
            <v>-</v>
          </cell>
          <cell r="L2954" t="str">
            <v>OK</v>
          </cell>
        </row>
        <row r="2955">
          <cell r="A2955" t="str">
            <v>AMS-46210I22</v>
          </cell>
          <cell r="B2955">
            <v>420951010</v>
          </cell>
          <cell r="C2955" t="str">
            <v>Original</v>
          </cell>
          <cell r="D2955" t="str">
            <v>Vsantos</v>
          </cell>
          <cell r="E2955" t="str">
            <v>Buick</v>
          </cell>
          <cell r="F2955">
            <v>44922</v>
          </cell>
          <cell r="G2955">
            <v>44930</v>
          </cell>
          <cell r="H2955">
            <v>44932</v>
          </cell>
          <cell r="I2955" t="str">
            <v>05.01.2023</v>
          </cell>
          <cell r="J2955" t="str">
            <v>05.01.2023</v>
          </cell>
          <cell r="K2955" t="str">
            <v>-</v>
          </cell>
          <cell r="L2955" t="str">
            <v>OK</v>
          </cell>
        </row>
        <row r="2956">
          <cell r="A2956" t="str">
            <v>AMS-46145I22</v>
          </cell>
          <cell r="B2956">
            <v>419044187</v>
          </cell>
          <cell r="C2956" t="str">
            <v>Original</v>
          </cell>
          <cell r="D2956" t="str">
            <v>PGL</v>
          </cell>
          <cell r="E2956" t="str">
            <v>Technology</v>
          </cell>
          <cell r="F2956">
            <v>44923</v>
          </cell>
          <cell r="G2956">
            <v>44931</v>
          </cell>
          <cell r="H2956">
            <v>44933</v>
          </cell>
          <cell r="I2956" t="str">
            <v>05.01.2023</v>
          </cell>
          <cell r="J2956" t="str">
            <v>04.01.2023</v>
          </cell>
          <cell r="K2956" t="str">
            <v>-</v>
          </cell>
          <cell r="L2956" t="str">
            <v>OK</v>
          </cell>
        </row>
        <row r="2957">
          <cell r="A2957" t="str">
            <v>AMS-46146I22</v>
          </cell>
          <cell r="B2957">
            <v>419044189</v>
          </cell>
          <cell r="C2957" t="str">
            <v>Original</v>
          </cell>
          <cell r="E2957" t="str">
            <v>Technology</v>
          </cell>
          <cell r="F2957">
            <v>44923</v>
          </cell>
          <cell r="G2957">
            <v>44931</v>
          </cell>
          <cell r="H2957">
            <v>44933</v>
          </cell>
          <cell r="I2957" t="str">
            <v>05.01.2023</v>
          </cell>
          <cell r="J2957" t="str">
            <v>04.01.2023</v>
          </cell>
          <cell r="K2957" t="str">
            <v>-</v>
          </cell>
          <cell r="L2957" t="str">
            <v>OK</v>
          </cell>
        </row>
        <row r="2958">
          <cell r="A2958" t="str">
            <v>AMS-46147I22</v>
          </cell>
          <cell r="B2958">
            <v>419044190</v>
          </cell>
          <cell r="C2958" t="str">
            <v>Original</v>
          </cell>
          <cell r="D2958" t="str">
            <v>PGL</v>
          </cell>
          <cell r="E2958" t="str">
            <v>Technology</v>
          </cell>
          <cell r="F2958">
            <v>44923</v>
          </cell>
          <cell r="G2958">
            <v>44931</v>
          </cell>
          <cell r="H2958">
            <v>44933</v>
          </cell>
          <cell r="I2958" t="str">
            <v>05.01.2023</v>
          </cell>
          <cell r="J2958" t="str">
            <v>04.01.2023</v>
          </cell>
          <cell r="K2958" t="str">
            <v>-</v>
          </cell>
          <cell r="L2958" t="str">
            <v>OK</v>
          </cell>
        </row>
        <row r="2959">
          <cell r="A2959" t="str">
            <v>SHW-45778I22</v>
          </cell>
          <cell r="B2959">
            <v>222995921</v>
          </cell>
          <cell r="C2959" t="str">
            <v>Original</v>
          </cell>
          <cell r="D2959" t="str">
            <v>Shenker</v>
          </cell>
          <cell r="E2959" t="str">
            <v>Unitrading</v>
          </cell>
          <cell r="F2959">
            <v>44918</v>
          </cell>
          <cell r="G2959">
            <v>44926</v>
          </cell>
          <cell r="H2959">
            <v>44928</v>
          </cell>
          <cell r="I2959" t="str">
            <v>13.01.2023</v>
          </cell>
          <cell r="J2959" t="str">
            <v>03.01.2023</v>
          </cell>
          <cell r="K2959" t="str">
            <v>-</v>
          </cell>
          <cell r="L2959" t="str">
            <v>OK</v>
          </cell>
        </row>
        <row r="2960">
          <cell r="A2960" t="str">
            <v>SHW-45779I22</v>
          </cell>
          <cell r="B2960">
            <v>914642372</v>
          </cell>
          <cell r="C2960" t="str">
            <v>Original</v>
          </cell>
          <cell r="D2960" t="str">
            <v>Shenker</v>
          </cell>
          <cell r="E2960" t="str">
            <v>Unitrading</v>
          </cell>
          <cell r="F2960">
            <v>44918</v>
          </cell>
          <cell r="G2960">
            <v>44926</v>
          </cell>
          <cell r="H2960">
            <v>44928</v>
          </cell>
          <cell r="I2960" t="str">
            <v>16.01.2023</v>
          </cell>
          <cell r="J2960" t="str">
            <v>03.01.2023</v>
          </cell>
          <cell r="K2960" t="str">
            <v>-</v>
          </cell>
          <cell r="L2960" t="str">
            <v>OK</v>
          </cell>
        </row>
        <row r="2961">
          <cell r="A2961" t="str">
            <v>SHW-45780I22</v>
          </cell>
          <cell r="B2961">
            <v>223046066</v>
          </cell>
          <cell r="C2961" t="str">
            <v>Original</v>
          </cell>
          <cell r="D2961" t="str">
            <v>Shenker</v>
          </cell>
          <cell r="E2961" t="str">
            <v>Unitrading</v>
          </cell>
          <cell r="F2961">
            <v>44918</v>
          </cell>
          <cell r="G2961">
            <v>44926</v>
          </cell>
          <cell r="H2961">
            <v>44928</v>
          </cell>
          <cell r="I2961" t="str">
            <v>16.01.2023</v>
          </cell>
          <cell r="J2961" t="str">
            <v>03.01.2023</v>
          </cell>
          <cell r="K2961" t="str">
            <v>-</v>
          </cell>
          <cell r="L2961" t="str">
            <v>OK</v>
          </cell>
        </row>
        <row r="2962">
          <cell r="A2962" t="str">
            <v>SHW-45781I22</v>
          </cell>
          <cell r="B2962">
            <v>223045981</v>
          </cell>
          <cell r="C2962" t="str">
            <v>Original</v>
          </cell>
          <cell r="D2962" t="str">
            <v>Shenker</v>
          </cell>
          <cell r="F2962">
            <v>44918</v>
          </cell>
          <cell r="G2962">
            <v>44926</v>
          </cell>
          <cell r="H2962">
            <v>44928</v>
          </cell>
          <cell r="I2962" t="str">
            <v>11.01.2023</v>
          </cell>
          <cell r="J2962" t="str">
            <v>03.01.2023</v>
          </cell>
          <cell r="K2962" t="str">
            <v>-</v>
          </cell>
          <cell r="L2962" t="str">
            <v>OK</v>
          </cell>
        </row>
        <row r="2963">
          <cell r="A2963" t="str">
            <v>AMS-40140I23</v>
          </cell>
          <cell r="B2963" t="str">
            <v>1Z6469V00474456122</v>
          </cell>
          <cell r="C2963" t="str">
            <v>Original</v>
          </cell>
          <cell r="D2963" t="str">
            <v>UPS</v>
          </cell>
          <cell r="E2963" t="str">
            <v>Future</v>
          </cell>
          <cell r="F2963">
            <v>44932</v>
          </cell>
          <cell r="G2963">
            <v>44940</v>
          </cell>
          <cell r="H2963">
            <v>44942</v>
          </cell>
          <cell r="I2963" t="str">
            <v>10.01.2023</v>
          </cell>
          <cell r="J2963" t="str">
            <v>10.01.2023</v>
          </cell>
          <cell r="K2963" t="str">
            <v>10.01.2023</v>
          </cell>
          <cell r="L2963" t="str">
            <v>OK</v>
          </cell>
        </row>
        <row r="2964">
          <cell r="A2964" t="str">
            <v>AMS-40141I23</v>
          </cell>
          <cell r="B2964" t="str">
            <v>1Z6469V00475508109 1Z6469V00473250328 1Z6469V00474066339  Z6469V00474462919 1Z6469V00474968150 1Z6469V00475266942</v>
          </cell>
          <cell r="C2964" t="str">
            <v>Original</v>
          </cell>
          <cell r="D2964" t="str">
            <v>UPS</v>
          </cell>
          <cell r="E2964" t="str">
            <v>Future</v>
          </cell>
          <cell r="F2964">
            <v>44932</v>
          </cell>
          <cell r="G2964">
            <v>44940</v>
          </cell>
          <cell r="H2964">
            <v>44942</v>
          </cell>
          <cell r="I2964" t="str">
            <v>10.01.2023</v>
          </cell>
          <cell r="J2964" t="str">
            <v>10.01.2023</v>
          </cell>
          <cell r="K2964" t="str">
            <v>10.01.2023</v>
          </cell>
          <cell r="L2964" t="str">
            <v>OK</v>
          </cell>
        </row>
        <row r="2965">
          <cell r="A2965" t="str">
            <v>AHW-40004I23</v>
          </cell>
          <cell r="B2965">
            <v>4010902</v>
          </cell>
          <cell r="C2965" t="str">
            <v>Original</v>
          </cell>
          <cell r="D2965" t="str">
            <v>CTS</v>
          </cell>
          <cell r="E2965" t="str">
            <v>JP</v>
          </cell>
          <cell r="F2965">
            <v>44935</v>
          </cell>
          <cell r="G2965">
            <v>44943</v>
          </cell>
          <cell r="H2965">
            <v>44945</v>
          </cell>
          <cell r="I2965" t="str">
            <v>23.01.2023</v>
          </cell>
          <cell r="J2965" t="str">
            <v>18.01.2023</v>
          </cell>
          <cell r="K2965" t="str">
            <v>-</v>
          </cell>
          <cell r="L2965" t="str">
            <v>OK</v>
          </cell>
        </row>
        <row r="2966">
          <cell r="A2966" t="str">
            <v>AMS-46289I22</v>
          </cell>
          <cell r="B2966">
            <v>420744226</v>
          </cell>
          <cell r="C2966" t="str">
            <v>Original</v>
          </cell>
          <cell r="D2966" t="str">
            <v>PGL</v>
          </cell>
          <cell r="E2966" t="str">
            <v>Technology</v>
          </cell>
          <cell r="F2966">
            <v>44935</v>
          </cell>
          <cell r="G2966">
            <v>44943</v>
          </cell>
          <cell r="H2966">
            <v>44945</v>
          </cell>
          <cell r="I2966" t="str">
            <v>13.01.2023</v>
          </cell>
          <cell r="J2966" t="str">
            <v>10.01.2023</v>
          </cell>
          <cell r="K2966" t="str">
            <v>-</v>
          </cell>
          <cell r="L2966" t="str">
            <v>OK</v>
          </cell>
        </row>
        <row r="2967">
          <cell r="A2967" t="str">
            <v>SHW-45847I22</v>
          </cell>
          <cell r="B2967">
            <v>223116659</v>
          </cell>
          <cell r="C2967" t="str">
            <v>Original</v>
          </cell>
          <cell r="D2967" t="str">
            <v>Shenker</v>
          </cell>
          <cell r="E2967" t="str">
            <v>Unitrading</v>
          </cell>
          <cell r="F2967">
            <v>44931</v>
          </cell>
          <cell r="G2967">
            <v>44939</v>
          </cell>
          <cell r="H2967">
            <v>44941</v>
          </cell>
          <cell r="I2967" t="str">
            <v>18.01.2023</v>
          </cell>
          <cell r="J2967" t="str">
            <v>09.01.2023</v>
          </cell>
          <cell r="K2967" t="str">
            <v>-</v>
          </cell>
          <cell r="L2967" t="str">
            <v>OK</v>
          </cell>
        </row>
        <row r="2968">
          <cell r="A2968" t="str">
            <v>SHW-45848I22</v>
          </cell>
          <cell r="B2968">
            <v>914666271</v>
          </cell>
          <cell r="C2968" t="str">
            <v>Original</v>
          </cell>
          <cell r="D2968" t="str">
            <v>Shenker</v>
          </cell>
          <cell r="E2968" t="str">
            <v>Unitrading</v>
          </cell>
          <cell r="F2968">
            <v>44931</v>
          </cell>
          <cell r="G2968">
            <v>44939</v>
          </cell>
          <cell r="H2968">
            <v>44941</v>
          </cell>
          <cell r="I2968" t="str">
            <v>11.01.2023</v>
          </cell>
          <cell r="J2968" t="str">
            <v>09.01.2023</v>
          </cell>
          <cell r="K2968" t="str">
            <v>-</v>
          </cell>
          <cell r="L2968" t="str">
            <v>OK</v>
          </cell>
        </row>
        <row r="2969">
          <cell r="A2969" t="str">
            <v>SHW-45958I22</v>
          </cell>
          <cell r="B2969">
            <v>223408590</v>
          </cell>
          <cell r="C2969" t="str">
            <v>Original</v>
          </cell>
          <cell r="D2969" t="str">
            <v>Shenker</v>
          </cell>
          <cell r="E2969" t="str">
            <v>Unitrading</v>
          </cell>
          <cell r="F2969">
            <v>44935</v>
          </cell>
          <cell r="G2969">
            <v>44943</v>
          </cell>
          <cell r="H2969">
            <v>44945</v>
          </cell>
          <cell r="I2969" t="str">
            <v>13.01.2023</v>
          </cell>
          <cell r="J2969" t="str">
            <v>11.01.2023</v>
          </cell>
          <cell r="K2969" t="str">
            <v>-</v>
          </cell>
          <cell r="L2969" t="str">
            <v>OK</v>
          </cell>
        </row>
        <row r="2970">
          <cell r="A2970" t="str">
            <v>SHW-45959I22</v>
          </cell>
          <cell r="B2970">
            <v>914666810</v>
          </cell>
          <cell r="C2970" t="str">
            <v>Original</v>
          </cell>
          <cell r="D2970" t="str">
            <v>Shenker</v>
          </cell>
          <cell r="E2970" t="str">
            <v>Unitrading</v>
          </cell>
          <cell r="F2970">
            <v>44935</v>
          </cell>
          <cell r="G2970">
            <v>44943</v>
          </cell>
          <cell r="H2970">
            <v>44945</v>
          </cell>
          <cell r="I2970" t="str">
            <v>11.01.2023</v>
          </cell>
          <cell r="J2970" t="str">
            <v>11.01.2023</v>
          </cell>
          <cell r="K2970" t="str">
            <v>-</v>
          </cell>
          <cell r="L2970" t="str">
            <v>OK</v>
          </cell>
        </row>
        <row r="2971">
          <cell r="A2971" t="str">
            <v>AHW-40005I23</v>
          </cell>
          <cell r="B2971">
            <v>78326016</v>
          </cell>
          <cell r="C2971" t="str">
            <v>Original</v>
          </cell>
          <cell r="D2971" t="str">
            <v>CEVA</v>
          </cell>
          <cell r="E2971" t="str">
            <v>Rodoimport</v>
          </cell>
          <cell r="F2971">
            <v>44936</v>
          </cell>
          <cell r="G2971">
            <v>44944</v>
          </cell>
          <cell r="H2971">
            <v>44946</v>
          </cell>
          <cell r="I2971" t="str">
            <v>12.01.2023</v>
          </cell>
          <cell r="J2971" t="str">
            <v>18.01.2023</v>
          </cell>
          <cell r="K2971" t="str">
            <v>-</v>
          </cell>
          <cell r="L2971" t="str">
            <v>OK</v>
          </cell>
        </row>
        <row r="2972">
          <cell r="A2972" t="str">
            <v>AHW-40001I23</v>
          </cell>
          <cell r="B2972">
            <v>78326013</v>
          </cell>
          <cell r="C2972" t="str">
            <v>Original</v>
          </cell>
          <cell r="D2972" t="str">
            <v xml:space="preserve">CEVA </v>
          </cell>
          <cell r="E2972" t="str">
            <v>Rodoimport</v>
          </cell>
          <cell r="F2972">
            <v>44937</v>
          </cell>
          <cell r="G2972">
            <v>44945</v>
          </cell>
          <cell r="H2972">
            <v>44947</v>
          </cell>
          <cell r="I2972" t="str">
            <v>13.01.2023</v>
          </cell>
          <cell r="J2972" t="str">
            <v>18.01.2023</v>
          </cell>
          <cell r="K2972" t="str">
            <v>-</v>
          </cell>
          <cell r="L2972" t="str">
            <v>OK</v>
          </cell>
        </row>
        <row r="2973">
          <cell r="A2973" t="str">
            <v>AHW-46317I22</v>
          </cell>
          <cell r="B2973">
            <v>4010867</v>
          </cell>
          <cell r="C2973" t="str">
            <v>Original</v>
          </cell>
          <cell r="D2973" t="str">
            <v>CTS</v>
          </cell>
          <cell r="E2973" t="str">
            <v>JP</v>
          </cell>
          <cell r="F2973">
            <v>44937</v>
          </cell>
          <cell r="G2973">
            <v>44945</v>
          </cell>
          <cell r="H2973">
            <v>44947</v>
          </cell>
          <cell r="I2973" t="str">
            <v>18.01.2023</v>
          </cell>
          <cell r="J2973" t="str">
            <v>18.01.2023</v>
          </cell>
          <cell r="K2973" t="str">
            <v>-</v>
          </cell>
          <cell r="L2973" t="str">
            <v>OK</v>
          </cell>
        </row>
        <row r="2974">
          <cell r="A2974" t="str">
            <v>AHW-40145I23</v>
          </cell>
          <cell r="B2974">
            <v>4010910</v>
          </cell>
          <cell r="C2974" t="str">
            <v>Original</v>
          </cell>
          <cell r="D2974" t="str">
            <v>CTS</v>
          </cell>
          <cell r="E2974" t="str">
            <v>JP</v>
          </cell>
          <cell r="F2974">
            <v>44942</v>
          </cell>
          <cell r="G2974">
            <v>44950</v>
          </cell>
          <cell r="H2974">
            <v>44952</v>
          </cell>
          <cell r="I2974" t="str">
            <v>18.01.2023</v>
          </cell>
          <cell r="J2974" t="str">
            <v>18.01.2023</v>
          </cell>
          <cell r="K2974" t="str">
            <v>-</v>
          </cell>
          <cell r="L2974" t="str">
            <v>OK</v>
          </cell>
        </row>
        <row r="2975">
          <cell r="A2975" t="str">
            <v>AMS-46332I22</v>
          </cell>
          <cell r="B2975">
            <v>420590454</v>
          </cell>
          <cell r="C2975" t="str">
            <v>Original</v>
          </cell>
          <cell r="D2975" t="str">
            <v>Vsantos</v>
          </cell>
          <cell r="E2975" t="str">
            <v>Technology</v>
          </cell>
          <cell r="F2975">
            <v>44942</v>
          </cell>
          <cell r="G2975">
            <v>44950</v>
          </cell>
          <cell r="H2975">
            <v>44952</v>
          </cell>
          <cell r="I2975" t="str">
            <v>18.01.2023</v>
          </cell>
          <cell r="J2975" t="str">
            <v>17.01.2023</v>
          </cell>
          <cell r="K2975" t="str">
            <v>-</v>
          </cell>
          <cell r="L2975" t="str">
            <v>OK</v>
          </cell>
        </row>
        <row r="2976">
          <cell r="A2976" t="str">
            <v>AMS-46333I22</v>
          </cell>
          <cell r="B2976">
            <v>420590457</v>
          </cell>
          <cell r="C2976" t="str">
            <v>Original</v>
          </cell>
          <cell r="D2976" t="str">
            <v>Vsantos</v>
          </cell>
          <cell r="E2976" t="str">
            <v>Technology</v>
          </cell>
          <cell r="F2976">
            <v>44942</v>
          </cell>
          <cell r="G2976">
            <v>44950</v>
          </cell>
          <cell r="H2976">
            <v>44952</v>
          </cell>
          <cell r="I2976" t="str">
            <v>18.01.2023</v>
          </cell>
          <cell r="J2976" t="str">
            <v>17.01.2023</v>
          </cell>
          <cell r="K2976" t="str">
            <v>-</v>
          </cell>
          <cell r="L2976" t="str">
            <v>OK</v>
          </cell>
        </row>
        <row r="2977">
          <cell r="A2977" t="str">
            <v>AHW-40002I23</v>
          </cell>
          <cell r="B2977">
            <v>78326015</v>
          </cell>
          <cell r="C2977" t="str">
            <v>Original</v>
          </cell>
          <cell r="D2977" t="str">
            <v xml:space="preserve">CEVA </v>
          </cell>
          <cell r="E2977" t="str">
            <v>Rodoimport</v>
          </cell>
          <cell r="F2977">
            <v>44942</v>
          </cell>
          <cell r="G2977">
            <v>44950</v>
          </cell>
          <cell r="H2977">
            <v>44952</v>
          </cell>
          <cell r="I2977" t="str">
            <v>18.01.2023</v>
          </cell>
          <cell r="J2977" t="str">
            <v>24.01.2023</v>
          </cell>
          <cell r="K2977" t="str">
            <v>-</v>
          </cell>
          <cell r="L2977" t="str">
            <v>OK</v>
          </cell>
        </row>
        <row r="2978">
          <cell r="A2978" t="str">
            <v>AHW-40006I23</v>
          </cell>
          <cell r="B2978">
            <v>78326012</v>
          </cell>
          <cell r="C2978" t="str">
            <v>Original</v>
          </cell>
          <cell r="D2978" t="str">
            <v xml:space="preserve">CEVA </v>
          </cell>
          <cell r="E2978" t="str">
            <v>Rodoimport</v>
          </cell>
          <cell r="F2978">
            <v>44942</v>
          </cell>
          <cell r="G2978">
            <v>44950</v>
          </cell>
          <cell r="H2978">
            <v>44952</v>
          </cell>
          <cell r="I2978" t="str">
            <v>18.01.2023</v>
          </cell>
          <cell r="J2978" t="str">
            <v>24.01.2023</v>
          </cell>
          <cell r="K2978" t="str">
            <v>-</v>
          </cell>
          <cell r="L2978" t="str">
            <v>OK</v>
          </cell>
        </row>
        <row r="2979">
          <cell r="A2979" t="str">
            <v>AHW-40007I23</v>
          </cell>
          <cell r="B2979">
            <v>78326014</v>
          </cell>
          <cell r="C2979" t="str">
            <v>Original</v>
          </cell>
          <cell r="D2979" t="str">
            <v xml:space="preserve">CEVA </v>
          </cell>
          <cell r="E2979" t="str">
            <v>Rodoimport</v>
          </cell>
          <cell r="F2979">
            <v>44942</v>
          </cell>
          <cell r="G2979">
            <v>44950</v>
          </cell>
          <cell r="H2979">
            <v>44952</v>
          </cell>
          <cell r="I2979" t="str">
            <v>18.01.2023</v>
          </cell>
          <cell r="J2979" t="str">
            <v>24.01.2023</v>
          </cell>
          <cell r="K2979" t="str">
            <v>-</v>
          </cell>
          <cell r="L2979" t="str">
            <v>OK</v>
          </cell>
        </row>
        <row r="2980">
          <cell r="A2980" t="str">
            <v>AHW-40146I23</v>
          </cell>
          <cell r="B2980">
            <v>78326119</v>
          </cell>
          <cell r="C2980" t="str">
            <v>Original</v>
          </cell>
          <cell r="D2980" t="str">
            <v xml:space="preserve">CEVA </v>
          </cell>
          <cell r="E2980" t="str">
            <v>Rodoimport</v>
          </cell>
          <cell r="F2980">
            <v>44942</v>
          </cell>
          <cell r="G2980">
            <v>44950</v>
          </cell>
          <cell r="H2980">
            <v>44952</v>
          </cell>
          <cell r="I2980" t="str">
            <v>18.01.2023</v>
          </cell>
          <cell r="J2980" t="str">
            <v>24.01.2023</v>
          </cell>
          <cell r="K2980" t="str">
            <v>-</v>
          </cell>
          <cell r="L2980" t="str">
            <v>OK</v>
          </cell>
        </row>
        <row r="2981">
          <cell r="A2981" t="str">
            <v>SHW-46188I22</v>
          </cell>
          <cell r="B2981">
            <v>223758039</v>
          </cell>
          <cell r="C2981" t="str">
            <v>Original</v>
          </cell>
          <cell r="D2981" t="str">
            <v>Shenker</v>
          </cell>
          <cell r="E2981" t="str">
            <v>Unitrading</v>
          </cell>
          <cell r="F2981">
            <v>44945</v>
          </cell>
          <cell r="G2981">
            <v>44953</v>
          </cell>
          <cell r="H2981">
            <v>44955</v>
          </cell>
          <cell r="I2981" t="str">
            <v>20.01.2023</v>
          </cell>
          <cell r="J2981" t="str">
            <v>20.01.2023</v>
          </cell>
          <cell r="K2981" t="str">
            <v>-</v>
          </cell>
          <cell r="L2981" t="str">
            <v>OK</v>
          </cell>
        </row>
        <row r="2982">
          <cell r="A2982" t="str">
            <v>SHW-46189I22</v>
          </cell>
          <cell r="B2982">
            <v>223758194</v>
          </cell>
          <cell r="C2982" t="str">
            <v>Original</v>
          </cell>
          <cell r="D2982" t="str">
            <v>Shenker</v>
          </cell>
          <cell r="E2982" t="str">
            <v>Unitrading</v>
          </cell>
          <cell r="F2982">
            <v>44945</v>
          </cell>
          <cell r="G2982">
            <v>44953</v>
          </cell>
          <cell r="H2982">
            <v>44955</v>
          </cell>
          <cell r="I2982" t="str">
            <v>20.01.2023</v>
          </cell>
          <cell r="J2982" t="str">
            <v>20.01.2023</v>
          </cell>
          <cell r="K2982" t="str">
            <v>-</v>
          </cell>
          <cell r="L2982" t="str">
            <v>OK</v>
          </cell>
        </row>
        <row r="2983">
          <cell r="A2983" t="str">
            <v>AHW-40142I23</v>
          </cell>
          <cell r="B2983">
            <v>78326117</v>
          </cell>
          <cell r="C2983" t="str">
            <v>Original</v>
          </cell>
          <cell r="D2983" t="str">
            <v xml:space="preserve">CEVA </v>
          </cell>
          <cell r="E2983" t="str">
            <v>Rodoimport</v>
          </cell>
          <cell r="F2983">
            <v>44946</v>
          </cell>
          <cell r="G2983">
            <v>44954</v>
          </cell>
          <cell r="H2983">
            <v>44956</v>
          </cell>
          <cell r="I2983" t="str">
            <v>03.02.2023</v>
          </cell>
          <cell r="J2983" t="str">
            <v>24.01.2023</v>
          </cell>
          <cell r="K2983" t="str">
            <v>-</v>
          </cell>
          <cell r="L2983" t="str">
            <v>OK</v>
          </cell>
        </row>
        <row r="2984">
          <cell r="A2984" t="str">
            <v>AHW-40144I23</v>
          </cell>
          <cell r="B2984">
            <v>78326118</v>
          </cell>
          <cell r="C2984" t="str">
            <v>Original</v>
          </cell>
          <cell r="D2984" t="str">
            <v xml:space="preserve">CEVA </v>
          </cell>
          <cell r="E2984" t="str">
            <v>Rodoimport</v>
          </cell>
          <cell r="F2984">
            <v>44946</v>
          </cell>
          <cell r="G2984">
            <v>44954</v>
          </cell>
          <cell r="H2984">
            <v>44956</v>
          </cell>
          <cell r="I2984" t="str">
            <v>06.02.2023</v>
          </cell>
          <cell r="J2984" t="str">
            <v>24.01.2023</v>
          </cell>
          <cell r="K2984" t="str">
            <v>-</v>
          </cell>
          <cell r="L2984" t="str">
            <v>OK</v>
          </cell>
        </row>
        <row r="2985">
          <cell r="A2985" t="str">
            <v>AHW-40147I23</v>
          </cell>
          <cell r="B2985">
            <v>78326116</v>
          </cell>
          <cell r="C2985" t="str">
            <v>Original</v>
          </cell>
          <cell r="D2985" t="str">
            <v xml:space="preserve">CEVA </v>
          </cell>
          <cell r="E2985" t="str">
            <v>Rodoimport</v>
          </cell>
          <cell r="F2985">
            <v>44946</v>
          </cell>
          <cell r="G2985">
            <v>44954</v>
          </cell>
          <cell r="H2985">
            <v>44956</v>
          </cell>
          <cell r="I2985" t="str">
            <v>03.02.2023</v>
          </cell>
          <cell r="J2985" t="str">
            <v>24.01.2023</v>
          </cell>
          <cell r="K2985" t="str">
            <v>-</v>
          </cell>
          <cell r="L2985" t="str">
            <v>OK</v>
          </cell>
        </row>
        <row r="2986">
          <cell r="A2986" t="str">
            <v>AHW-40148I23</v>
          </cell>
          <cell r="B2986">
            <v>1050569473</v>
          </cell>
          <cell r="C2986" t="str">
            <v>Original</v>
          </cell>
          <cell r="D2986" t="str">
            <v>KUEHNE &amp; NAGEL</v>
          </cell>
          <cell r="E2986" t="str">
            <v>TSA</v>
          </cell>
          <cell r="F2986">
            <v>44949</v>
          </cell>
          <cell r="G2986">
            <v>44957</v>
          </cell>
          <cell r="H2986">
            <v>44959</v>
          </cell>
          <cell r="I2986" t="str">
            <v>03.02.2023</v>
          </cell>
          <cell r="J2986" t="str">
            <v>02.02.2023</v>
          </cell>
          <cell r="K2986" t="str">
            <v>-</v>
          </cell>
          <cell r="L2986" t="str">
            <v>OK</v>
          </cell>
        </row>
        <row r="2987">
          <cell r="A2987" t="str">
            <v>AHW-40149I23</v>
          </cell>
          <cell r="B2987">
            <v>1050569559</v>
          </cell>
          <cell r="C2987" t="str">
            <v>Original</v>
          </cell>
          <cell r="D2987" t="str">
            <v>KUEHNE &amp; NAGEL</v>
          </cell>
          <cell r="E2987" t="str">
            <v>TSA</v>
          </cell>
          <cell r="F2987">
            <v>44949</v>
          </cell>
          <cell r="G2987">
            <v>44957</v>
          </cell>
          <cell r="H2987">
            <v>44959</v>
          </cell>
          <cell r="I2987" t="str">
            <v>06.02.2023</v>
          </cell>
          <cell r="J2987" t="str">
            <v>02.02.2023</v>
          </cell>
          <cell r="K2987" t="str">
            <v>-</v>
          </cell>
          <cell r="L2987" t="str">
            <v>OK</v>
          </cell>
        </row>
        <row r="2988">
          <cell r="A2988" t="str">
            <v>AHW-40150I23</v>
          </cell>
          <cell r="B2988">
            <v>1050569587</v>
          </cell>
          <cell r="C2988" t="str">
            <v>Original</v>
          </cell>
          <cell r="D2988" t="str">
            <v>KUEHNE &amp; NAGEL</v>
          </cell>
          <cell r="E2988" t="str">
            <v>TSA</v>
          </cell>
          <cell r="F2988">
            <v>44949</v>
          </cell>
          <cell r="G2988">
            <v>44957</v>
          </cell>
          <cell r="H2988">
            <v>44959</v>
          </cell>
          <cell r="I2988" t="str">
            <v>09.02.2023</v>
          </cell>
          <cell r="J2988" t="str">
            <v>02.02.2023</v>
          </cell>
          <cell r="K2988" t="str">
            <v>-</v>
          </cell>
          <cell r="L2988" t="str">
            <v>OK</v>
          </cell>
        </row>
        <row r="2989">
          <cell r="A2989" t="str">
            <v>AHW-40151I23</v>
          </cell>
          <cell r="B2989">
            <v>1050569618</v>
          </cell>
          <cell r="C2989" t="str">
            <v>Original</v>
          </cell>
          <cell r="D2989" t="str">
            <v>KUEHNE &amp; NAGEL</v>
          </cell>
          <cell r="E2989" t="str">
            <v>TSA</v>
          </cell>
          <cell r="F2989">
            <v>44949</v>
          </cell>
          <cell r="G2989">
            <v>44957</v>
          </cell>
          <cell r="H2989">
            <v>44959</v>
          </cell>
          <cell r="I2989" t="str">
            <v>09.02.2023</v>
          </cell>
          <cell r="J2989" t="str">
            <v>02.02.2023</v>
          </cell>
          <cell r="K2989" t="str">
            <v>-</v>
          </cell>
          <cell r="L2989" t="str">
            <v>OK</v>
          </cell>
        </row>
        <row r="2990">
          <cell r="A2990" t="str">
            <v>AHW-40152I23</v>
          </cell>
          <cell r="B2990">
            <v>1050569647</v>
          </cell>
          <cell r="C2990" t="str">
            <v>Original</v>
          </cell>
          <cell r="D2990" t="str">
            <v>KUEHNE &amp; NAGEL</v>
          </cell>
          <cell r="E2990" t="str">
            <v>TSA</v>
          </cell>
          <cell r="F2990">
            <v>44949</v>
          </cell>
          <cell r="G2990">
            <v>44957</v>
          </cell>
          <cell r="H2990">
            <v>44959</v>
          </cell>
          <cell r="I2990" t="str">
            <v>09.02.2023</v>
          </cell>
          <cell r="J2990" t="str">
            <v>02.02.2023</v>
          </cell>
          <cell r="K2990" t="str">
            <v>-</v>
          </cell>
          <cell r="L2990" t="str">
            <v>OK</v>
          </cell>
        </row>
        <row r="2991">
          <cell r="A2991" t="str">
            <v>AHW-40234I23</v>
          </cell>
          <cell r="B2991">
            <v>1050690152</v>
          </cell>
          <cell r="C2991" t="str">
            <v>Original</v>
          </cell>
          <cell r="D2991" t="str">
            <v>KUEHNE &amp; NAGEL</v>
          </cell>
          <cell r="E2991" t="str">
            <v>TSA</v>
          </cell>
          <cell r="F2991">
            <v>44949</v>
          </cell>
          <cell r="G2991">
            <v>44957</v>
          </cell>
          <cell r="H2991">
            <v>44959</v>
          </cell>
          <cell r="I2991" t="str">
            <v>09.02.2023</v>
          </cell>
          <cell r="J2991" t="str">
            <v>02.02.2023</v>
          </cell>
          <cell r="K2991" t="str">
            <v>-</v>
          </cell>
          <cell r="L2991" t="str">
            <v>OK</v>
          </cell>
        </row>
        <row r="2992">
          <cell r="A2992" t="str">
            <v>AHW-40143I23</v>
          </cell>
          <cell r="B2992">
            <v>4010922</v>
          </cell>
          <cell r="C2992" t="str">
            <v>Original</v>
          </cell>
          <cell r="D2992" t="str">
            <v>CTS</v>
          </cell>
          <cell r="E2992" t="str">
            <v>JP</v>
          </cell>
          <cell r="F2992">
            <v>44949</v>
          </cell>
          <cell r="G2992">
            <v>44957</v>
          </cell>
          <cell r="H2992">
            <v>44959</v>
          </cell>
          <cell r="I2992" t="str">
            <v>03.02.2023</v>
          </cell>
          <cell r="J2992" t="str">
            <v>03.02.2023</v>
          </cell>
          <cell r="K2992" t="str">
            <v>-</v>
          </cell>
          <cell r="L2992" t="str">
            <v>OK</v>
          </cell>
        </row>
        <row r="2993">
          <cell r="A2993" t="str">
            <v>SHW-46137I22</v>
          </cell>
          <cell r="B2993">
            <v>914683378</v>
          </cell>
          <cell r="C2993" t="str">
            <v>Original</v>
          </cell>
          <cell r="D2993" t="str">
            <v>Shenker</v>
          </cell>
          <cell r="E2993" t="str">
            <v>Unitrading</v>
          </cell>
          <cell r="F2993">
            <v>44949</v>
          </cell>
          <cell r="G2993">
            <v>44957</v>
          </cell>
          <cell r="H2993">
            <v>44959</v>
          </cell>
          <cell r="I2993" t="str">
            <v>23.01.2023</v>
          </cell>
          <cell r="J2993" t="str">
            <v>24.01.2023</v>
          </cell>
          <cell r="K2993" t="str">
            <v>-</v>
          </cell>
          <cell r="L2993" t="str">
            <v>OK</v>
          </cell>
        </row>
        <row r="2994">
          <cell r="A2994" t="str">
            <v>AMS-45256I22</v>
          </cell>
          <cell r="B2994">
            <v>412420525</v>
          </cell>
          <cell r="C2994" t="str">
            <v>Original</v>
          </cell>
          <cell r="D2994" t="str">
            <v>PGL</v>
          </cell>
          <cell r="E2994" t="str">
            <v>Technology</v>
          </cell>
          <cell r="F2994">
            <v>44859</v>
          </cell>
          <cell r="G2994">
            <v>44867</v>
          </cell>
          <cell r="H2994">
            <v>44869</v>
          </cell>
          <cell r="I2994" t="str">
            <v>08.11.2022</v>
          </cell>
          <cell r="J2994" t="str">
            <v>26.10.2022</v>
          </cell>
          <cell r="K2994" t="str">
            <v>-</v>
          </cell>
          <cell r="L2994" t="str">
            <v>OK</v>
          </cell>
        </row>
        <row r="2995">
          <cell r="A2995" t="str">
            <v>AMS-45257I22</v>
          </cell>
          <cell r="B2995">
            <v>412420526</v>
          </cell>
          <cell r="C2995" t="str">
            <v>Original</v>
          </cell>
          <cell r="D2995" t="str">
            <v>PGL</v>
          </cell>
          <cell r="E2995" t="str">
            <v>Technology</v>
          </cell>
          <cell r="F2995">
            <v>44859</v>
          </cell>
          <cell r="G2995">
            <v>44867</v>
          </cell>
          <cell r="H2995">
            <v>44869</v>
          </cell>
          <cell r="I2995" t="str">
            <v>08.11.2022</v>
          </cell>
          <cell r="J2995" t="str">
            <v>26.10.2022</v>
          </cell>
          <cell r="K2995" t="str">
            <v>-</v>
          </cell>
          <cell r="L2995" t="str">
            <v>OK</v>
          </cell>
        </row>
        <row r="2996">
          <cell r="A2996" t="str">
            <v>AMS-45258I22</v>
          </cell>
          <cell r="B2996">
            <v>412420527</v>
          </cell>
          <cell r="C2996" t="str">
            <v>Original</v>
          </cell>
          <cell r="D2996" t="str">
            <v>PGL</v>
          </cell>
          <cell r="E2996" t="str">
            <v>Technology</v>
          </cell>
          <cell r="F2996">
            <v>44859</v>
          </cell>
          <cell r="G2996">
            <v>44867</v>
          </cell>
          <cell r="H2996">
            <v>44869</v>
          </cell>
          <cell r="I2996" t="str">
            <v>08.11.2022</v>
          </cell>
          <cell r="J2996" t="str">
            <v>26.10.2022</v>
          </cell>
          <cell r="K2996" t="str">
            <v>-</v>
          </cell>
          <cell r="L2996" t="str">
            <v>OK</v>
          </cell>
        </row>
        <row r="2997">
          <cell r="A2997" t="str">
            <v>AMS-45259I22</v>
          </cell>
          <cell r="B2997">
            <v>412420528</v>
          </cell>
          <cell r="C2997" t="str">
            <v>Original</v>
          </cell>
          <cell r="D2997" t="str">
            <v>PGL</v>
          </cell>
          <cell r="E2997" t="str">
            <v>Technology</v>
          </cell>
          <cell r="F2997">
            <v>44859</v>
          </cell>
          <cell r="G2997">
            <v>44867</v>
          </cell>
          <cell r="H2997">
            <v>44869</v>
          </cell>
          <cell r="I2997" t="str">
            <v>08.11.2022</v>
          </cell>
          <cell r="J2997" t="str">
            <v>26.10.2022</v>
          </cell>
          <cell r="K2997" t="str">
            <v>-</v>
          </cell>
          <cell r="L2997" t="str">
            <v>OK</v>
          </cell>
        </row>
        <row r="2998">
          <cell r="A2998" t="str">
            <v>AMS-45240I22</v>
          </cell>
          <cell r="B2998">
            <v>411563316</v>
          </cell>
          <cell r="C2998" t="str">
            <v>Original</v>
          </cell>
          <cell r="D2998" t="str">
            <v>Vsantos</v>
          </cell>
          <cell r="E2998" t="str">
            <v>Buick</v>
          </cell>
          <cell r="F2998">
            <v>44859</v>
          </cell>
          <cell r="G2998">
            <v>44867</v>
          </cell>
          <cell r="H2998">
            <v>44869</v>
          </cell>
          <cell r="I2998" t="str">
            <v>08.11.2022</v>
          </cell>
          <cell r="J2998" t="str">
            <v>01.11.2022</v>
          </cell>
          <cell r="K2998" t="str">
            <v>-</v>
          </cell>
          <cell r="L2998" t="str">
            <v>OK</v>
          </cell>
        </row>
        <row r="2999">
          <cell r="A2999" t="str">
            <v>AMS-45241I22</v>
          </cell>
          <cell r="B2999">
            <v>411563317</v>
          </cell>
          <cell r="C2999" t="str">
            <v>Original</v>
          </cell>
          <cell r="D2999" t="str">
            <v>Vsantos</v>
          </cell>
          <cell r="E2999" t="str">
            <v>Buick</v>
          </cell>
          <cell r="F2999">
            <v>44859</v>
          </cell>
          <cell r="G2999">
            <v>44867</v>
          </cell>
          <cell r="H2999">
            <v>44869</v>
          </cell>
          <cell r="I2999" t="str">
            <v>08.11.2022</v>
          </cell>
          <cell r="J2999" t="str">
            <v>01.11.2022</v>
          </cell>
          <cell r="K2999" t="str">
            <v>-</v>
          </cell>
          <cell r="L2999" t="str">
            <v>OK</v>
          </cell>
        </row>
        <row r="3000">
          <cell r="A3000" t="str">
            <v>AMS-44187I21</v>
          </cell>
          <cell r="B3000" t="str">
            <v>1Z6469V00448623053</v>
          </cell>
          <cell r="C3000" t="str">
            <v>Brasiliense</v>
          </cell>
          <cell r="D3000" t="str">
            <v>UPS</v>
          </cell>
          <cell r="E3000" t="str">
            <v>Future</v>
          </cell>
          <cell r="F3000">
            <v>44483</v>
          </cell>
          <cell r="G3000">
            <v>44491</v>
          </cell>
          <cell r="H3000">
            <v>44493</v>
          </cell>
          <cell r="I3000" t="str">
            <v>20.10.2021</v>
          </cell>
          <cell r="J3000" t="str">
            <v>26.10.2021</v>
          </cell>
          <cell r="K3000" t="str">
            <v>25.10.2021</v>
          </cell>
          <cell r="L3000" t="str">
            <v>OK</v>
          </cell>
        </row>
        <row r="3001">
          <cell r="A3001" t="str">
            <v>AMS-44715I22</v>
          </cell>
          <cell r="B3001" t="str">
            <v>1Z6469V00473088059</v>
          </cell>
          <cell r="C3001" t="str">
            <v>Brasiliense</v>
          </cell>
          <cell r="D3001" t="str">
            <v>UPS</v>
          </cell>
          <cell r="E3001" t="str">
            <v>Future</v>
          </cell>
          <cell r="F3001">
            <v>44839</v>
          </cell>
          <cell r="G3001">
            <v>44847</v>
          </cell>
          <cell r="H3001">
            <v>44849</v>
          </cell>
          <cell r="I3001" t="str">
            <v>06.10.2022</v>
          </cell>
          <cell r="J3001" t="str">
            <v>11.10.2022</v>
          </cell>
          <cell r="K3001" t="str">
            <v>10.10.2022</v>
          </cell>
          <cell r="L3001" t="str">
            <v>OK</v>
          </cell>
        </row>
        <row r="3002">
          <cell r="A3002" t="str">
            <v>AMS-44717I22</v>
          </cell>
          <cell r="B3002" t="str">
            <v>1Z6469V00475055241</v>
          </cell>
          <cell r="C3002" t="str">
            <v>Brasiliense</v>
          </cell>
          <cell r="D3002" t="str">
            <v>UPS</v>
          </cell>
          <cell r="E3002" t="str">
            <v>Future</v>
          </cell>
          <cell r="F3002">
            <v>44839</v>
          </cell>
          <cell r="G3002">
            <v>44847</v>
          </cell>
          <cell r="H3002">
            <v>44849</v>
          </cell>
          <cell r="I3002" t="str">
            <v>06.10.2022</v>
          </cell>
          <cell r="J3002" t="str">
            <v>11.10.2022</v>
          </cell>
          <cell r="K3002" t="str">
            <v>10.10.2022</v>
          </cell>
          <cell r="L3002" t="str">
            <v>OK</v>
          </cell>
        </row>
        <row r="3003">
          <cell r="A3003" t="str">
            <v>AMS-45133I22</v>
          </cell>
          <cell r="B3003" t="str">
            <v>1Z6469V00474398847</v>
          </cell>
          <cell r="C3003" t="str">
            <v>Brasiliense</v>
          </cell>
          <cell r="D3003" t="str">
            <v>UPS</v>
          </cell>
          <cell r="E3003" t="str">
            <v>Future</v>
          </cell>
          <cell r="F3003">
            <v>44839</v>
          </cell>
          <cell r="G3003">
            <v>44847</v>
          </cell>
          <cell r="H3003">
            <v>44849</v>
          </cell>
          <cell r="I3003" t="str">
            <v>06.10.2022</v>
          </cell>
          <cell r="J3003" t="str">
            <v>11.10.2022</v>
          </cell>
          <cell r="K3003" t="str">
            <v>10.10.2022</v>
          </cell>
          <cell r="L3003" t="str">
            <v>OK</v>
          </cell>
        </row>
        <row r="3004">
          <cell r="A3004" t="str">
            <v>AMS-45134I22</v>
          </cell>
          <cell r="B3004" t="str">
            <v>1Z6469V00473765862</v>
          </cell>
          <cell r="C3004" t="str">
            <v>Brasiliense</v>
          </cell>
          <cell r="D3004" t="str">
            <v>UPS</v>
          </cell>
          <cell r="E3004" t="str">
            <v>Future</v>
          </cell>
          <cell r="F3004">
            <v>44839</v>
          </cell>
          <cell r="G3004">
            <v>44847</v>
          </cell>
          <cell r="H3004">
            <v>44849</v>
          </cell>
          <cell r="I3004" t="str">
            <v>06.10.2022</v>
          </cell>
          <cell r="J3004" t="str">
            <v>11.10.2022</v>
          </cell>
          <cell r="K3004" t="str">
            <v>10.10.2022</v>
          </cell>
          <cell r="L3004" t="str">
            <v>OK</v>
          </cell>
        </row>
        <row r="3005">
          <cell r="A3005" t="str">
            <v>AMS-45135I22</v>
          </cell>
          <cell r="B3005" t="str">
            <v>1Z6469V00473954229</v>
          </cell>
          <cell r="C3005" t="str">
            <v>Brasiliense</v>
          </cell>
          <cell r="D3005" t="str">
            <v>UPS</v>
          </cell>
          <cell r="E3005" t="str">
            <v>Future</v>
          </cell>
          <cell r="F3005">
            <v>44839</v>
          </cell>
          <cell r="G3005">
            <v>44847</v>
          </cell>
          <cell r="H3005">
            <v>44849</v>
          </cell>
          <cell r="I3005" t="str">
            <v>06.10.2022</v>
          </cell>
          <cell r="J3005" t="str">
            <v>11.10.2022</v>
          </cell>
          <cell r="K3005" t="str">
            <v>10.10.2022</v>
          </cell>
          <cell r="L3005" t="str">
            <v>OK</v>
          </cell>
        </row>
        <row r="3006">
          <cell r="A3006" t="str">
            <v>AMS-45136I22</v>
          </cell>
          <cell r="B3006" t="str">
            <v>1Z6469V00473603134</v>
          </cell>
          <cell r="C3006" t="str">
            <v>Brasiliense</v>
          </cell>
          <cell r="D3006" t="str">
            <v>UPS</v>
          </cell>
          <cell r="E3006" t="str">
            <v>Future</v>
          </cell>
          <cell r="F3006">
            <v>44839</v>
          </cell>
          <cell r="G3006">
            <v>44847</v>
          </cell>
          <cell r="H3006">
            <v>44849</v>
          </cell>
          <cell r="I3006" t="str">
            <v>06.10.2022</v>
          </cell>
          <cell r="J3006" t="str">
            <v>11.10.2022</v>
          </cell>
          <cell r="K3006" t="str">
            <v>10.10.2022</v>
          </cell>
          <cell r="L3006" t="str">
            <v>OK</v>
          </cell>
        </row>
        <row r="3007">
          <cell r="A3007" t="str">
            <v>AMS-45137I22</v>
          </cell>
          <cell r="B3007" t="str">
            <v>1Z6469V00474383719</v>
          </cell>
          <cell r="C3007" t="str">
            <v>Brasiliense</v>
          </cell>
          <cell r="D3007" t="str">
            <v>UPS</v>
          </cell>
          <cell r="E3007" t="str">
            <v>Future</v>
          </cell>
          <cell r="F3007">
            <v>44839</v>
          </cell>
          <cell r="G3007">
            <v>44847</v>
          </cell>
          <cell r="H3007">
            <v>44849</v>
          </cell>
          <cell r="I3007" t="str">
            <v>06.10.2022</v>
          </cell>
          <cell r="J3007" t="str">
            <v>11.10.2022</v>
          </cell>
          <cell r="K3007" t="str">
            <v>10.10.2022</v>
          </cell>
          <cell r="L3007" t="str">
            <v>OK</v>
          </cell>
        </row>
        <row r="3008">
          <cell r="A3008" t="str">
            <v>AMS-45138I22</v>
          </cell>
          <cell r="B3008" t="str">
            <v>1Z6469V00475740901</v>
          </cell>
          <cell r="C3008" t="str">
            <v>Brasiliense</v>
          </cell>
          <cell r="D3008" t="str">
            <v>UPS</v>
          </cell>
          <cell r="E3008" t="str">
            <v>Future</v>
          </cell>
          <cell r="F3008">
            <v>44839</v>
          </cell>
          <cell r="G3008">
            <v>44847</v>
          </cell>
          <cell r="H3008">
            <v>44849</v>
          </cell>
          <cell r="I3008" t="str">
            <v>06.10.2022</v>
          </cell>
          <cell r="J3008" t="str">
            <v>11.10.2022</v>
          </cell>
          <cell r="K3008" t="str">
            <v>10.10.2022</v>
          </cell>
          <cell r="L3008" t="str">
            <v>OK</v>
          </cell>
        </row>
        <row r="3009">
          <cell r="A3009" t="str">
            <v>AMS-45139I22</v>
          </cell>
          <cell r="B3009" t="str">
            <v>1Z6469V00473339126</v>
          </cell>
          <cell r="C3009" t="str">
            <v>Brasiliense</v>
          </cell>
          <cell r="D3009" t="str">
            <v>UPS</v>
          </cell>
          <cell r="E3009" t="str">
            <v>Future</v>
          </cell>
          <cell r="F3009">
            <v>44839</v>
          </cell>
          <cell r="G3009">
            <v>44847</v>
          </cell>
          <cell r="H3009">
            <v>44849</v>
          </cell>
          <cell r="I3009" t="str">
            <v>06.10.2022</v>
          </cell>
          <cell r="J3009" t="str">
            <v>11.10.2022</v>
          </cell>
          <cell r="K3009" t="str">
            <v>10.10.2022</v>
          </cell>
          <cell r="L3009" t="str">
            <v>OK</v>
          </cell>
        </row>
        <row r="3010">
          <cell r="A3010" t="str">
            <v>AMS-45140I22</v>
          </cell>
          <cell r="B3010" t="str">
            <v>1Z6469V00475514969</v>
          </cell>
          <cell r="C3010" t="str">
            <v>Brasiliense</v>
          </cell>
          <cell r="D3010" t="str">
            <v>UPS</v>
          </cell>
          <cell r="E3010" t="str">
            <v>Future</v>
          </cell>
          <cell r="F3010">
            <v>44839</v>
          </cell>
          <cell r="G3010">
            <v>44847</v>
          </cell>
          <cell r="H3010">
            <v>44849</v>
          </cell>
          <cell r="I3010" t="str">
            <v>06.10.2022</v>
          </cell>
          <cell r="J3010" t="str">
            <v>11.10.2022</v>
          </cell>
          <cell r="K3010" t="str">
            <v>10.10.2022</v>
          </cell>
          <cell r="L3010" t="str">
            <v>OK</v>
          </cell>
        </row>
        <row r="3011">
          <cell r="A3011" t="str">
            <v>AMS-45141I22</v>
          </cell>
          <cell r="B3011" t="str">
            <v>1Z6469V00473345379</v>
          </cell>
          <cell r="C3011" t="str">
            <v>Brasiliense</v>
          </cell>
          <cell r="D3011" t="str">
            <v>UPS</v>
          </cell>
          <cell r="E3011" t="str">
            <v>Future</v>
          </cell>
          <cell r="F3011">
            <v>44839</v>
          </cell>
          <cell r="G3011">
            <v>44847</v>
          </cell>
          <cell r="H3011">
            <v>44849</v>
          </cell>
          <cell r="I3011" t="str">
            <v>06.10.2022</v>
          </cell>
          <cell r="J3011" t="str">
            <v>11.10.2022</v>
          </cell>
          <cell r="K3011" t="str">
            <v>10.10.2022</v>
          </cell>
          <cell r="L3011" t="str">
            <v>OK</v>
          </cell>
        </row>
        <row r="3012">
          <cell r="A3012" t="str">
            <v>AMS-45142I22</v>
          </cell>
          <cell r="B3012" t="str">
            <v>1Z6469V00474113680</v>
          </cell>
          <cell r="C3012" t="str">
            <v>Brasiliense</v>
          </cell>
          <cell r="D3012" t="str">
            <v>UPS</v>
          </cell>
          <cell r="E3012" t="str">
            <v>Future</v>
          </cell>
          <cell r="F3012">
            <v>44839</v>
          </cell>
          <cell r="G3012">
            <v>44847</v>
          </cell>
          <cell r="H3012">
            <v>44849</v>
          </cell>
          <cell r="I3012" t="str">
            <v>06.10.2022</v>
          </cell>
          <cell r="J3012" t="str">
            <v>11.10.2022</v>
          </cell>
          <cell r="K3012" t="str">
            <v>10.10.2022</v>
          </cell>
          <cell r="L3012" t="str">
            <v>OK</v>
          </cell>
        </row>
        <row r="3013">
          <cell r="A3013" t="str">
            <v>AHW-40240I23</v>
          </cell>
          <cell r="B3013">
            <v>78326257</v>
          </cell>
          <cell r="C3013" t="str">
            <v>Original</v>
          </cell>
          <cell r="D3013" t="str">
            <v>CEVA</v>
          </cell>
          <cell r="E3013" t="str">
            <v>Rodoimport</v>
          </cell>
          <cell r="F3013">
            <v>44953</v>
          </cell>
          <cell r="G3013">
            <v>44961</v>
          </cell>
          <cell r="H3013">
            <v>44963</v>
          </cell>
          <cell r="I3013" t="str">
            <v>06.02.2023</v>
          </cell>
          <cell r="J3013" t="str">
            <v>03.02.2023</v>
          </cell>
          <cell r="K3013" t="str">
            <v>-</v>
          </cell>
          <cell r="L3013" t="str">
            <v>OK</v>
          </cell>
        </row>
        <row r="3014">
          <cell r="A3014" t="str">
            <v>AHW-40408I23</v>
          </cell>
          <cell r="B3014">
            <v>4010998</v>
          </cell>
          <cell r="C3014" t="str">
            <v>Original</v>
          </cell>
          <cell r="D3014" t="str">
            <v>CTS</v>
          </cell>
          <cell r="E3014" t="str">
            <v>JP</v>
          </cell>
          <cell r="F3014">
            <v>44956</v>
          </cell>
          <cell r="G3014">
            <v>44964</v>
          </cell>
          <cell r="H3014">
            <v>44966</v>
          </cell>
          <cell r="I3014" t="str">
            <v>09.02.2023</v>
          </cell>
          <cell r="J3014" t="str">
            <v>03.02.2023</v>
          </cell>
          <cell r="K3014" t="str">
            <v>-</v>
          </cell>
          <cell r="L3014" t="str">
            <v>OK</v>
          </cell>
        </row>
        <row r="3015">
          <cell r="A3015" t="str">
            <v>AHW-40297I23</v>
          </cell>
          <cell r="B3015">
            <v>78326390</v>
          </cell>
          <cell r="C3015" t="str">
            <v>Original</v>
          </cell>
          <cell r="D3015" t="str">
            <v>CEVA</v>
          </cell>
          <cell r="E3015" t="str">
            <v>Rodoimport</v>
          </cell>
          <cell r="F3015">
            <v>44957</v>
          </cell>
          <cell r="G3015">
            <v>44965</v>
          </cell>
          <cell r="H3015">
            <v>44967</v>
          </cell>
          <cell r="I3015" t="str">
            <v>06.02.2023</v>
          </cell>
          <cell r="J3015" t="str">
            <v>03.02.2023</v>
          </cell>
          <cell r="K3015" t="str">
            <v>-</v>
          </cell>
          <cell r="L3015" t="str">
            <v>OK</v>
          </cell>
        </row>
        <row r="3016">
          <cell r="A3016" t="str">
            <v>AHW-40298I23</v>
          </cell>
          <cell r="B3016">
            <v>78326285</v>
          </cell>
          <cell r="C3016" t="str">
            <v>Original</v>
          </cell>
          <cell r="D3016" t="str">
            <v>CEVA</v>
          </cell>
          <cell r="E3016" t="str">
            <v>Rodoimport</v>
          </cell>
          <cell r="F3016">
            <v>44957</v>
          </cell>
          <cell r="G3016">
            <v>44965</v>
          </cell>
          <cell r="H3016">
            <v>44967</v>
          </cell>
          <cell r="I3016" t="str">
            <v>06.02.2023</v>
          </cell>
          <cell r="J3016" t="str">
            <v>03.02.2023</v>
          </cell>
          <cell r="K3016" t="str">
            <v>-</v>
          </cell>
          <cell r="L3016" t="str">
            <v>OK</v>
          </cell>
        </row>
        <row r="3017">
          <cell r="A3017" t="str">
            <v>AHW-40300I23</v>
          </cell>
          <cell r="B3017">
            <v>78326319</v>
          </cell>
          <cell r="C3017" t="str">
            <v>Original</v>
          </cell>
          <cell r="D3017" t="str">
            <v>CEVA</v>
          </cell>
          <cell r="E3017" t="str">
            <v>Rodoimport</v>
          </cell>
          <cell r="F3017">
            <v>44957</v>
          </cell>
          <cell r="G3017">
            <v>44965</v>
          </cell>
          <cell r="H3017">
            <v>44967</v>
          </cell>
          <cell r="I3017" t="str">
            <v>06.02.2023</v>
          </cell>
          <cell r="J3017" t="str">
            <v>03.02.2023</v>
          </cell>
          <cell r="K3017" t="str">
            <v>-</v>
          </cell>
          <cell r="L3017" t="str">
            <v>OK</v>
          </cell>
        </row>
        <row r="3018">
          <cell r="A3018" t="str">
            <v>AHW-40301I23</v>
          </cell>
          <cell r="B3018">
            <v>78326387</v>
          </cell>
          <cell r="C3018" t="str">
            <v>Original</v>
          </cell>
          <cell r="D3018" t="str">
            <v>CEVA</v>
          </cell>
          <cell r="E3018" t="str">
            <v>Rodoimport</v>
          </cell>
          <cell r="F3018">
            <v>44957</v>
          </cell>
          <cell r="G3018">
            <v>44965</v>
          </cell>
          <cell r="H3018">
            <v>44967</v>
          </cell>
          <cell r="I3018" t="str">
            <v>06.02.2023</v>
          </cell>
          <cell r="J3018" t="str">
            <v>03.02.2023</v>
          </cell>
          <cell r="K3018" t="str">
            <v>-</v>
          </cell>
          <cell r="L3018" t="str">
            <v>OK</v>
          </cell>
        </row>
        <row r="3019">
          <cell r="A3019" t="str">
            <v>AHW-40302I23</v>
          </cell>
          <cell r="B3019">
            <v>78326391</v>
          </cell>
          <cell r="C3019" t="str">
            <v>Original</v>
          </cell>
          <cell r="D3019" t="str">
            <v>CEVA</v>
          </cell>
          <cell r="E3019" t="str">
            <v>Rodoimport</v>
          </cell>
          <cell r="F3019">
            <v>44957</v>
          </cell>
          <cell r="G3019">
            <v>44965</v>
          </cell>
          <cell r="H3019">
            <v>44967</v>
          </cell>
          <cell r="I3019" t="str">
            <v>06.02.2023</v>
          </cell>
          <cell r="J3019" t="str">
            <v>03.02.2023</v>
          </cell>
          <cell r="K3019" t="str">
            <v>-</v>
          </cell>
          <cell r="L3019" t="str">
            <v>OK</v>
          </cell>
        </row>
        <row r="3020">
          <cell r="A3020" t="str">
            <v>AHW-40303I23</v>
          </cell>
          <cell r="B3020">
            <v>78326339</v>
          </cell>
          <cell r="C3020" t="str">
            <v>Original</v>
          </cell>
          <cell r="D3020" t="str">
            <v>CEVA</v>
          </cell>
          <cell r="E3020" t="str">
            <v>Rodoimport</v>
          </cell>
          <cell r="F3020">
            <v>44957</v>
          </cell>
          <cell r="G3020">
            <v>44965</v>
          </cell>
          <cell r="H3020">
            <v>44967</v>
          </cell>
          <cell r="I3020" t="str">
            <v>06.02.2023</v>
          </cell>
          <cell r="J3020" t="str">
            <v>03.02.2023</v>
          </cell>
          <cell r="K3020" t="str">
            <v>-</v>
          </cell>
          <cell r="L3020" t="str">
            <v>OK</v>
          </cell>
        </row>
        <row r="3021">
          <cell r="A3021" t="str">
            <v>AHW-40365I23</v>
          </cell>
          <cell r="B3021">
            <v>78326442</v>
          </cell>
          <cell r="C3021" t="str">
            <v>Original</v>
          </cell>
          <cell r="D3021" t="str">
            <v>CEVA</v>
          </cell>
          <cell r="E3021" t="str">
            <v>Rodoimport</v>
          </cell>
          <cell r="F3021">
            <v>44957</v>
          </cell>
          <cell r="G3021">
            <v>44965</v>
          </cell>
          <cell r="H3021">
            <v>44967</v>
          </cell>
          <cell r="I3021" t="str">
            <v>06.02.2023</v>
          </cell>
          <cell r="J3021" t="str">
            <v>03.02.2023</v>
          </cell>
          <cell r="K3021" t="str">
            <v>-</v>
          </cell>
          <cell r="L3021" t="str">
            <v>OK</v>
          </cell>
        </row>
        <row r="3022">
          <cell r="A3022" t="str">
            <v>AHW-40366I23</v>
          </cell>
          <cell r="B3022">
            <v>78326394</v>
          </cell>
          <cell r="C3022" t="str">
            <v>Original</v>
          </cell>
          <cell r="D3022" t="str">
            <v>CEVA</v>
          </cell>
          <cell r="E3022" t="str">
            <v>Rodoimport</v>
          </cell>
          <cell r="F3022">
            <v>44957</v>
          </cell>
          <cell r="G3022">
            <v>44965</v>
          </cell>
          <cell r="H3022">
            <v>44967</v>
          </cell>
          <cell r="I3022" t="str">
            <v>06.02.2023</v>
          </cell>
          <cell r="J3022" t="str">
            <v>03.02.2023</v>
          </cell>
          <cell r="K3022" t="str">
            <v>-</v>
          </cell>
          <cell r="L3022" t="str">
            <v>OK</v>
          </cell>
        </row>
        <row r="3023">
          <cell r="A3023" t="str">
            <v>SHW-46195I22</v>
          </cell>
          <cell r="B3023">
            <v>914683382</v>
          </cell>
          <cell r="C3023" t="str">
            <v>Original</v>
          </cell>
          <cell r="D3023" t="str">
            <v>Shenker</v>
          </cell>
          <cell r="E3023" t="str">
            <v>Unitrading</v>
          </cell>
          <cell r="F3023">
            <v>44958</v>
          </cell>
          <cell r="G3023">
            <v>44966</v>
          </cell>
          <cell r="H3023">
            <v>44968</v>
          </cell>
          <cell r="I3023" t="str">
            <v>09.02.2023</v>
          </cell>
          <cell r="J3023" t="str">
            <v>02.02.2023</v>
          </cell>
          <cell r="K3023" t="str">
            <v>-</v>
          </cell>
          <cell r="L3023" t="str">
            <v>OK</v>
          </cell>
        </row>
        <row r="3024">
          <cell r="A3024" t="str">
            <v>SHW-46261I22</v>
          </cell>
          <cell r="B3024">
            <v>223930109</v>
          </cell>
          <cell r="C3024" t="str">
            <v>Original</v>
          </cell>
          <cell r="D3024" t="str">
            <v>Shenker</v>
          </cell>
          <cell r="E3024" t="str">
            <v>Unitrading</v>
          </cell>
          <cell r="F3024">
            <v>44959</v>
          </cell>
          <cell r="G3024">
            <v>44967</v>
          </cell>
          <cell r="H3024">
            <v>44969</v>
          </cell>
          <cell r="I3024" t="str">
            <v>09.02.2023</v>
          </cell>
          <cell r="J3024" t="str">
            <v>03.02.2023</v>
          </cell>
          <cell r="K3024" t="str">
            <v>-</v>
          </cell>
          <cell r="L3024" t="str">
            <v>OK</v>
          </cell>
        </row>
        <row r="3025">
          <cell r="A3025" t="str">
            <v>AHW-40242I23</v>
          </cell>
          <cell r="B3025">
            <v>78326256</v>
          </cell>
          <cell r="C3025" t="str">
            <v>Original</v>
          </cell>
          <cell r="D3025" t="str">
            <v>CEVA</v>
          </cell>
          <cell r="E3025" t="str">
            <v>Rodoimport</v>
          </cell>
          <cell r="F3025">
            <v>44958</v>
          </cell>
          <cell r="G3025">
            <v>44966</v>
          </cell>
          <cell r="H3025">
            <v>44968</v>
          </cell>
          <cell r="I3025" t="str">
            <v>06.02.2023</v>
          </cell>
          <cell r="J3025" t="str">
            <v>07.02.2023</v>
          </cell>
          <cell r="K3025" t="str">
            <v>-</v>
          </cell>
          <cell r="L3025" t="str">
            <v>OK</v>
          </cell>
        </row>
        <row r="3026">
          <cell r="A3026" t="str">
            <v>AHW-40256I23</v>
          </cell>
          <cell r="B3026">
            <v>78326317</v>
          </cell>
          <cell r="C3026" t="str">
            <v>Original</v>
          </cell>
          <cell r="D3026" t="str">
            <v>CEVA</v>
          </cell>
          <cell r="E3026" t="str">
            <v>Rodoimport</v>
          </cell>
          <cell r="F3026">
            <v>44958</v>
          </cell>
          <cell r="G3026">
            <v>44966</v>
          </cell>
          <cell r="H3026">
            <v>44968</v>
          </cell>
          <cell r="I3026" t="str">
            <v>06.02.2023</v>
          </cell>
          <cell r="J3026" t="str">
            <v>23.02.2023</v>
          </cell>
          <cell r="K3026" t="str">
            <v>-</v>
          </cell>
          <cell r="L3026" t="str">
            <v>OK</v>
          </cell>
        </row>
        <row r="3027">
          <cell r="A3027" t="str">
            <v>AHW-40257I23</v>
          </cell>
          <cell r="B3027">
            <v>78326392</v>
          </cell>
          <cell r="C3027" t="str">
            <v>Original</v>
          </cell>
          <cell r="D3027" t="str">
            <v>CEVA</v>
          </cell>
          <cell r="E3027" t="str">
            <v>Rodoimport</v>
          </cell>
          <cell r="F3027">
            <v>44958</v>
          </cell>
          <cell r="G3027">
            <v>44966</v>
          </cell>
          <cell r="H3027">
            <v>44968</v>
          </cell>
          <cell r="I3027" t="str">
            <v>06.02.2023</v>
          </cell>
          <cell r="J3027" t="str">
            <v>07.02.2023</v>
          </cell>
          <cell r="K3027" t="str">
            <v>-</v>
          </cell>
          <cell r="L3027" t="str">
            <v>OK</v>
          </cell>
        </row>
        <row r="3028">
          <cell r="A3028" t="str">
            <v>AHW-40258I23</v>
          </cell>
          <cell r="B3028">
            <v>78326318</v>
          </cell>
          <cell r="C3028" t="str">
            <v>Original</v>
          </cell>
          <cell r="D3028" t="str">
            <v>CEVA</v>
          </cell>
          <cell r="E3028" t="str">
            <v>Rodoimport</v>
          </cell>
          <cell r="F3028">
            <v>44958</v>
          </cell>
          <cell r="G3028">
            <v>44966</v>
          </cell>
          <cell r="H3028">
            <v>44968</v>
          </cell>
          <cell r="I3028" t="str">
            <v>06.02.2023</v>
          </cell>
          <cell r="J3028" t="str">
            <v>07.02.2023</v>
          </cell>
          <cell r="K3028" t="str">
            <v>-</v>
          </cell>
          <cell r="L3028" t="str">
            <v>OK</v>
          </cell>
        </row>
        <row r="3029">
          <cell r="A3029" t="str">
            <v>AHW-40259I23</v>
          </cell>
          <cell r="B3029">
            <v>78326286</v>
          </cell>
          <cell r="C3029" t="str">
            <v>Original</v>
          </cell>
          <cell r="D3029" t="str">
            <v>CEVA</v>
          </cell>
          <cell r="E3029" t="str">
            <v>Rodoimport</v>
          </cell>
          <cell r="F3029">
            <v>44958</v>
          </cell>
          <cell r="G3029">
            <v>44966</v>
          </cell>
          <cell r="H3029">
            <v>44968</v>
          </cell>
          <cell r="I3029" t="str">
            <v>06.02.2023</v>
          </cell>
          <cell r="J3029" t="str">
            <v>07.02.2023</v>
          </cell>
          <cell r="K3029" t="str">
            <v>-</v>
          </cell>
          <cell r="L3029" t="str">
            <v>OK</v>
          </cell>
        </row>
        <row r="3030">
          <cell r="A3030" t="str">
            <v>AHW-40260I23</v>
          </cell>
          <cell r="B3030">
            <v>78326287</v>
          </cell>
          <cell r="C3030" t="str">
            <v>Original</v>
          </cell>
          <cell r="D3030" t="str">
            <v>CEVA</v>
          </cell>
          <cell r="E3030" t="str">
            <v>Rodoimport</v>
          </cell>
          <cell r="F3030">
            <v>44958</v>
          </cell>
          <cell r="G3030">
            <v>44966</v>
          </cell>
          <cell r="H3030">
            <v>44968</v>
          </cell>
          <cell r="I3030" t="str">
            <v>06.02.2023</v>
          </cell>
          <cell r="J3030" t="str">
            <v>07.02.2023</v>
          </cell>
          <cell r="K3030" t="str">
            <v>-</v>
          </cell>
          <cell r="L3030" t="str">
            <v>OK</v>
          </cell>
        </row>
        <row r="3031">
          <cell r="A3031" t="str">
            <v>AHW-40241I23</v>
          </cell>
          <cell r="B3031">
            <v>1050690104</v>
          </cell>
          <cell r="C3031" t="str">
            <v>Original</v>
          </cell>
          <cell r="D3031" t="str">
            <v>KUEHNE &amp; NAGEL</v>
          </cell>
          <cell r="E3031" t="str">
            <v>TSA</v>
          </cell>
          <cell r="F3031">
            <v>44964</v>
          </cell>
          <cell r="G3031">
            <v>44972</v>
          </cell>
          <cell r="H3031">
            <v>44974</v>
          </cell>
          <cell r="I3031" t="str">
            <v>08.03.2023</v>
          </cell>
          <cell r="J3031" t="str">
            <v>23.02.2023</v>
          </cell>
          <cell r="K3031" t="str">
            <v>-</v>
          </cell>
          <cell r="L3031" t="str">
            <v>OK</v>
          </cell>
        </row>
        <row r="3032">
          <cell r="A3032" t="str">
            <v>SHW-46324I22</v>
          </cell>
          <cell r="B3032">
            <v>914711951</v>
          </cell>
          <cell r="C3032" t="str">
            <v>Original</v>
          </cell>
          <cell r="D3032" t="str">
            <v>Shenker</v>
          </cell>
          <cell r="E3032" t="str">
            <v>Unitrading</v>
          </cell>
          <cell r="F3032">
            <v>44964</v>
          </cell>
          <cell r="G3032">
            <v>44972</v>
          </cell>
          <cell r="H3032">
            <v>44974</v>
          </cell>
          <cell r="I3032" t="str">
            <v>10.02.2023</v>
          </cell>
          <cell r="J3032" t="str">
            <v>08.02.2023</v>
          </cell>
          <cell r="K3032" t="str">
            <v>-</v>
          </cell>
          <cell r="L3032" t="str">
            <v>OK</v>
          </cell>
        </row>
        <row r="3033">
          <cell r="A3033" t="str">
            <v>SHW-40139I23</v>
          </cell>
          <cell r="B3033">
            <v>224083201</v>
          </cell>
          <cell r="C3033" t="str">
            <v>Original</v>
          </cell>
          <cell r="D3033" t="str">
            <v>Shenker</v>
          </cell>
          <cell r="E3033" t="str">
            <v>Unitrading</v>
          </cell>
          <cell r="F3033">
            <v>44964</v>
          </cell>
          <cell r="G3033">
            <v>44972</v>
          </cell>
          <cell r="H3033">
            <v>44974</v>
          </cell>
          <cell r="I3033" t="str">
            <v>10.02.2023</v>
          </cell>
          <cell r="J3033" t="str">
            <v>08.02.2023</v>
          </cell>
          <cell r="K3033" t="str">
            <v>-</v>
          </cell>
          <cell r="L3033" t="str">
            <v>OK</v>
          </cell>
        </row>
        <row r="3034">
          <cell r="A3034" t="str">
            <v>AHW-40364I23</v>
          </cell>
          <cell r="B3034">
            <v>78326385</v>
          </cell>
          <cell r="C3034" t="str">
            <v>Original</v>
          </cell>
          <cell r="D3034" t="str">
            <v>CEVA</v>
          </cell>
          <cell r="E3034" t="str">
            <v>Rodoimport</v>
          </cell>
          <cell r="F3034">
            <v>44964</v>
          </cell>
          <cell r="G3034">
            <v>44972</v>
          </cell>
          <cell r="H3034">
            <v>44974</v>
          </cell>
          <cell r="I3034" t="str">
            <v>17.02.2023</v>
          </cell>
          <cell r="J3034" t="str">
            <v>23.02.2023</v>
          </cell>
          <cell r="K3034" t="str">
            <v>-</v>
          </cell>
          <cell r="L3034" t="str">
            <v>OK</v>
          </cell>
        </row>
        <row r="3035">
          <cell r="A3035" t="str">
            <v>AHW-40367I23</v>
          </cell>
          <cell r="B3035">
            <v>78326395</v>
          </cell>
          <cell r="C3035" t="str">
            <v>Original</v>
          </cell>
          <cell r="D3035" t="str">
            <v>CEVA</v>
          </cell>
          <cell r="E3035" t="str">
            <v>Rodoimport</v>
          </cell>
          <cell r="F3035">
            <v>44964</v>
          </cell>
          <cell r="G3035">
            <v>44972</v>
          </cell>
          <cell r="H3035">
            <v>44974</v>
          </cell>
          <cell r="I3035" t="str">
            <v>17.02.2023</v>
          </cell>
          <cell r="J3035" t="str">
            <v>23.02.2023</v>
          </cell>
          <cell r="K3035" t="str">
            <v>-</v>
          </cell>
          <cell r="L3035" t="str">
            <v>OK</v>
          </cell>
        </row>
        <row r="3036">
          <cell r="A3036" t="str">
            <v>AHW-40003I23</v>
          </cell>
          <cell r="B3036">
            <v>4011000</v>
          </cell>
          <cell r="C3036" t="str">
            <v>Original</v>
          </cell>
          <cell r="D3036" t="str">
            <v>CTS</v>
          </cell>
          <cell r="E3036" t="str">
            <v>JP</v>
          </cell>
          <cell r="F3036">
            <v>44964</v>
          </cell>
          <cell r="G3036">
            <v>44972</v>
          </cell>
          <cell r="H3036">
            <v>44974</v>
          </cell>
          <cell r="I3036" t="str">
            <v>03.03.2023</v>
          </cell>
          <cell r="J3036" t="str">
            <v>23.02.2023</v>
          </cell>
          <cell r="K3036" t="str">
            <v>-</v>
          </cell>
          <cell r="L3036" t="str">
            <v>OK</v>
          </cell>
        </row>
        <row r="3037">
          <cell r="A3037" t="str">
            <v>AHW-40433I23</v>
          </cell>
          <cell r="B3037">
            <v>78326476</v>
          </cell>
          <cell r="C3037" t="str">
            <v>Original</v>
          </cell>
          <cell r="D3037" t="str">
            <v>CEVA</v>
          </cell>
          <cell r="E3037" t="str">
            <v>Rodoimport</v>
          </cell>
          <cell r="F3037">
            <v>44966</v>
          </cell>
          <cell r="G3037">
            <v>44974</v>
          </cell>
          <cell r="H3037">
            <v>44976</v>
          </cell>
          <cell r="I3037" t="str">
            <v>17.02.2023</v>
          </cell>
          <cell r="J3037" t="str">
            <v>23.02.2023</v>
          </cell>
          <cell r="K3037" t="str">
            <v>-</v>
          </cell>
          <cell r="L3037" t="str">
            <v>OK</v>
          </cell>
        </row>
        <row r="3038">
          <cell r="A3038" t="str">
            <v>AMS-40264I23</v>
          </cell>
          <cell r="B3038" t="str">
            <v>MIA2300130</v>
          </cell>
          <cell r="C3038" t="str">
            <v>Original</v>
          </cell>
          <cell r="D3038" t="str">
            <v xml:space="preserve">Asia Shipping </v>
          </cell>
          <cell r="E3038" t="str">
            <v>Future</v>
          </cell>
          <cell r="F3038">
            <v>44949</v>
          </cell>
          <cell r="G3038">
            <v>44957</v>
          </cell>
          <cell r="H3038">
            <v>44959</v>
          </cell>
          <cell r="I3038" t="str">
            <v>23.01.2023</v>
          </cell>
          <cell r="J3038" t="str">
            <v>03.02.2023</v>
          </cell>
          <cell r="K3038" t="str">
            <v>01.02.2023</v>
          </cell>
          <cell r="L3038" t="str">
            <v>OK</v>
          </cell>
        </row>
        <row r="3039">
          <cell r="A3039" t="str">
            <v>AHW-40508I23</v>
          </cell>
          <cell r="B3039">
            <v>78326561</v>
          </cell>
          <cell r="C3039" t="str">
            <v>Original</v>
          </cell>
          <cell r="D3039" t="str">
            <v>CEVA</v>
          </cell>
          <cell r="E3039" t="str">
            <v>Rodoimport</v>
          </cell>
          <cell r="F3039">
            <v>44974</v>
          </cell>
          <cell r="G3039">
            <v>44982</v>
          </cell>
          <cell r="H3039">
            <v>44984</v>
          </cell>
          <cell r="I3039" t="str">
            <v>08.03.2023</v>
          </cell>
          <cell r="J3039" t="str">
            <v>13.03.2023</v>
          </cell>
          <cell r="K3039" t="str">
            <v>-</v>
          </cell>
          <cell r="L3039" t="str">
            <v>OK</v>
          </cell>
        </row>
        <row r="3040">
          <cell r="A3040" t="str">
            <v>AHW-40658I23</v>
          </cell>
          <cell r="B3040">
            <v>4011094</v>
          </cell>
          <cell r="C3040" t="str">
            <v>Original</v>
          </cell>
          <cell r="D3040" t="str">
            <v>CTS</v>
          </cell>
          <cell r="E3040" t="str">
            <v>JP Cargo</v>
          </cell>
          <cell r="F3040">
            <v>44981</v>
          </cell>
          <cell r="G3040">
            <v>44989</v>
          </cell>
          <cell r="H3040">
            <v>44991</v>
          </cell>
          <cell r="I3040" t="str">
            <v>08.03.2023</v>
          </cell>
          <cell r="J3040" t="str">
            <v>13.03.2023</v>
          </cell>
          <cell r="K3040" t="str">
            <v>-</v>
          </cell>
          <cell r="L3040" t="str">
            <v>OK</v>
          </cell>
        </row>
        <row r="3041">
          <cell r="A3041" t="str">
            <v>AHW-40660I23</v>
          </cell>
          <cell r="B3041">
            <v>4011093</v>
          </cell>
          <cell r="C3041" t="str">
            <v>Original</v>
          </cell>
          <cell r="D3041" t="str">
            <v>CTS</v>
          </cell>
          <cell r="E3041" t="str">
            <v>JP Cargo</v>
          </cell>
          <cell r="F3041">
            <v>44981</v>
          </cell>
          <cell r="G3041">
            <v>44989</v>
          </cell>
          <cell r="H3041">
            <v>44991</v>
          </cell>
          <cell r="I3041" t="str">
            <v>03.03.2023</v>
          </cell>
          <cell r="J3041" t="str">
            <v>13.03.2023</v>
          </cell>
          <cell r="K3041" t="str">
            <v>-</v>
          </cell>
          <cell r="L3041" t="str">
            <v>OK</v>
          </cell>
        </row>
        <row r="3042">
          <cell r="A3042" t="str">
            <v>AHW-40444I23</v>
          </cell>
          <cell r="B3042">
            <v>1051125961</v>
          </cell>
          <cell r="C3042" t="str">
            <v>Original</v>
          </cell>
          <cell r="D3042" t="str">
            <v>KUEHNE &amp; NAGEL</v>
          </cell>
          <cell r="E3042" t="str">
            <v>TSA</v>
          </cell>
          <cell r="F3042">
            <v>44981</v>
          </cell>
          <cell r="G3042">
            <v>44989</v>
          </cell>
          <cell r="H3042">
            <v>44991</v>
          </cell>
          <cell r="I3042" t="str">
            <v>08.03.2023</v>
          </cell>
          <cell r="J3042" t="str">
            <v>09.03.2023</v>
          </cell>
          <cell r="K3042" t="str">
            <v>-</v>
          </cell>
          <cell r="L3042" t="str">
            <v>OK</v>
          </cell>
        </row>
        <row r="3043">
          <cell r="A3043" t="str">
            <v>AHW-40511I23</v>
          </cell>
          <cell r="B3043">
            <v>1051125986</v>
          </cell>
          <cell r="C3043" t="str">
            <v>Original</v>
          </cell>
          <cell r="D3043" t="str">
            <v>KUEHNE &amp; NAGEL</v>
          </cell>
          <cell r="E3043" t="str">
            <v>TSA</v>
          </cell>
          <cell r="F3043">
            <v>44981</v>
          </cell>
          <cell r="G3043">
            <v>44989</v>
          </cell>
          <cell r="H3043">
            <v>44991</v>
          </cell>
          <cell r="I3043" t="str">
            <v>08.03.2023</v>
          </cell>
          <cell r="J3043" t="str">
            <v>09.03.2023</v>
          </cell>
          <cell r="K3043" t="str">
            <v>-</v>
          </cell>
          <cell r="L3043" t="str">
            <v>OK</v>
          </cell>
        </row>
        <row r="3044">
          <cell r="A3044" t="str">
            <v>AHW-40529I23</v>
          </cell>
          <cell r="B3044">
            <v>4011067</v>
          </cell>
          <cell r="C3044" t="str">
            <v>Original</v>
          </cell>
          <cell r="D3044" t="str">
            <v>CTS</v>
          </cell>
          <cell r="E3044" t="str">
            <v>JP Cargo</v>
          </cell>
          <cell r="F3044">
            <v>44984</v>
          </cell>
          <cell r="G3044">
            <v>44992</v>
          </cell>
          <cell r="H3044">
            <v>44994</v>
          </cell>
          <cell r="I3044" t="str">
            <v>03.03.2023</v>
          </cell>
          <cell r="J3044" t="str">
            <v>13.03.2023</v>
          </cell>
          <cell r="K3044" t="str">
            <v>-</v>
          </cell>
          <cell r="L3044" t="str">
            <v>OK</v>
          </cell>
        </row>
        <row r="3045">
          <cell r="A3045" t="str">
            <v>AHW-40659I23</v>
          </cell>
          <cell r="B3045">
            <v>4011092</v>
          </cell>
          <cell r="C3045" t="str">
            <v>Original</v>
          </cell>
          <cell r="D3045" t="str">
            <v>CTS</v>
          </cell>
          <cell r="E3045" t="str">
            <v>JP Cargo</v>
          </cell>
          <cell r="F3045">
            <v>44984</v>
          </cell>
          <cell r="G3045">
            <v>44992</v>
          </cell>
          <cell r="H3045">
            <v>44994</v>
          </cell>
          <cell r="I3045" t="str">
            <v>03.03.2023</v>
          </cell>
          <cell r="J3045" t="str">
            <v>13.03.2023</v>
          </cell>
          <cell r="K3045" t="str">
            <v>-</v>
          </cell>
          <cell r="L3045" t="str">
            <v>OK</v>
          </cell>
        </row>
        <row r="3046">
          <cell r="A3046" t="str">
            <v>AHW-40483I23</v>
          </cell>
          <cell r="B3046">
            <v>78326556</v>
          </cell>
          <cell r="C3046" t="str">
            <v>Original</v>
          </cell>
          <cell r="D3046" t="str">
            <v>CEVA</v>
          </cell>
          <cell r="E3046" t="str">
            <v>Rodoimport</v>
          </cell>
          <cell r="F3046">
            <v>44984</v>
          </cell>
          <cell r="G3046">
            <v>44992</v>
          </cell>
          <cell r="H3046">
            <v>44994</v>
          </cell>
          <cell r="I3046" t="str">
            <v>03.03.2023</v>
          </cell>
          <cell r="J3046" t="str">
            <v>13.03.2023</v>
          </cell>
          <cell r="K3046" t="str">
            <v>-</v>
          </cell>
          <cell r="L3046" t="str">
            <v>OK</v>
          </cell>
        </row>
        <row r="3047">
          <cell r="A3047" t="str">
            <v>AHW-40507I23</v>
          </cell>
          <cell r="B3047">
            <v>78326581</v>
          </cell>
          <cell r="C3047" t="str">
            <v>Original</v>
          </cell>
          <cell r="D3047" t="str">
            <v>CEVA</v>
          </cell>
          <cell r="E3047" t="str">
            <v>Rodoimport</v>
          </cell>
          <cell r="F3047">
            <v>44984</v>
          </cell>
          <cell r="G3047">
            <v>44992</v>
          </cell>
          <cell r="H3047">
            <v>44994</v>
          </cell>
          <cell r="I3047" t="str">
            <v>03.03.2023</v>
          </cell>
          <cell r="J3047" t="str">
            <v>13.03.2023</v>
          </cell>
          <cell r="K3047" t="str">
            <v>-</v>
          </cell>
          <cell r="L3047" t="str">
            <v>OK</v>
          </cell>
        </row>
        <row r="3048">
          <cell r="A3048" t="str">
            <v>AHW-40552I23</v>
          </cell>
          <cell r="B3048">
            <v>78326609</v>
          </cell>
          <cell r="C3048" t="str">
            <v>Original</v>
          </cell>
          <cell r="D3048" t="str">
            <v>CEVA</v>
          </cell>
          <cell r="E3048" t="str">
            <v>Rodoimport</v>
          </cell>
          <cell r="F3048">
            <v>44984</v>
          </cell>
          <cell r="G3048">
            <v>44992</v>
          </cell>
          <cell r="H3048">
            <v>44994</v>
          </cell>
          <cell r="I3048" t="str">
            <v>10.03.2023</v>
          </cell>
          <cell r="J3048" t="str">
            <v>13.03.2023</v>
          </cell>
          <cell r="K3048" t="str">
            <v>-</v>
          </cell>
          <cell r="L3048" t="str">
            <v>OK</v>
          </cell>
        </row>
        <row r="3049">
          <cell r="A3049" t="str">
            <v>AHW-40601I23</v>
          </cell>
          <cell r="B3049">
            <v>78327152</v>
          </cell>
          <cell r="C3049" t="str">
            <v>Original</v>
          </cell>
          <cell r="D3049" t="str">
            <v>CEVA</v>
          </cell>
          <cell r="E3049" t="str">
            <v>Rodoimport</v>
          </cell>
          <cell r="F3049">
            <v>44984</v>
          </cell>
          <cell r="G3049">
            <v>44992</v>
          </cell>
          <cell r="H3049">
            <v>44994</v>
          </cell>
          <cell r="I3049" t="str">
            <v>03.03.2023</v>
          </cell>
          <cell r="J3049" t="str">
            <v>13.03.2023</v>
          </cell>
          <cell r="K3049" t="str">
            <v>-</v>
          </cell>
          <cell r="L3049" t="str">
            <v>OK</v>
          </cell>
        </row>
        <row r="3050">
          <cell r="A3050" t="str">
            <v>AHW-40482I23</v>
          </cell>
          <cell r="B3050">
            <v>78326557</v>
          </cell>
          <cell r="C3050" t="str">
            <v>Original</v>
          </cell>
          <cell r="D3050" t="str">
            <v>CEVA</v>
          </cell>
          <cell r="E3050" t="str">
            <v>Rodoimport</v>
          </cell>
          <cell r="F3050">
            <v>44986</v>
          </cell>
          <cell r="G3050">
            <v>44994</v>
          </cell>
          <cell r="H3050">
            <v>44996</v>
          </cell>
          <cell r="I3050" t="str">
            <v>03.03.2023</v>
          </cell>
          <cell r="J3050" t="str">
            <v>20.03.2023</v>
          </cell>
          <cell r="K3050" t="str">
            <v>-</v>
          </cell>
          <cell r="L3050" t="str">
            <v>OK</v>
          </cell>
        </row>
        <row r="3051">
          <cell r="A3051" t="str">
            <v>AHW-40602I23</v>
          </cell>
          <cell r="B3051">
            <v>78326599</v>
          </cell>
          <cell r="C3051" t="str">
            <v>Original</v>
          </cell>
          <cell r="D3051" t="str">
            <v>CEVA</v>
          </cell>
          <cell r="E3051" t="str">
            <v>Rodoimport</v>
          </cell>
          <cell r="F3051">
            <v>44986</v>
          </cell>
          <cell r="G3051">
            <v>44994</v>
          </cell>
          <cell r="H3051">
            <v>44996</v>
          </cell>
          <cell r="I3051" t="str">
            <v>03.03.2023</v>
          </cell>
          <cell r="J3051" t="str">
            <v>20.03.2023</v>
          </cell>
          <cell r="K3051" t="str">
            <v>-</v>
          </cell>
          <cell r="L3051" t="str">
            <v>OK</v>
          </cell>
        </row>
        <row r="3052">
          <cell r="A3052" t="str">
            <v>AHW-40657I23</v>
          </cell>
          <cell r="B3052">
            <v>78327204</v>
          </cell>
          <cell r="C3052" t="str">
            <v>Original</v>
          </cell>
          <cell r="D3052" t="str">
            <v>CEVA</v>
          </cell>
          <cell r="E3052" t="str">
            <v>Rodoimport</v>
          </cell>
          <cell r="F3052">
            <v>44986</v>
          </cell>
          <cell r="G3052">
            <v>44994</v>
          </cell>
          <cell r="H3052">
            <v>44996</v>
          </cell>
          <cell r="I3052" t="str">
            <v>03.03.2023</v>
          </cell>
          <cell r="J3052" t="str">
            <v>20.03.2023</v>
          </cell>
          <cell r="K3052" t="str">
            <v>-</v>
          </cell>
          <cell r="L3052" t="str">
            <v>OK</v>
          </cell>
        </row>
        <row r="3053">
          <cell r="A3053" t="str">
            <v>SHW-40247I23</v>
          </cell>
          <cell r="B3053">
            <v>914709544</v>
          </cell>
          <cell r="C3053" t="str">
            <v>Original</v>
          </cell>
          <cell r="D3053" t="str">
            <v>Shenker</v>
          </cell>
          <cell r="E3053" t="str">
            <v>Unitrading</v>
          </cell>
          <cell r="F3053">
            <v>44985</v>
          </cell>
          <cell r="G3053">
            <v>44993</v>
          </cell>
          <cell r="H3053">
            <v>44995</v>
          </cell>
          <cell r="I3053" t="str">
            <v>10.03.2023</v>
          </cell>
          <cell r="J3053" t="str">
            <v>03.03.2023</v>
          </cell>
          <cell r="K3053" t="str">
            <v>-</v>
          </cell>
          <cell r="L3053" t="str">
            <v>OK</v>
          </cell>
        </row>
        <row r="3054">
          <cell r="A3054" t="str">
            <v>SHW-40248I23</v>
          </cell>
          <cell r="B3054">
            <v>224425586</v>
          </cell>
          <cell r="C3054" t="str">
            <v>Original</v>
          </cell>
          <cell r="D3054" t="str">
            <v>Shenker</v>
          </cell>
          <cell r="E3054" t="str">
            <v>Unitrading</v>
          </cell>
          <cell r="F3054">
            <v>44985</v>
          </cell>
          <cell r="G3054">
            <v>44993</v>
          </cell>
          <cell r="H3054">
            <v>44995</v>
          </cell>
          <cell r="I3054" t="str">
            <v>10.03.2023</v>
          </cell>
          <cell r="J3054" t="str">
            <v>03.03.2023</v>
          </cell>
          <cell r="K3054" t="str">
            <v>-</v>
          </cell>
          <cell r="L3054" t="str">
            <v>OK</v>
          </cell>
        </row>
        <row r="3055">
          <cell r="A3055" t="str">
            <v>SHW-40254I23</v>
          </cell>
          <cell r="B3055">
            <v>224500608</v>
          </cell>
          <cell r="C3055" t="str">
            <v>Original</v>
          </cell>
          <cell r="D3055" t="str">
            <v>Shenker</v>
          </cell>
          <cell r="E3055" t="str">
            <v>Unitrading</v>
          </cell>
          <cell r="F3055">
            <v>44985</v>
          </cell>
          <cell r="G3055">
            <v>44993</v>
          </cell>
          <cell r="H3055">
            <v>44995</v>
          </cell>
          <cell r="I3055" t="str">
            <v>10.03.2023</v>
          </cell>
          <cell r="J3055" t="str">
            <v>03.03.2023</v>
          </cell>
          <cell r="K3055" t="str">
            <v>-</v>
          </cell>
          <cell r="L3055" t="str">
            <v>OK</v>
          </cell>
        </row>
        <row r="3056">
          <cell r="A3056" t="str">
            <v>SHW-40255I23</v>
          </cell>
          <cell r="B3056">
            <v>224500599</v>
          </cell>
          <cell r="C3056" t="str">
            <v>Original</v>
          </cell>
          <cell r="D3056" t="str">
            <v>Shenker</v>
          </cell>
          <cell r="E3056" t="str">
            <v>Unitrading</v>
          </cell>
          <cell r="F3056">
            <v>44985</v>
          </cell>
          <cell r="G3056">
            <v>44993</v>
          </cell>
          <cell r="H3056">
            <v>44995</v>
          </cell>
          <cell r="I3056" t="str">
            <v>10.03.2023</v>
          </cell>
          <cell r="J3056" t="str">
            <v>03.03.2023</v>
          </cell>
          <cell r="K3056" t="str">
            <v>-</v>
          </cell>
          <cell r="L3056" t="str">
            <v>OK</v>
          </cell>
        </row>
        <row r="3057">
          <cell r="A3057" t="str">
            <v>AHW-40432I23</v>
          </cell>
          <cell r="B3057">
            <v>78326493</v>
          </cell>
          <cell r="C3057" t="str">
            <v>Original</v>
          </cell>
          <cell r="D3057" t="str">
            <v>CEVA</v>
          </cell>
          <cell r="E3057" t="str">
            <v>Rodoimport</v>
          </cell>
          <cell r="F3057">
            <v>44988</v>
          </cell>
          <cell r="G3057">
            <v>44996</v>
          </cell>
          <cell r="H3057">
            <v>44998</v>
          </cell>
          <cell r="I3057" t="str">
            <v>10.03.2023</v>
          </cell>
          <cell r="J3057" t="str">
            <v>20.03.2023</v>
          </cell>
          <cell r="K3057" t="str">
            <v>-</v>
          </cell>
          <cell r="L3057" t="str">
            <v>OK</v>
          </cell>
        </row>
        <row r="3058">
          <cell r="A3058" t="str">
            <v>AHW-40665I23</v>
          </cell>
          <cell r="B3058">
            <v>78326598</v>
          </cell>
          <cell r="C3058" t="str">
            <v>Original</v>
          </cell>
          <cell r="D3058" t="str">
            <v>CEVA</v>
          </cell>
          <cell r="E3058" t="str">
            <v>Rodoimport</v>
          </cell>
          <cell r="F3058">
            <v>44987</v>
          </cell>
          <cell r="G3058">
            <v>44995</v>
          </cell>
          <cell r="H3058">
            <v>44997</v>
          </cell>
          <cell r="I3058" t="str">
            <v>10.03.2023</v>
          </cell>
          <cell r="J3058" t="str">
            <v>20.03.2023</v>
          </cell>
          <cell r="K3058" t="str">
            <v>-</v>
          </cell>
          <cell r="L3058" t="str">
            <v>OK</v>
          </cell>
        </row>
        <row r="3059">
          <cell r="A3059" t="str">
            <v>AHW-40746I23</v>
          </cell>
          <cell r="B3059">
            <v>4011126</v>
          </cell>
          <cell r="C3059" t="str">
            <v>Original</v>
          </cell>
          <cell r="D3059" t="str">
            <v>CTS</v>
          </cell>
          <cell r="E3059" t="str">
            <v>JP Cargo</v>
          </cell>
          <cell r="F3059">
            <v>44986</v>
          </cell>
          <cell r="G3059">
            <v>44994</v>
          </cell>
          <cell r="H3059">
            <v>44996</v>
          </cell>
          <cell r="I3059" t="str">
            <v>09.03.2023</v>
          </cell>
          <cell r="J3059" t="str">
            <v>20.03.2023</v>
          </cell>
          <cell r="K3059" t="str">
            <v>-</v>
          </cell>
          <cell r="L3059" t="str">
            <v>OK</v>
          </cell>
        </row>
        <row r="3060">
          <cell r="A3060" t="str">
            <v>SHW-40270I23</v>
          </cell>
          <cell r="B3060">
            <v>224541512</v>
          </cell>
          <cell r="C3060" t="str">
            <v>Original</v>
          </cell>
          <cell r="D3060" t="str">
            <v>Shenker</v>
          </cell>
          <cell r="E3060" t="str">
            <v>TSA</v>
          </cell>
          <cell r="F3060">
            <v>44988</v>
          </cell>
          <cell r="G3060">
            <v>44996</v>
          </cell>
          <cell r="H3060">
            <v>44998</v>
          </cell>
          <cell r="I3060" t="str">
            <v>10.03.2023</v>
          </cell>
          <cell r="J3060" t="str">
            <v>06.03.2023</v>
          </cell>
          <cell r="K3060" t="str">
            <v>-</v>
          </cell>
          <cell r="L3060" t="str">
            <v>OK</v>
          </cell>
        </row>
        <row r="3061">
          <cell r="A3061" t="str">
            <v>SHW-40271I23</v>
          </cell>
          <cell r="B3061">
            <v>224541276</v>
          </cell>
          <cell r="C3061" t="str">
            <v>Original</v>
          </cell>
          <cell r="D3061" t="str">
            <v>Shenker</v>
          </cell>
          <cell r="E3061" t="str">
            <v>TSA</v>
          </cell>
          <cell r="F3061">
            <v>44988</v>
          </cell>
          <cell r="G3061">
            <v>44996</v>
          </cell>
          <cell r="H3061">
            <v>44998</v>
          </cell>
          <cell r="I3061" t="str">
            <v>10.03.2023</v>
          </cell>
          <cell r="J3061" t="str">
            <v>06.03.2023</v>
          </cell>
          <cell r="K3061" t="str">
            <v>-</v>
          </cell>
          <cell r="L3061" t="str">
            <v>OK</v>
          </cell>
        </row>
        <row r="3062">
          <cell r="A3062" t="str">
            <v>SHW-40272I23</v>
          </cell>
          <cell r="B3062">
            <v>224534551</v>
          </cell>
          <cell r="C3062" t="str">
            <v>Original</v>
          </cell>
          <cell r="D3062" t="str">
            <v>Shenker</v>
          </cell>
          <cell r="E3062" t="str">
            <v>TSA</v>
          </cell>
          <cell r="F3062">
            <v>44988</v>
          </cell>
          <cell r="G3062">
            <v>44996</v>
          </cell>
          <cell r="H3062">
            <v>44998</v>
          </cell>
          <cell r="I3062" t="str">
            <v>10.03.2023</v>
          </cell>
          <cell r="J3062" t="str">
            <v>06.03.2023</v>
          </cell>
          <cell r="K3062" t="str">
            <v>-</v>
          </cell>
          <cell r="L3062" t="str">
            <v>OK</v>
          </cell>
        </row>
        <row r="3063">
          <cell r="A3063" t="str">
            <v>SHW-40273I23</v>
          </cell>
          <cell r="B3063">
            <v>224534488</v>
          </cell>
          <cell r="C3063" t="str">
            <v>Original</v>
          </cell>
          <cell r="D3063" t="str">
            <v>Shenker</v>
          </cell>
          <cell r="E3063" t="str">
            <v>TSA</v>
          </cell>
          <cell r="F3063">
            <v>44988</v>
          </cell>
          <cell r="G3063">
            <v>44996</v>
          </cell>
          <cell r="H3063">
            <v>44998</v>
          </cell>
          <cell r="I3063" t="str">
            <v>10.03.2023</v>
          </cell>
          <cell r="J3063" t="str">
            <v>06.03.2023</v>
          </cell>
          <cell r="K3063" t="str">
            <v>-</v>
          </cell>
          <cell r="L3063" t="str">
            <v>OK</v>
          </cell>
        </row>
        <row r="3064">
          <cell r="A3064" t="str">
            <v>SHW-40295I23</v>
          </cell>
          <cell r="B3064">
            <v>224534381</v>
          </cell>
          <cell r="C3064" t="str">
            <v>Original</v>
          </cell>
          <cell r="D3064" t="str">
            <v>Shenker</v>
          </cell>
          <cell r="E3064" t="str">
            <v>TSA</v>
          </cell>
          <cell r="F3064">
            <v>44988</v>
          </cell>
          <cell r="G3064">
            <v>44996</v>
          </cell>
          <cell r="H3064">
            <v>44998</v>
          </cell>
          <cell r="I3064" t="str">
            <v>10.03.2023</v>
          </cell>
          <cell r="J3064" t="str">
            <v>06.03.2023</v>
          </cell>
          <cell r="K3064" t="str">
            <v>-</v>
          </cell>
          <cell r="L3064" t="str">
            <v>OK</v>
          </cell>
        </row>
        <row r="3065">
          <cell r="A3065" t="str">
            <v>SHW-40296I23</v>
          </cell>
          <cell r="B3065">
            <v>914808704</v>
          </cell>
          <cell r="C3065" t="str">
            <v>Original</v>
          </cell>
          <cell r="D3065" t="str">
            <v>Shenker</v>
          </cell>
          <cell r="E3065" t="str">
            <v>TSA</v>
          </cell>
          <cell r="F3065">
            <v>44988</v>
          </cell>
          <cell r="G3065">
            <v>44996</v>
          </cell>
          <cell r="H3065">
            <v>44998</v>
          </cell>
          <cell r="I3065" t="str">
            <v>10.03.2023</v>
          </cell>
          <cell r="J3065" t="str">
            <v>06.03.2023</v>
          </cell>
          <cell r="K3065" t="str">
            <v>-</v>
          </cell>
          <cell r="L3065" t="str">
            <v>OK</v>
          </cell>
        </row>
        <row r="3066">
          <cell r="A3066" t="str">
            <v>SHW-40328I23</v>
          </cell>
          <cell r="B3066">
            <v>224585100</v>
          </cell>
          <cell r="C3066" t="str">
            <v>Original</v>
          </cell>
          <cell r="D3066" t="str">
            <v>Shenker</v>
          </cell>
          <cell r="E3066" t="str">
            <v>TSA</v>
          </cell>
          <cell r="F3066">
            <v>44991</v>
          </cell>
          <cell r="G3066">
            <v>44999</v>
          </cell>
          <cell r="H3066">
            <v>45001</v>
          </cell>
          <cell r="I3066" t="str">
            <v>10.03.2023</v>
          </cell>
          <cell r="J3066" t="str">
            <v>08.03.2023</v>
          </cell>
          <cell r="K3066" t="str">
            <v>-</v>
          </cell>
          <cell r="L3066" t="str">
            <v>OK</v>
          </cell>
        </row>
        <row r="3067">
          <cell r="A3067" t="str">
            <v>SHW-40329I23</v>
          </cell>
          <cell r="B3067">
            <v>224585115</v>
          </cell>
          <cell r="C3067" t="str">
            <v>Original</v>
          </cell>
          <cell r="D3067" t="str">
            <v>Shenker</v>
          </cell>
          <cell r="E3067" t="str">
            <v>TSA</v>
          </cell>
          <cell r="F3067">
            <v>44991</v>
          </cell>
          <cell r="G3067">
            <v>44999</v>
          </cell>
          <cell r="H3067">
            <v>45001</v>
          </cell>
          <cell r="I3067" t="str">
            <v>10.03.2023</v>
          </cell>
          <cell r="J3067" t="str">
            <v>08.03.2023</v>
          </cell>
          <cell r="K3067" t="str">
            <v>-</v>
          </cell>
          <cell r="L3067" t="str">
            <v>OK</v>
          </cell>
        </row>
        <row r="3068">
          <cell r="A3068" t="str">
            <v>SHW-40368I23</v>
          </cell>
          <cell r="B3068">
            <v>224623092</v>
          </cell>
          <cell r="C3068" t="str">
            <v>Original</v>
          </cell>
          <cell r="D3068" t="str">
            <v>Shenker</v>
          </cell>
          <cell r="E3068" t="str">
            <v>TSA</v>
          </cell>
          <cell r="F3068">
            <v>44991</v>
          </cell>
          <cell r="G3068">
            <v>44999</v>
          </cell>
          <cell r="H3068">
            <v>45001</v>
          </cell>
          <cell r="I3068" t="str">
            <v>10.03.2023</v>
          </cell>
          <cell r="J3068" t="str">
            <v>08.03.2023</v>
          </cell>
          <cell r="K3068" t="str">
            <v>-</v>
          </cell>
          <cell r="L3068" t="str">
            <v>OK</v>
          </cell>
        </row>
        <row r="3069">
          <cell r="A3069" t="str">
            <v>SHW-40370I23</v>
          </cell>
          <cell r="B3069">
            <v>224623147</v>
          </cell>
          <cell r="C3069" t="str">
            <v>Original</v>
          </cell>
          <cell r="D3069" t="str">
            <v>Shenker</v>
          </cell>
          <cell r="E3069" t="str">
            <v>TSA</v>
          </cell>
          <cell r="F3069">
            <v>44991</v>
          </cell>
          <cell r="G3069">
            <v>44999</v>
          </cell>
          <cell r="H3069">
            <v>45001</v>
          </cell>
          <cell r="I3069" t="str">
            <v>10.03.2023</v>
          </cell>
          <cell r="J3069" t="str">
            <v>08.03.2023</v>
          </cell>
          <cell r="K3069" t="str">
            <v>-</v>
          </cell>
          <cell r="L3069" t="str">
            <v>OK</v>
          </cell>
        </row>
        <row r="3070">
          <cell r="A3070" t="str">
            <v>AHW-40747I23</v>
          </cell>
          <cell r="B3070">
            <v>78327286</v>
          </cell>
          <cell r="C3070" t="str">
            <v>Original</v>
          </cell>
          <cell r="D3070" t="str">
            <v>CEVA</v>
          </cell>
          <cell r="E3070" t="str">
            <v>Rodoimport</v>
          </cell>
          <cell r="F3070">
            <v>44992</v>
          </cell>
          <cell r="G3070">
            <v>45000</v>
          </cell>
          <cell r="H3070">
            <v>45002</v>
          </cell>
          <cell r="I3070" t="str">
            <v>17.03.2023</v>
          </cell>
          <cell r="J3070" t="str">
            <v>20.03.2023</v>
          </cell>
          <cell r="K3070" t="str">
            <v>-</v>
          </cell>
          <cell r="L3070" t="str">
            <v>OK</v>
          </cell>
        </row>
        <row r="3071">
          <cell r="A3071" t="str">
            <v>AHW-40748I23</v>
          </cell>
          <cell r="B3071">
            <v>78327305</v>
          </cell>
          <cell r="C3071" t="str">
            <v>Original</v>
          </cell>
          <cell r="D3071" t="str">
            <v>CEVA</v>
          </cell>
          <cell r="E3071" t="str">
            <v>Rodoimport</v>
          </cell>
          <cell r="F3071">
            <v>44992</v>
          </cell>
          <cell r="G3071">
            <v>45000</v>
          </cell>
          <cell r="H3071">
            <v>45002</v>
          </cell>
          <cell r="I3071" t="str">
            <v>16.03.2023</v>
          </cell>
          <cell r="J3071" t="str">
            <v>20.03.2023</v>
          </cell>
          <cell r="K3071" t="str">
            <v>-</v>
          </cell>
          <cell r="L3071" t="str">
            <v>OK</v>
          </cell>
        </row>
        <row r="3072">
          <cell r="A3072" t="str">
            <v>AHW-40749I23</v>
          </cell>
          <cell r="B3072">
            <v>78327303</v>
          </cell>
          <cell r="C3072" t="str">
            <v>Original</v>
          </cell>
          <cell r="D3072" t="str">
            <v>CEVA</v>
          </cell>
          <cell r="E3072" t="str">
            <v>Rodoimport</v>
          </cell>
          <cell r="F3072">
            <v>44992</v>
          </cell>
          <cell r="G3072">
            <v>45000</v>
          </cell>
          <cell r="H3072">
            <v>45002</v>
          </cell>
          <cell r="I3072" t="str">
            <v>17.03.2023</v>
          </cell>
          <cell r="J3072" t="str">
            <v>20.03.2023</v>
          </cell>
          <cell r="K3072" t="str">
            <v>-</v>
          </cell>
          <cell r="L3072" t="str">
            <v>OK</v>
          </cell>
        </row>
        <row r="3073">
          <cell r="A3073" t="str">
            <v>AHW-40753I23</v>
          </cell>
          <cell r="B3073">
            <v>78327283</v>
          </cell>
          <cell r="C3073" t="str">
            <v>Original</v>
          </cell>
          <cell r="D3073" t="str">
            <v>CEVA</v>
          </cell>
          <cell r="E3073" t="str">
            <v>Rodoimport</v>
          </cell>
          <cell r="F3073">
            <v>44993</v>
          </cell>
          <cell r="G3073">
            <v>45001</v>
          </cell>
          <cell r="H3073">
            <v>45003</v>
          </cell>
          <cell r="I3073" t="str">
            <v>16.03.2023</v>
          </cell>
          <cell r="J3073" t="str">
            <v>20.03.2023</v>
          </cell>
          <cell r="K3073" t="str">
            <v>-</v>
          </cell>
          <cell r="L3073" t="str">
            <v>OK</v>
          </cell>
        </row>
        <row r="3074">
          <cell r="A3074" t="str">
            <v>AHW-40750I23</v>
          </cell>
          <cell r="B3074">
            <v>78327284</v>
          </cell>
          <cell r="C3074" t="str">
            <v>Original</v>
          </cell>
          <cell r="D3074" t="str">
            <v>CEVA</v>
          </cell>
          <cell r="E3074" t="str">
            <v>Rodoimport</v>
          </cell>
          <cell r="F3074">
            <v>44995</v>
          </cell>
          <cell r="G3074">
            <v>45003</v>
          </cell>
          <cell r="H3074">
            <v>45005</v>
          </cell>
          <cell r="I3074" t="str">
            <v>16.03.2023</v>
          </cell>
          <cell r="J3074" t="str">
            <v>20.03.2023</v>
          </cell>
          <cell r="K3074" t="str">
            <v>-</v>
          </cell>
          <cell r="L3074" t="str">
            <v>OK</v>
          </cell>
        </row>
        <row r="3075">
          <cell r="A3075" t="str">
            <v>AHW-40551I23</v>
          </cell>
          <cell r="B3075">
            <v>1051301733</v>
          </cell>
          <cell r="C3075" t="str">
            <v>Original</v>
          </cell>
          <cell r="D3075" t="str">
            <v>KUEHNE &amp; NAGEL</v>
          </cell>
          <cell r="E3075" t="str">
            <v>Nassif</v>
          </cell>
          <cell r="F3075">
            <v>44998</v>
          </cell>
          <cell r="G3075">
            <v>45006</v>
          </cell>
          <cell r="H3075">
            <v>45008</v>
          </cell>
          <cell r="I3075" t="str">
            <v>23.03.2023</v>
          </cell>
          <cell r="J3075" t="str">
            <v>20.03.2023</v>
          </cell>
          <cell r="K3075" t="str">
            <v>-</v>
          </cell>
          <cell r="L3075" t="str">
            <v>OK</v>
          </cell>
        </row>
        <row r="3076">
          <cell r="A3076" t="str">
            <v>AHW-40752I23</v>
          </cell>
          <cell r="B3076">
            <v>78327304</v>
          </cell>
          <cell r="C3076" t="str">
            <v>Original</v>
          </cell>
          <cell r="D3076" t="str">
            <v>CEVA</v>
          </cell>
          <cell r="E3076" t="str">
            <v>Rodoimport</v>
          </cell>
          <cell r="F3076">
            <v>44998</v>
          </cell>
          <cell r="G3076">
            <v>45006</v>
          </cell>
          <cell r="H3076">
            <v>45008</v>
          </cell>
          <cell r="I3076" t="str">
            <v>16.03.2023</v>
          </cell>
          <cell r="J3076" t="str">
            <v>20.03.2023</v>
          </cell>
          <cell r="K3076" t="str">
            <v>-</v>
          </cell>
          <cell r="L3076" t="str">
            <v>OK</v>
          </cell>
        </row>
        <row r="3077">
          <cell r="A3077" t="str">
            <v>AHW-40822I23</v>
          </cell>
          <cell r="B3077">
            <v>78327366</v>
          </cell>
          <cell r="C3077" t="str">
            <v>Original</v>
          </cell>
          <cell r="D3077" t="str">
            <v>CEVA</v>
          </cell>
          <cell r="E3077" t="str">
            <v>Rodoimport</v>
          </cell>
          <cell r="F3077">
            <v>44998</v>
          </cell>
          <cell r="G3077">
            <v>45006</v>
          </cell>
          <cell r="H3077">
            <v>45008</v>
          </cell>
          <cell r="I3077" t="str">
            <v>17.03.2023</v>
          </cell>
          <cell r="J3077" t="str">
            <v>20.03.2023</v>
          </cell>
          <cell r="K3077" t="str">
            <v>-</v>
          </cell>
          <cell r="L3077" t="str">
            <v>OK</v>
          </cell>
        </row>
        <row r="3078">
          <cell r="A3078" t="str">
            <v>AHW-40821I23</v>
          </cell>
          <cell r="B3078">
            <v>78327368</v>
          </cell>
          <cell r="C3078" t="str">
            <v>Original</v>
          </cell>
          <cell r="D3078" t="str">
            <v>CEVA</v>
          </cell>
          <cell r="E3078" t="str">
            <v>Rodoimport</v>
          </cell>
          <cell r="F3078">
            <v>44998</v>
          </cell>
          <cell r="G3078">
            <v>45006</v>
          </cell>
          <cell r="H3078">
            <v>45008</v>
          </cell>
          <cell r="I3078" t="str">
            <v>17.03.2023</v>
          </cell>
          <cell r="J3078" t="str">
            <v>20.03.2023</v>
          </cell>
          <cell r="K3078" t="str">
            <v>-</v>
          </cell>
          <cell r="L3078" t="str">
            <v>OK</v>
          </cell>
        </row>
        <row r="3079">
          <cell r="A3079" t="str">
            <v>AHW-40800I23</v>
          </cell>
          <cell r="B3079">
            <v>78327327</v>
          </cell>
          <cell r="C3079" t="str">
            <v>Original</v>
          </cell>
          <cell r="D3079" t="str">
            <v>CEVA</v>
          </cell>
          <cell r="E3079" t="str">
            <v>Rodoimport</v>
          </cell>
          <cell r="F3079">
            <v>44999</v>
          </cell>
          <cell r="G3079">
            <v>45007</v>
          </cell>
          <cell r="H3079">
            <v>45009</v>
          </cell>
          <cell r="I3079" t="str">
            <v>17.03.2023</v>
          </cell>
          <cell r="J3079" t="str">
            <v>20.03.2023</v>
          </cell>
          <cell r="K3079" t="str">
            <v>-</v>
          </cell>
          <cell r="L3079" t="str">
            <v>OK</v>
          </cell>
        </row>
        <row r="3080">
          <cell r="A3080" t="str">
            <v>AHW-40801I23</v>
          </cell>
          <cell r="B3080">
            <v>78327285</v>
          </cell>
          <cell r="C3080" t="str">
            <v>Original</v>
          </cell>
          <cell r="D3080" t="str">
            <v>CEVA</v>
          </cell>
          <cell r="E3080" t="str">
            <v>Rodoimport</v>
          </cell>
          <cell r="F3080">
            <v>44999</v>
          </cell>
          <cell r="G3080">
            <v>45007</v>
          </cell>
          <cell r="H3080">
            <v>45009</v>
          </cell>
          <cell r="I3080" t="str">
            <v>16.03.2023</v>
          </cell>
          <cell r="J3080" t="str">
            <v>20.03.2023</v>
          </cell>
          <cell r="K3080" t="str">
            <v>-</v>
          </cell>
          <cell r="L3080" t="str">
            <v>OK</v>
          </cell>
        </row>
        <row r="3081">
          <cell r="A3081" t="str">
            <v>AHW-40823I23</v>
          </cell>
          <cell r="B3081">
            <v>78327367</v>
          </cell>
          <cell r="C3081" t="str">
            <v>Original</v>
          </cell>
          <cell r="D3081" t="str">
            <v>CEVA</v>
          </cell>
          <cell r="E3081" t="str">
            <v>Rodoimport</v>
          </cell>
          <cell r="F3081">
            <v>44999</v>
          </cell>
          <cell r="G3081">
            <v>45007</v>
          </cell>
          <cell r="H3081">
            <v>45009</v>
          </cell>
          <cell r="I3081" t="str">
            <v>17.03.2023</v>
          </cell>
          <cell r="J3081" t="str">
            <v>20.03.2023</v>
          </cell>
          <cell r="K3081" t="str">
            <v>-</v>
          </cell>
          <cell r="L3081" t="str">
            <v>OK</v>
          </cell>
        </row>
        <row r="3082">
          <cell r="A3082" t="str">
            <v>AHW-40970I23</v>
          </cell>
          <cell r="B3082">
            <v>78327417</v>
          </cell>
          <cell r="C3082" t="str">
            <v>Original</v>
          </cell>
          <cell r="D3082" t="str">
            <v>CEVA</v>
          </cell>
          <cell r="E3082" t="str">
            <v>Rodoimport</v>
          </cell>
          <cell r="F3082">
            <v>44999</v>
          </cell>
          <cell r="G3082">
            <v>45007</v>
          </cell>
          <cell r="H3082">
            <v>45009</v>
          </cell>
          <cell r="I3082" t="str">
            <v>17.03.2023</v>
          </cell>
          <cell r="J3082" t="str">
            <v>20.03.2023</v>
          </cell>
          <cell r="K3082" t="str">
            <v>-</v>
          </cell>
          <cell r="L3082" t="str">
            <v>OK</v>
          </cell>
        </row>
        <row r="3083">
          <cell r="A3083" t="str">
            <v>SHW-40487I23</v>
          </cell>
          <cell r="B3083">
            <v>224962072</v>
          </cell>
          <cell r="C3083" t="str">
            <v>Original</v>
          </cell>
          <cell r="D3083" t="str">
            <v>Shenker</v>
          </cell>
          <cell r="E3083" t="str">
            <v>TSA</v>
          </cell>
          <cell r="F3083">
            <v>45000</v>
          </cell>
          <cell r="G3083">
            <v>45008</v>
          </cell>
          <cell r="H3083">
            <v>45010</v>
          </cell>
          <cell r="I3083" t="str">
            <v>17.03.2023</v>
          </cell>
          <cell r="J3083" t="str">
            <v>17.03.2023</v>
          </cell>
          <cell r="K3083" t="str">
            <v>-</v>
          </cell>
          <cell r="L3083" t="str">
            <v>OK</v>
          </cell>
        </row>
        <row r="3084">
          <cell r="A3084" t="str">
            <v>SHW-40488I23</v>
          </cell>
          <cell r="B3084">
            <v>224623996</v>
          </cell>
          <cell r="C3084" t="str">
            <v>Original</v>
          </cell>
          <cell r="D3084" t="str">
            <v>Shenker</v>
          </cell>
          <cell r="E3084" t="str">
            <v>TSA</v>
          </cell>
          <cell r="F3084">
            <v>45000</v>
          </cell>
          <cell r="G3084">
            <v>45008</v>
          </cell>
          <cell r="H3084">
            <v>45010</v>
          </cell>
          <cell r="I3084" t="str">
            <v>17.03.2023</v>
          </cell>
          <cell r="J3084" t="str">
            <v>17.03.2023</v>
          </cell>
          <cell r="K3084" t="str">
            <v>-</v>
          </cell>
          <cell r="L3084" t="str">
            <v>OK</v>
          </cell>
        </row>
        <row r="3085">
          <cell r="A3085" t="str">
            <v>SHW-40687I23</v>
          </cell>
          <cell r="B3085">
            <v>149300487771</v>
          </cell>
          <cell r="C3085" t="str">
            <v>Original</v>
          </cell>
          <cell r="D3085" t="str">
            <v>Shenker</v>
          </cell>
          <cell r="E3085" t="str">
            <v>TSA</v>
          </cell>
          <cell r="F3085">
            <v>45007</v>
          </cell>
          <cell r="G3085">
            <v>45015</v>
          </cell>
          <cell r="H3085">
            <v>45017</v>
          </cell>
          <cell r="I3085" t="str">
            <v>05.04.2023</v>
          </cell>
          <cell r="J3085" t="str">
            <v>23.03.2023</v>
          </cell>
          <cell r="K3085" t="str">
            <v>-</v>
          </cell>
          <cell r="L3085" t="str">
            <v>OK</v>
          </cell>
        </row>
        <row r="3086">
          <cell r="A3086" t="str">
            <v>SHW-40688I23</v>
          </cell>
          <cell r="B3086">
            <v>149300409788</v>
          </cell>
          <cell r="C3086" t="str">
            <v>Original</v>
          </cell>
          <cell r="D3086" t="str">
            <v>Shenker</v>
          </cell>
          <cell r="E3086" t="str">
            <v>TSA</v>
          </cell>
          <cell r="F3086">
            <v>45007</v>
          </cell>
          <cell r="G3086">
            <v>45015</v>
          </cell>
          <cell r="H3086">
            <v>45017</v>
          </cell>
          <cell r="I3086" t="str">
            <v>05.04.2023</v>
          </cell>
          <cell r="J3086" t="str">
            <v>23.03.2023</v>
          </cell>
          <cell r="K3086" t="str">
            <v>-</v>
          </cell>
          <cell r="L3086" t="str">
            <v>OK</v>
          </cell>
        </row>
        <row r="3087">
          <cell r="A3087" t="str">
            <v>AHW-40528I23</v>
          </cell>
          <cell r="B3087">
            <v>78326597</v>
          </cell>
          <cell r="C3087" t="str">
            <v>Original</v>
          </cell>
          <cell r="D3087" t="str">
            <v>CEVA</v>
          </cell>
          <cell r="E3087" t="str">
            <v>Rodoimport</v>
          </cell>
          <cell r="F3087">
            <v>45006</v>
          </cell>
          <cell r="G3087">
            <v>45014</v>
          </cell>
          <cell r="H3087">
            <v>45016</v>
          </cell>
          <cell r="I3087" t="str">
            <v>24.03.2023</v>
          </cell>
          <cell r="J3087" t="str">
            <v>05.04.2023</v>
          </cell>
          <cell r="K3087" t="str">
            <v>-</v>
          </cell>
          <cell r="L3087" t="str">
            <v>OK</v>
          </cell>
        </row>
        <row r="3088">
          <cell r="A3088" t="str">
            <v>AHW-40969I23</v>
          </cell>
          <cell r="B3088">
            <v>78327436</v>
          </cell>
          <cell r="C3088" t="str">
            <v>Original</v>
          </cell>
          <cell r="D3088" t="str">
            <v>CEVA</v>
          </cell>
          <cell r="E3088" t="str">
            <v>Rodoimport</v>
          </cell>
          <cell r="F3088">
            <v>45006</v>
          </cell>
          <cell r="G3088">
            <v>45014</v>
          </cell>
          <cell r="H3088">
            <v>45016</v>
          </cell>
          <cell r="I3088" t="str">
            <v>24.03.2023</v>
          </cell>
          <cell r="J3088" t="str">
            <v>05.04.2023</v>
          </cell>
          <cell r="K3088" t="str">
            <v>-</v>
          </cell>
          <cell r="L3088" t="str">
            <v>OK</v>
          </cell>
        </row>
        <row r="3089">
          <cell r="A3089" t="str">
            <v>AHW-41001I23</v>
          </cell>
          <cell r="B3089">
            <v>4011220</v>
          </cell>
          <cell r="C3089" t="str">
            <v>Original</v>
          </cell>
          <cell r="D3089" t="str">
            <v>CTS</v>
          </cell>
          <cell r="E3089" t="str">
            <v>JP Cargo</v>
          </cell>
          <cell r="F3089">
            <v>45006</v>
          </cell>
          <cell r="G3089">
            <v>45014</v>
          </cell>
          <cell r="H3089">
            <v>45016</v>
          </cell>
          <cell r="I3089" t="str">
            <v>24.03.2023</v>
          </cell>
          <cell r="J3089" t="str">
            <v>05.04.2023</v>
          </cell>
          <cell r="K3089" t="str">
            <v>-</v>
          </cell>
          <cell r="L3089" t="str">
            <v>OK</v>
          </cell>
        </row>
        <row r="3090">
          <cell r="A3090" t="str">
            <v>AHW-40973I23</v>
          </cell>
          <cell r="B3090">
            <v>4011186</v>
          </cell>
          <cell r="C3090" t="str">
            <v>Original</v>
          </cell>
          <cell r="D3090" t="str">
            <v>CTS</v>
          </cell>
          <cell r="E3090" t="str">
            <v>JP Cargo</v>
          </cell>
          <cell r="F3090">
            <v>45007</v>
          </cell>
          <cell r="G3090">
            <v>45015</v>
          </cell>
          <cell r="H3090">
            <v>45017</v>
          </cell>
          <cell r="I3090" t="str">
            <v>24.03.2023</v>
          </cell>
          <cell r="J3090" t="str">
            <v>05.04.2023</v>
          </cell>
          <cell r="K3090" t="str">
            <v>-</v>
          </cell>
          <cell r="L3090" t="str">
            <v>OK</v>
          </cell>
        </row>
        <row r="3091">
          <cell r="A3091" t="str">
            <v>AHW-40967I23</v>
          </cell>
          <cell r="B3091">
            <v>4011185</v>
          </cell>
          <cell r="C3091" t="str">
            <v>Original</v>
          </cell>
          <cell r="D3091" t="str">
            <v>CTS</v>
          </cell>
          <cell r="E3091" t="str">
            <v>JP Cargo</v>
          </cell>
          <cell r="F3091">
            <v>45008</v>
          </cell>
          <cell r="G3091">
            <v>45016</v>
          </cell>
          <cell r="H3091">
            <v>45018</v>
          </cell>
          <cell r="I3091" t="str">
            <v>27.03.2023</v>
          </cell>
          <cell r="J3091" t="str">
            <v>05.04.2023</v>
          </cell>
          <cell r="K3091" t="str">
            <v>-</v>
          </cell>
          <cell r="L3091" t="str">
            <v>OK</v>
          </cell>
        </row>
        <row r="3092">
          <cell r="A3092" t="str">
            <v>AHW-40968I23</v>
          </cell>
          <cell r="B3092">
            <v>78327435</v>
          </cell>
          <cell r="C3092" t="str">
            <v>Original</v>
          </cell>
          <cell r="D3092" t="str">
            <v>CEVA</v>
          </cell>
          <cell r="E3092" t="str">
            <v>Rodoimport</v>
          </cell>
          <cell r="F3092">
            <v>45008</v>
          </cell>
          <cell r="G3092">
            <v>45016</v>
          </cell>
          <cell r="H3092">
            <v>45018</v>
          </cell>
          <cell r="I3092" t="str">
            <v>27.03.2023</v>
          </cell>
          <cell r="J3092" t="str">
            <v>05.04.2023</v>
          </cell>
          <cell r="K3092" t="str">
            <v>-</v>
          </cell>
          <cell r="L3092" t="str">
            <v>OK</v>
          </cell>
        </row>
        <row r="3093">
          <cell r="A3093" t="str">
            <v>AHW-40979I23</v>
          </cell>
          <cell r="B3093">
            <v>4011205</v>
          </cell>
          <cell r="C3093" t="str">
            <v>Original</v>
          </cell>
          <cell r="D3093" t="str">
            <v>CTS</v>
          </cell>
          <cell r="E3093" t="str">
            <v>JP Cargo</v>
          </cell>
          <cell r="F3093">
            <v>45008</v>
          </cell>
          <cell r="G3093">
            <v>45016</v>
          </cell>
          <cell r="H3093">
            <v>45018</v>
          </cell>
          <cell r="I3093" t="str">
            <v>27.03.2023</v>
          </cell>
          <cell r="J3093" t="str">
            <v>05.04.2023</v>
          </cell>
          <cell r="K3093" t="str">
            <v>-</v>
          </cell>
          <cell r="L3093" t="str">
            <v>OK</v>
          </cell>
        </row>
        <row r="3094">
          <cell r="A3094" t="str">
            <v>AHW-40997I23</v>
          </cell>
          <cell r="B3094">
            <v>4012466</v>
          </cell>
          <cell r="C3094" t="str">
            <v>Original</v>
          </cell>
          <cell r="D3094" t="str">
            <v>CTS</v>
          </cell>
          <cell r="E3094" t="str">
            <v>JP Cargo</v>
          </cell>
          <cell r="F3094">
            <v>45008</v>
          </cell>
          <cell r="G3094">
            <v>45016</v>
          </cell>
          <cell r="H3094">
            <v>45018</v>
          </cell>
          <cell r="I3094" t="str">
            <v>27.03.2023</v>
          </cell>
          <cell r="J3094" t="str">
            <v>05.04.2023</v>
          </cell>
          <cell r="K3094" t="str">
            <v>-</v>
          </cell>
          <cell r="L3094" t="str">
            <v>OK</v>
          </cell>
        </row>
        <row r="3095">
          <cell r="A3095" t="str">
            <v>AHW-40998I23</v>
          </cell>
          <cell r="B3095">
            <v>4011221</v>
          </cell>
          <cell r="C3095" t="str">
            <v>Original</v>
          </cell>
          <cell r="D3095" t="str">
            <v>CTS</v>
          </cell>
          <cell r="E3095" t="str">
            <v>JP Cargo</v>
          </cell>
          <cell r="F3095">
            <v>45008</v>
          </cell>
          <cell r="G3095">
            <v>45016</v>
          </cell>
          <cell r="H3095">
            <v>45018</v>
          </cell>
          <cell r="I3095" t="str">
            <v>27.03.2023</v>
          </cell>
          <cell r="J3095" t="str">
            <v>05.04.2023</v>
          </cell>
          <cell r="K3095" t="str">
            <v>-</v>
          </cell>
          <cell r="L3095" t="str">
            <v>OK</v>
          </cell>
        </row>
        <row r="3096">
          <cell r="A3096" t="str">
            <v>AHW-40999I23</v>
          </cell>
          <cell r="B3096">
            <v>4012467</v>
          </cell>
          <cell r="C3096" t="str">
            <v>Original</v>
          </cell>
          <cell r="D3096" t="str">
            <v>CTS</v>
          </cell>
          <cell r="E3096" t="str">
            <v>JP Cargo</v>
          </cell>
          <cell r="F3096">
            <v>45008</v>
          </cell>
          <cell r="G3096">
            <v>45016</v>
          </cell>
          <cell r="H3096">
            <v>45018</v>
          </cell>
          <cell r="I3096" t="str">
            <v>27.03.2023</v>
          </cell>
          <cell r="J3096" t="str">
            <v>05.04.2023</v>
          </cell>
          <cell r="K3096" t="str">
            <v>-</v>
          </cell>
          <cell r="L3096" t="str">
            <v>OK</v>
          </cell>
        </row>
        <row r="3097">
          <cell r="A3097" t="str">
            <v>AMS-40409I23</v>
          </cell>
          <cell r="B3097">
            <v>424479450</v>
          </cell>
          <cell r="C3097" t="str">
            <v>Original</v>
          </cell>
          <cell r="D3097" t="str">
            <v>Vsantos</v>
          </cell>
          <cell r="E3097" t="str">
            <v>Buick</v>
          </cell>
          <cell r="F3097">
            <v>44980</v>
          </cell>
          <cell r="G3097">
            <v>44988</v>
          </cell>
          <cell r="H3097">
            <v>44990</v>
          </cell>
          <cell r="I3097" t="str">
            <v>03.03.2023</v>
          </cell>
          <cell r="J3097" t="str">
            <v>23.02.2023</v>
          </cell>
          <cell r="K3097" t="str">
            <v>-</v>
          </cell>
          <cell r="L3097" t="str">
            <v>OK</v>
          </cell>
        </row>
        <row r="3098">
          <cell r="A3098" t="str">
            <v>AMS-40410I23</v>
          </cell>
          <cell r="B3098">
            <v>424479305</v>
          </cell>
          <cell r="C3098" t="str">
            <v>Original</v>
          </cell>
          <cell r="D3098" t="str">
            <v>Vsantos</v>
          </cell>
          <cell r="E3098" t="str">
            <v>Buick</v>
          </cell>
          <cell r="F3098">
            <v>44980</v>
          </cell>
          <cell r="G3098">
            <v>44988</v>
          </cell>
          <cell r="H3098">
            <v>44990</v>
          </cell>
          <cell r="I3098" t="str">
            <v>03.03.2023</v>
          </cell>
          <cell r="J3098" t="str">
            <v>23.02.2023</v>
          </cell>
          <cell r="K3098" t="str">
            <v>-</v>
          </cell>
          <cell r="L3098" t="str">
            <v>OK</v>
          </cell>
        </row>
        <row r="3099">
          <cell r="A3099" t="str">
            <v>AMS-40484I23</v>
          </cell>
          <cell r="B3099">
            <v>424899410</v>
          </cell>
          <cell r="C3099" t="str">
            <v>Original</v>
          </cell>
          <cell r="D3099" t="str">
            <v>Vsantos</v>
          </cell>
          <cell r="E3099" t="str">
            <v>Technology</v>
          </cell>
          <cell r="F3099">
            <v>44980</v>
          </cell>
          <cell r="G3099">
            <v>44988</v>
          </cell>
          <cell r="H3099">
            <v>44990</v>
          </cell>
          <cell r="I3099" t="str">
            <v>03.03.2023</v>
          </cell>
          <cell r="J3099" t="str">
            <v>02.03.2023</v>
          </cell>
          <cell r="K3099" t="str">
            <v>-</v>
          </cell>
          <cell r="L3099" t="str">
            <v>OK</v>
          </cell>
        </row>
        <row r="3100">
          <cell r="A3100" t="str">
            <v>AHW-40973I23</v>
          </cell>
          <cell r="B3100">
            <v>4011186</v>
          </cell>
          <cell r="C3100" t="str">
            <v>Original</v>
          </cell>
          <cell r="D3100" t="str">
            <v>CTS</v>
          </cell>
          <cell r="E3100" t="str">
            <v>JP Cargo</v>
          </cell>
          <cell r="F3100">
            <v>45007</v>
          </cell>
          <cell r="G3100">
            <v>45015</v>
          </cell>
          <cell r="H3100">
            <v>45017</v>
          </cell>
          <cell r="I3100" t="str">
            <v>24.03.2023</v>
          </cell>
          <cell r="J3100" t="str">
            <v>05.04.2023</v>
          </cell>
          <cell r="K3100" t="str">
            <v>-</v>
          </cell>
          <cell r="L3100" t="str">
            <v>OK</v>
          </cell>
        </row>
        <row r="3101">
          <cell r="A3101" t="str">
            <v>AHW-41044I23</v>
          </cell>
          <cell r="B3101">
            <v>4011232</v>
          </cell>
          <cell r="C3101" t="str">
            <v>Original</v>
          </cell>
          <cell r="D3101" t="str">
            <v>CTS</v>
          </cell>
          <cell r="E3101" t="str">
            <v>JP Cargo</v>
          </cell>
          <cell r="F3101">
            <v>45012</v>
          </cell>
          <cell r="G3101">
            <v>45020</v>
          </cell>
          <cell r="H3101">
            <v>45022</v>
          </cell>
          <cell r="I3101" t="str">
            <v>05.04.2023</v>
          </cell>
          <cell r="J3101" t="str">
            <v>05.04.2023</v>
          </cell>
          <cell r="K3101" t="str">
            <v>-</v>
          </cell>
          <cell r="L3101" t="str">
            <v>OK</v>
          </cell>
        </row>
        <row r="3102">
          <cell r="A3102" t="str">
            <v>AHW-41045I23</v>
          </cell>
          <cell r="B3102">
            <v>4011241</v>
          </cell>
          <cell r="C3102" t="str">
            <v>Original</v>
          </cell>
          <cell r="D3102" t="str">
            <v>CTS</v>
          </cell>
          <cell r="E3102" t="str">
            <v>JP Cargo</v>
          </cell>
          <cell r="F3102">
            <v>45012</v>
          </cell>
          <cell r="G3102">
            <v>45020</v>
          </cell>
          <cell r="H3102">
            <v>45022</v>
          </cell>
          <cell r="I3102" t="str">
            <v>05.04.2023</v>
          </cell>
          <cell r="J3102" t="str">
            <v>05.04.2023</v>
          </cell>
          <cell r="K3102" t="str">
            <v>-</v>
          </cell>
          <cell r="L3102" t="str">
            <v>OK</v>
          </cell>
        </row>
        <row r="3103">
          <cell r="A3103" t="str">
            <v>AMS-41015I23</v>
          </cell>
          <cell r="B3103">
            <v>428262533</v>
          </cell>
          <cell r="C3103" t="str">
            <v>Original</v>
          </cell>
          <cell r="D3103" t="str">
            <v>Vsantos</v>
          </cell>
          <cell r="E3103" t="str">
            <v>Technology</v>
          </cell>
          <cell r="F3103">
            <v>45007</v>
          </cell>
          <cell r="G3103">
            <v>45015</v>
          </cell>
          <cell r="H3103">
            <v>45017</v>
          </cell>
          <cell r="I3103" t="str">
            <v>24.03.2023</v>
          </cell>
          <cell r="J3103" t="str">
            <v>03.04.2023</v>
          </cell>
          <cell r="K3103" t="str">
            <v>-</v>
          </cell>
          <cell r="L3103" t="str">
            <v>OK</v>
          </cell>
        </row>
        <row r="3104">
          <cell r="A3104" t="str">
            <v>AMS-41016I23</v>
          </cell>
          <cell r="B3104">
            <v>428262631</v>
          </cell>
          <cell r="C3104" t="str">
            <v>Original</v>
          </cell>
          <cell r="D3104" t="str">
            <v>Vsantos</v>
          </cell>
          <cell r="E3104" t="str">
            <v>Technology</v>
          </cell>
          <cell r="F3104">
            <v>45007</v>
          </cell>
          <cell r="G3104">
            <v>45015</v>
          </cell>
          <cell r="H3104">
            <v>45017</v>
          </cell>
          <cell r="I3104" t="str">
            <v>24.03.2023</v>
          </cell>
          <cell r="J3104" t="str">
            <v>03.04.2023</v>
          </cell>
          <cell r="K3104" t="str">
            <v>-</v>
          </cell>
          <cell r="L3104" t="str">
            <v>OK</v>
          </cell>
        </row>
        <row r="3105">
          <cell r="A3105" t="str">
            <v>AMS-41017I23</v>
          </cell>
          <cell r="B3105">
            <v>428262673</v>
          </cell>
          <cell r="C3105" t="str">
            <v>Original</v>
          </cell>
          <cell r="D3105" t="str">
            <v>Vsantos</v>
          </cell>
          <cell r="E3105" t="str">
            <v>Technology</v>
          </cell>
          <cell r="F3105">
            <v>45007</v>
          </cell>
          <cell r="G3105">
            <v>45015</v>
          </cell>
          <cell r="H3105">
            <v>45017</v>
          </cell>
          <cell r="I3105" t="str">
            <v>24.03.2023</v>
          </cell>
          <cell r="J3105" t="str">
            <v>03.04.2023</v>
          </cell>
          <cell r="K3105" t="str">
            <v>-</v>
          </cell>
          <cell r="L3105" t="str">
            <v>OK</v>
          </cell>
        </row>
        <row r="3106">
          <cell r="A3106" t="str">
            <v>AMS-41018I23</v>
          </cell>
          <cell r="B3106">
            <v>428262710</v>
          </cell>
          <cell r="C3106" t="str">
            <v>Original</v>
          </cell>
          <cell r="D3106" t="str">
            <v>Vsantos</v>
          </cell>
          <cell r="E3106" t="str">
            <v>Technology</v>
          </cell>
          <cell r="F3106">
            <v>45007</v>
          </cell>
          <cell r="G3106">
            <v>45015</v>
          </cell>
          <cell r="H3106">
            <v>45017</v>
          </cell>
          <cell r="I3106" t="str">
            <v>24.03.2023</v>
          </cell>
          <cell r="J3106" t="str">
            <v>03.04.2023</v>
          </cell>
          <cell r="K3106" t="str">
            <v>-</v>
          </cell>
          <cell r="L3106" t="str">
            <v>OK</v>
          </cell>
        </row>
        <row r="3107">
          <cell r="A3107" t="str">
            <v>AMS-41138I23</v>
          </cell>
          <cell r="B3107" t="str">
            <v>1Z6469V00473762945</v>
          </cell>
          <cell r="C3107" t="str">
            <v>Brasiliense</v>
          </cell>
          <cell r="D3107" t="str">
            <v>UPS</v>
          </cell>
          <cell r="E3107" t="str">
            <v>Future</v>
          </cell>
          <cell r="F3107">
            <v>45009</v>
          </cell>
          <cell r="G3107">
            <v>45017</v>
          </cell>
          <cell r="H3107">
            <v>45019</v>
          </cell>
          <cell r="I3107" t="str">
            <v>04.04.2023</v>
          </cell>
          <cell r="J3107" t="str">
            <v>05.04.2023</v>
          </cell>
          <cell r="K3107" t="str">
            <v>03.04.2023</v>
          </cell>
          <cell r="L3107" t="str">
            <v>OK</v>
          </cell>
        </row>
        <row r="3108">
          <cell r="A3108" t="str">
            <v>AMS-41139I23</v>
          </cell>
          <cell r="B3108" t="str">
            <v>1Z6469V00474002335</v>
          </cell>
          <cell r="C3108" t="str">
            <v>Brasiliense</v>
          </cell>
          <cell r="D3108" t="str">
            <v>UPS</v>
          </cell>
          <cell r="E3108" t="str">
            <v>Future</v>
          </cell>
          <cell r="F3108">
            <v>45009</v>
          </cell>
          <cell r="G3108">
            <v>45017</v>
          </cell>
          <cell r="H3108">
            <v>45019</v>
          </cell>
          <cell r="I3108" t="str">
            <v>04.04.2023</v>
          </cell>
          <cell r="J3108" t="str">
            <v>05.04.2023</v>
          </cell>
          <cell r="K3108" t="str">
            <v>03.04.2023</v>
          </cell>
          <cell r="L3108" t="str">
            <v>OK</v>
          </cell>
        </row>
        <row r="3109">
          <cell r="A3109" t="str">
            <v>SHW-40707I23</v>
          </cell>
          <cell r="B3109">
            <v>149300610904</v>
          </cell>
          <cell r="C3109" t="str">
            <v>Original</v>
          </cell>
          <cell r="D3109" t="str">
            <v>Shenker</v>
          </cell>
          <cell r="E3109" t="str">
            <v>TSA</v>
          </cell>
          <cell r="F3109">
            <v>45015</v>
          </cell>
          <cell r="G3109">
            <v>45023</v>
          </cell>
          <cell r="H3109">
            <v>45025</v>
          </cell>
          <cell r="I3109" t="str">
            <v>05.04.2023</v>
          </cell>
          <cell r="J3109" t="str">
            <v>03.04.2023</v>
          </cell>
          <cell r="K3109" t="str">
            <v>-</v>
          </cell>
          <cell r="L3109" t="str">
            <v>OK</v>
          </cell>
        </row>
        <row r="3110">
          <cell r="A3110" t="str">
            <v>SHW-40706I23</v>
          </cell>
          <cell r="B3110">
            <v>149300259522</v>
          </cell>
          <cell r="C3110" t="str">
            <v>Original</v>
          </cell>
          <cell r="D3110" t="str">
            <v>Shenker</v>
          </cell>
          <cell r="E3110" t="str">
            <v>TSA</v>
          </cell>
          <cell r="F3110">
            <v>45015</v>
          </cell>
          <cell r="G3110">
            <v>45023</v>
          </cell>
          <cell r="H3110">
            <v>45025</v>
          </cell>
          <cell r="I3110" t="str">
            <v>11.04.2023</v>
          </cell>
          <cell r="J3110" t="str">
            <v>03.04.2023</v>
          </cell>
          <cell r="K3110" t="str">
            <v>-</v>
          </cell>
          <cell r="L3110" t="str">
            <v>OK</v>
          </cell>
        </row>
        <row r="3111">
          <cell r="A3111" t="str">
            <v>SHW-40726I23</v>
          </cell>
          <cell r="B3111">
            <v>149300611439</v>
          </cell>
          <cell r="C3111" t="str">
            <v>Original</v>
          </cell>
          <cell r="D3111" t="str">
            <v>Shenker</v>
          </cell>
          <cell r="E3111" t="str">
            <v>TSA</v>
          </cell>
          <cell r="F3111">
            <v>45015</v>
          </cell>
          <cell r="G3111">
            <v>45023</v>
          </cell>
          <cell r="H3111">
            <v>45025</v>
          </cell>
          <cell r="I3111" t="str">
            <v>05.04.2023</v>
          </cell>
          <cell r="J3111" t="str">
            <v>03.04.2023</v>
          </cell>
          <cell r="K3111" t="str">
            <v>-</v>
          </cell>
          <cell r="L3111" t="str">
            <v>OK</v>
          </cell>
        </row>
        <row r="3112">
          <cell r="A3112" t="str">
            <v>SHW-40727I23</v>
          </cell>
          <cell r="B3112">
            <v>149300611412</v>
          </cell>
          <cell r="C3112" t="str">
            <v>Original</v>
          </cell>
          <cell r="D3112" t="str">
            <v>Shenker</v>
          </cell>
          <cell r="E3112" t="str">
            <v>TSA</v>
          </cell>
          <cell r="F3112">
            <v>45015</v>
          </cell>
          <cell r="G3112">
            <v>45023</v>
          </cell>
          <cell r="H3112">
            <v>45025</v>
          </cell>
          <cell r="I3112" t="str">
            <v>05.04.2023</v>
          </cell>
          <cell r="J3112" t="str">
            <v>03.04.2023</v>
          </cell>
          <cell r="K3112" t="str">
            <v>-</v>
          </cell>
          <cell r="L3112" t="str">
            <v>OK</v>
          </cell>
        </row>
        <row r="3113">
          <cell r="A3113" t="str">
            <v>AMS-41014I23</v>
          </cell>
          <cell r="B3113">
            <v>17252580824</v>
          </cell>
          <cell r="C3113" t="str">
            <v>Original</v>
          </cell>
          <cell r="D3113" t="str">
            <v>Vsantos</v>
          </cell>
          <cell r="E3113" t="str">
            <v>Technology</v>
          </cell>
          <cell r="F3113">
            <v>45014</v>
          </cell>
          <cell r="G3113">
            <v>45022</v>
          </cell>
          <cell r="H3113">
            <v>45024</v>
          </cell>
          <cell r="I3113" t="str">
            <v>10.04.2023</v>
          </cell>
          <cell r="J3113" t="str">
            <v>03.04.2023</v>
          </cell>
          <cell r="K3113" t="str">
            <v>-</v>
          </cell>
          <cell r="L3113" t="str">
            <v>OK</v>
          </cell>
        </row>
        <row r="3114">
          <cell r="A3114" t="str">
            <v>AMS-41098I23</v>
          </cell>
          <cell r="B3114">
            <v>428881459</v>
          </cell>
          <cell r="C3114" t="str">
            <v>Original</v>
          </cell>
          <cell r="D3114" t="str">
            <v>Vsantos</v>
          </cell>
          <cell r="E3114" t="str">
            <v>Technology</v>
          </cell>
          <cell r="F3114">
            <v>45019</v>
          </cell>
          <cell r="G3114">
            <v>45027</v>
          </cell>
          <cell r="H3114">
            <v>45029</v>
          </cell>
          <cell r="I3114" t="str">
            <v>10.04.2023</v>
          </cell>
          <cell r="J3114" t="str">
            <v>03.04.2023</v>
          </cell>
          <cell r="K3114" t="str">
            <v>-</v>
          </cell>
          <cell r="L3114" t="str">
            <v>OK</v>
          </cell>
        </row>
        <row r="3115">
          <cell r="A3115" t="str">
            <v>AMS-41099I23</v>
          </cell>
          <cell r="B3115">
            <v>428881460</v>
          </cell>
          <cell r="C3115" t="str">
            <v>Original</v>
          </cell>
          <cell r="D3115" t="str">
            <v>Vsantos</v>
          </cell>
          <cell r="E3115" t="str">
            <v>Technology</v>
          </cell>
          <cell r="F3115">
            <v>45019</v>
          </cell>
          <cell r="G3115">
            <v>45027</v>
          </cell>
          <cell r="H3115">
            <v>45029</v>
          </cell>
          <cell r="I3115" t="str">
            <v>10.04.2023</v>
          </cell>
          <cell r="J3115" t="str">
            <v>03.04.2023</v>
          </cell>
          <cell r="K3115" t="str">
            <v>-</v>
          </cell>
          <cell r="L3115" t="str">
            <v>OK</v>
          </cell>
        </row>
        <row r="3116">
          <cell r="A3116" t="str">
            <v>AMS-41100I23</v>
          </cell>
          <cell r="B3116">
            <v>428881461</v>
          </cell>
          <cell r="C3116" t="str">
            <v>Original</v>
          </cell>
          <cell r="D3116" t="str">
            <v>Vsantos</v>
          </cell>
          <cell r="E3116" t="str">
            <v>Technology</v>
          </cell>
          <cell r="F3116">
            <v>45019</v>
          </cell>
          <cell r="G3116">
            <v>45027</v>
          </cell>
          <cell r="H3116">
            <v>45029</v>
          </cell>
          <cell r="I3116" t="str">
            <v>10.04.2023</v>
          </cell>
          <cell r="J3116" t="str">
            <v>03.04.2023</v>
          </cell>
          <cell r="K3116" t="str">
            <v>-</v>
          </cell>
          <cell r="L3116" t="str">
            <v>OK</v>
          </cell>
        </row>
        <row r="3117">
          <cell r="A3117" t="str">
            <v>AHW-41240I23</v>
          </cell>
          <cell r="B3117">
            <v>4011298</v>
          </cell>
          <cell r="C3117" t="str">
            <v>Original</v>
          </cell>
          <cell r="D3117" t="str">
            <v>CTS</v>
          </cell>
          <cell r="E3117" t="str">
            <v>JP Cargo</v>
          </cell>
          <cell r="F3117">
            <v>45020</v>
          </cell>
          <cell r="G3117">
            <v>45028</v>
          </cell>
          <cell r="H3117">
            <v>45030</v>
          </cell>
          <cell r="I3117" t="str">
            <v>14.04.2023</v>
          </cell>
          <cell r="K3117" t="str">
            <v>-</v>
          </cell>
        </row>
        <row r="3118">
          <cell r="A3118" t="str">
            <v>SHW-40728I23</v>
          </cell>
          <cell r="B3118">
            <v>149300704437</v>
          </cell>
          <cell r="C3118" t="str">
            <v>Original</v>
          </cell>
          <cell r="D3118" t="str">
            <v>Shenker</v>
          </cell>
          <cell r="E3118" t="str">
            <v>TSA</v>
          </cell>
          <cell r="F3118">
            <v>45021</v>
          </cell>
          <cell r="G3118">
            <v>45029</v>
          </cell>
          <cell r="H3118">
            <v>45031</v>
          </cell>
          <cell r="I3118" t="str">
            <v>11.04.2023</v>
          </cell>
          <cell r="J3118" t="str">
            <v>10.04.2023</v>
          </cell>
          <cell r="K3118" t="str">
            <v>-</v>
          </cell>
          <cell r="L3118" t="str">
            <v>OK</v>
          </cell>
        </row>
        <row r="3119">
          <cell r="A3119" t="str">
            <v>SHW-40729I23</v>
          </cell>
          <cell r="B3119">
            <v>149300259514</v>
          </cell>
          <cell r="C3119" t="str">
            <v>Original</v>
          </cell>
          <cell r="D3119" t="str">
            <v>Shenker</v>
          </cell>
          <cell r="E3119" t="str">
            <v>TSA</v>
          </cell>
          <cell r="F3119">
            <v>45021</v>
          </cell>
          <cell r="G3119">
            <v>45029</v>
          </cell>
          <cell r="H3119">
            <v>45031</v>
          </cell>
          <cell r="I3119" t="str">
            <v>11.04.2023</v>
          </cell>
          <cell r="J3119" t="str">
            <v>10.04.2023</v>
          </cell>
          <cell r="K3119" t="str">
            <v>-</v>
          </cell>
          <cell r="L3119" t="str">
            <v>OK</v>
          </cell>
        </row>
        <row r="3120">
          <cell r="A3120" t="str">
            <v>SHW-40840I23</v>
          </cell>
          <cell r="B3120">
            <v>149300818122</v>
          </cell>
          <cell r="C3120" t="str">
            <v>Original</v>
          </cell>
          <cell r="D3120" t="str">
            <v>Shenker</v>
          </cell>
          <cell r="E3120" t="str">
            <v>TSA</v>
          </cell>
          <cell r="F3120">
            <v>45021</v>
          </cell>
          <cell r="G3120">
            <v>45029</v>
          </cell>
          <cell r="H3120">
            <v>45031</v>
          </cell>
          <cell r="I3120" t="str">
            <v>11.04.2023</v>
          </cell>
          <cell r="J3120" t="str">
            <v>06.04.2023</v>
          </cell>
          <cell r="K3120" t="str">
            <v>-</v>
          </cell>
          <cell r="L3120" t="str">
            <v>OK</v>
          </cell>
        </row>
        <row r="3121">
          <cell r="A3121" t="str">
            <v>SHW-40841I23</v>
          </cell>
          <cell r="B3121">
            <v>149300817941</v>
          </cell>
          <cell r="C3121" t="str">
            <v>Original</v>
          </cell>
          <cell r="D3121" t="str">
            <v>Shenker</v>
          </cell>
          <cell r="E3121" t="str">
            <v>TSA</v>
          </cell>
          <cell r="F3121">
            <v>45021</v>
          </cell>
          <cell r="G3121">
            <v>45029</v>
          </cell>
          <cell r="H3121">
            <v>45031</v>
          </cell>
          <cell r="I3121" t="str">
            <v>11.04.2023</v>
          </cell>
          <cell r="J3121" t="str">
            <v>06.04.2023</v>
          </cell>
          <cell r="K3121" t="str">
            <v>-</v>
          </cell>
          <cell r="L3121" t="str">
            <v>OK</v>
          </cell>
        </row>
        <row r="3122">
          <cell r="A3122" t="str">
            <v>SHW-40843I23</v>
          </cell>
          <cell r="B3122">
            <v>149300761384</v>
          </cell>
          <cell r="C3122" t="str">
            <v>Original</v>
          </cell>
          <cell r="D3122" t="str">
            <v>Shenker</v>
          </cell>
          <cell r="E3122" t="str">
            <v>TSA</v>
          </cell>
          <cell r="F3122">
            <v>45020</v>
          </cell>
          <cell r="G3122">
            <v>45028</v>
          </cell>
          <cell r="H3122">
            <v>45030</v>
          </cell>
          <cell r="I3122" t="str">
            <v>11.04.2023</v>
          </cell>
          <cell r="J3122" t="str">
            <v>05.04.2023</v>
          </cell>
          <cell r="K3122" t="str">
            <v>-</v>
          </cell>
          <cell r="L3122" t="str">
            <v>OK</v>
          </cell>
        </row>
        <row r="3123">
          <cell r="A3123" t="str">
            <v>SHW-40844I23</v>
          </cell>
          <cell r="B3123">
            <v>149300761350</v>
          </cell>
          <cell r="C3123" t="str">
            <v>Original</v>
          </cell>
          <cell r="D3123" t="str">
            <v>Shenker</v>
          </cell>
          <cell r="E3123" t="str">
            <v>TSA</v>
          </cell>
          <cell r="F3123">
            <v>45020</v>
          </cell>
          <cell r="G3123">
            <v>45028</v>
          </cell>
          <cell r="H3123">
            <v>45030</v>
          </cell>
          <cell r="I3123" t="str">
            <v>11.04.2023</v>
          </cell>
          <cell r="J3123" t="str">
            <v>10.04.2023</v>
          </cell>
          <cell r="K3123" t="str">
            <v>-</v>
          </cell>
          <cell r="L3123" t="str">
            <v>OK</v>
          </cell>
        </row>
        <row r="3124">
          <cell r="A3124" t="str">
            <v>AHW-41109I23</v>
          </cell>
          <cell r="B3124">
            <v>4012491</v>
          </cell>
          <cell r="C3124" t="str">
            <v>Original</v>
          </cell>
          <cell r="D3124" t="str">
            <v>CTS</v>
          </cell>
          <cell r="E3124" t="str">
            <v>JP Cargo</v>
          </cell>
          <cell r="F3124">
            <v>45022</v>
          </cell>
          <cell r="G3124">
            <v>45030</v>
          </cell>
          <cell r="H3124">
            <v>45032</v>
          </cell>
          <cell r="I3124" t="str">
            <v>14.04.2023</v>
          </cell>
          <cell r="K3124" t="str">
            <v>-</v>
          </cell>
        </row>
        <row r="3125">
          <cell r="A3125" t="str">
            <v>AHW-41241I23</v>
          </cell>
          <cell r="B3125">
            <v>4011299</v>
          </cell>
          <cell r="C3125" t="str">
            <v>Original</v>
          </cell>
          <cell r="D3125" t="str">
            <v>CTS</v>
          </cell>
          <cell r="E3125" t="str">
            <v>JP Cargo</v>
          </cell>
          <cell r="F3125">
            <v>45022</v>
          </cell>
          <cell r="G3125">
            <v>45030</v>
          </cell>
          <cell r="H3125">
            <v>45032</v>
          </cell>
          <cell r="I3125" t="str">
            <v>14.04.2023</v>
          </cell>
          <cell r="K3125" t="str">
            <v>-</v>
          </cell>
        </row>
        <row r="3126">
          <cell r="A3126" t="str">
            <v>AHW-41242I23</v>
          </cell>
          <cell r="B3126">
            <v>4012506</v>
          </cell>
          <cell r="C3126" t="str">
            <v>Original</v>
          </cell>
          <cell r="D3126" t="str">
            <v>CTS</v>
          </cell>
          <cell r="E3126" t="str">
            <v>JP Cargo</v>
          </cell>
          <cell r="F3126">
            <v>45022</v>
          </cell>
          <cell r="G3126">
            <v>45030</v>
          </cell>
          <cell r="H3126">
            <v>45032</v>
          </cell>
          <cell r="I3126" t="str">
            <v>14.04.2023</v>
          </cell>
          <cell r="K3126" t="str">
            <v>-</v>
          </cell>
        </row>
        <row r="3127">
          <cell r="A3127" t="str">
            <v>AHW-41289I23</v>
          </cell>
          <cell r="B3127">
            <v>4012525</v>
          </cell>
          <cell r="C3127" t="str">
            <v>Original</v>
          </cell>
          <cell r="D3127" t="str">
            <v>CTS</v>
          </cell>
          <cell r="E3127" t="str">
            <v>JP Cargo</v>
          </cell>
          <cell r="F3127">
            <v>45022</v>
          </cell>
          <cell r="G3127">
            <v>45030</v>
          </cell>
          <cell r="H3127">
            <v>45032</v>
          </cell>
          <cell r="I3127" t="str">
            <v>14.04.2023</v>
          </cell>
          <cell r="K3127" t="str">
            <v>-</v>
          </cell>
        </row>
        <row r="3128">
          <cell r="A3128" t="str">
            <v>AMS-41104I23</v>
          </cell>
          <cell r="B3128">
            <v>430289612</v>
          </cell>
          <cell r="C3128" t="str">
            <v>Original</v>
          </cell>
          <cell r="D3128" t="str">
            <v>Vsantos</v>
          </cell>
          <cell r="E3128" t="str">
            <v>Buick</v>
          </cell>
          <cell r="F3128">
            <v>45019</v>
          </cell>
          <cell r="G3128">
            <v>45027</v>
          </cell>
          <cell r="H3128">
            <v>45029</v>
          </cell>
          <cell r="I3128" t="str">
            <v>14.04.2023</v>
          </cell>
          <cell r="J3128" t="str">
            <v>03.04.2023</v>
          </cell>
          <cell r="K3128" t="str">
            <v>-</v>
          </cell>
          <cell r="L3128" t="str">
            <v>OK</v>
          </cell>
        </row>
        <row r="3129">
          <cell r="A3129" t="str">
            <v>AMS-41255I23</v>
          </cell>
          <cell r="B3129">
            <v>429232333</v>
          </cell>
          <cell r="C3129" t="str">
            <v>Original</v>
          </cell>
          <cell r="D3129" t="str">
            <v>Vsantos</v>
          </cell>
          <cell r="E3129" t="str">
            <v>Technology</v>
          </cell>
          <cell r="F3129">
            <v>45020</v>
          </cell>
          <cell r="G3129">
            <v>45028</v>
          </cell>
          <cell r="H3129">
            <v>45030</v>
          </cell>
          <cell r="I3129" t="str">
            <v>14.04.2023</v>
          </cell>
          <cell r="J3129" t="str">
            <v>03.04.2023</v>
          </cell>
          <cell r="K3129" t="str">
            <v>-</v>
          </cell>
          <cell r="L3129" t="str">
            <v>OK</v>
          </cell>
        </row>
        <row r="3130">
          <cell r="A3130" t="str">
            <v>AMS-41258I23</v>
          </cell>
          <cell r="B3130">
            <v>429408655</v>
          </cell>
          <cell r="C3130" t="str">
            <v>Original</v>
          </cell>
          <cell r="D3130" t="str">
            <v>Vsantos</v>
          </cell>
          <cell r="E3130" t="str">
            <v>Technology</v>
          </cell>
          <cell r="F3130">
            <v>45020</v>
          </cell>
          <cell r="G3130">
            <v>45028</v>
          </cell>
          <cell r="H3130">
            <v>45030</v>
          </cell>
          <cell r="I3130" t="str">
            <v>14.04.2023</v>
          </cell>
          <cell r="J3130" t="str">
            <v>03.04.2023</v>
          </cell>
          <cell r="K3130" t="str">
            <v>-</v>
          </cell>
          <cell r="L3130" t="str">
            <v>OK</v>
          </cell>
        </row>
        <row r="3131">
          <cell r="A3131" t="str">
            <v>AMS-41171i23</v>
          </cell>
          <cell r="B3131" t="str">
            <v>1Z6469V00474020806</v>
          </cell>
          <cell r="C3131" t="str">
            <v>Brasiliense</v>
          </cell>
          <cell r="D3131" t="str">
            <v>UPS</v>
          </cell>
          <cell r="E3131" t="str">
            <v>Future</v>
          </cell>
          <cell r="F3131">
            <v>45022</v>
          </cell>
          <cell r="G3131">
            <v>45030</v>
          </cell>
          <cell r="H3131">
            <v>45032</v>
          </cell>
          <cell r="I3131" t="str">
            <v>11.04.2023</v>
          </cell>
          <cell r="K3131" t="str">
            <v>10.04.2023</v>
          </cell>
        </row>
        <row r="3132">
          <cell r="A3132" t="str">
            <v>AMS-41172i23</v>
          </cell>
          <cell r="B3132" t="str">
            <v>1Z6469V00473140590</v>
          </cell>
          <cell r="C3132" t="str">
            <v>Brasiliense</v>
          </cell>
          <cell r="D3132" t="str">
            <v>UPS</v>
          </cell>
          <cell r="E3132" t="str">
            <v>Future</v>
          </cell>
          <cell r="F3132">
            <v>45022</v>
          </cell>
          <cell r="G3132">
            <v>45030</v>
          </cell>
          <cell r="H3132">
            <v>45032</v>
          </cell>
          <cell r="I3132" t="str">
            <v>11.04.2023</v>
          </cell>
          <cell r="K3132" t="str">
            <v>10.04.2023</v>
          </cell>
        </row>
        <row r="3133">
          <cell r="A3133" t="str">
            <v>AMS-41290I23</v>
          </cell>
          <cell r="B3133" t="str">
            <v>1Z6469V00475722752</v>
          </cell>
          <cell r="C3133" t="str">
            <v>Brasiliense</v>
          </cell>
          <cell r="D3133" t="str">
            <v>UPS</v>
          </cell>
          <cell r="E3133" t="str">
            <v>Future</v>
          </cell>
          <cell r="F3133">
            <v>45016</v>
          </cell>
          <cell r="G3133">
            <v>45024</v>
          </cell>
          <cell r="H3133">
            <v>45026</v>
          </cell>
          <cell r="I3133" t="str">
            <v>04.04.2023</v>
          </cell>
          <cell r="J3133" t="str">
            <v>05.04.2023</v>
          </cell>
          <cell r="K3133" t="str">
            <v>03.04.2023</v>
          </cell>
          <cell r="L3133" t="str">
            <v>OK</v>
          </cell>
        </row>
        <row r="3134">
          <cell r="A3134" t="str">
            <v>AHW-41332I23</v>
          </cell>
          <cell r="B3134">
            <v>4011318</v>
          </cell>
          <cell r="C3134" t="str">
            <v>Original</v>
          </cell>
          <cell r="D3134" t="str">
            <v>CTS</v>
          </cell>
          <cell r="E3134" t="str">
            <v>JP Cargo</v>
          </cell>
          <cell r="F3134">
            <v>45026</v>
          </cell>
          <cell r="G3134">
            <v>45034</v>
          </cell>
          <cell r="H3134">
            <v>45036</v>
          </cell>
          <cell r="I3134" t="str">
            <v>14.04.2023</v>
          </cell>
          <cell r="K3134" t="str">
            <v>-</v>
          </cell>
        </row>
        <row r="3135">
          <cell r="A3135" t="str">
            <v>AMS-41257I23</v>
          </cell>
          <cell r="B3135">
            <v>429408653</v>
          </cell>
          <cell r="C3135" t="str">
            <v>Original</v>
          </cell>
          <cell r="D3135" t="str">
            <v>Vsantos</v>
          </cell>
          <cell r="E3135" t="str">
            <v>Buick</v>
          </cell>
          <cell r="F3135">
            <v>45019</v>
          </cell>
          <cell r="G3135">
            <v>45027</v>
          </cell>
          <cell r="H3135">
            <v>45029</v>
          </cell>
          <cell r="I3135" t="str">
            <v>10.04.2023</v>
          </cell>
          <cell r="J3135" t="str">
            <v>03.04.2023</v>
          </cell>
          <cell r="K3135" t="str">
            <v>-</v>
          </cell>
          <cell r="L3135" t="str">
            <v>OK</v>
          </cell>
        </row>
        <row r="3136">
          <cell r="A3136" t="str">
            <v>AMS-41293i23</v>
          </cell>
          <cell r="B3136">
            <v>2301106</v>
          </cell>
          <cell r="C3136" t="str">
            <v>Brasiliense</v>
          </cell>
          <cell r="D3136" t="str">
            <v>Asia Shipping</v>
          </cell>
          <cell r="E3136" t="str">
            <v>Future</v>
          </cell>
          <cell r="F3136">
            <v>45022</v>
          </cell>
          <cell r="G3136">
            <v>45030</v>
          </cell>
          <cell r="H3136">
            <v>45032</v>
          </cell>
          <cell r="I3136" t="str">
            <v>11.04.2023</v>
          </cell>
          <cell r="K3136" t="str">
            <v>10.04.2023</v>
          </cell>
        </row>
        <row r="3137">
          <cell r="A3137" t="str">
            <v>AHW-41097I23</v>
          </cell>
          <cell r="B3137">
            <v>4011263</v>
          </cell>
          <cell r="C3137" t="str">
            <v>Original</v>
          </cell>
          <cell r="D3137" t="str">
            <v>CTS</v>
          </cell>
          <cell r="E3137" t="str">
            <v>JP Cargo</v>
          </cell>
          <cell r="F3137">
            <v>45027</v>
          </cell>
          <cell r="G3137">
            <v>45035</v>
          </cell>
          <cell r="H3137">
            <v>45037</v>
          </cell>
          <cell r="I3137" t="str">
            <v>17.04.2023</v>
          </cell>
          <cell r="K3137" t="str">
            <v>-</v>
          </cell>
        </row>
        <row r="3138">
          <cell r="A3138" t="str">
            <v>AHW-41333I23</v>
          </cell>
          <cell r="B3138">
            <v>4011323</v>
          </cell>
          <cell r="C3138" t="str">
            <v>Original</v>
          </cell>
          <cell r="D3138" t="str">
            <v>CTS</v>
          </cell>
          <cell r="E3138" t="str">
            <v>JP Cargo</v>
          </cell>
          <cell r="F3138">
            <v>45027</v>
          </cell>
          <cell r="G3138">
            <v>45035</v>
          </cell>
          <cell r="H3138">
            <v>45037</v>
          </cell>
          <cell r="I3138" t="str">
            <v>17.04.2023</v>
          </cell>
          <cell r="K3138" t="str">
            <v>-</v>
          </cell>
        </row>
        <row r="3139">
          <cell r="A3139" t="str">
            <v>AHW-41403I23</v>
          </cell>
          <cell r="B3139">
            <v>4011325</v>
          </cell>
          <cell r="C3139" t="str">
            <v>Original</v>
          </cell>
          <cell r="D3139" t="str">
            <v>CTS</v>
          </cell>
          <cell r="E3139" t="str">
            <v>JP Cargo</v>
          </cell>
          <cell r="F3139">
            <v>45027</v>
          </cell>
          <cell r="G3139">
            <v>45035</v>
          </cell>
          <cell r="H3139">
            <v>45037</v>
          </cell>
          <cell r="I3139" t="str">
            <v>17.04.2023</v>
          </cell>
          <cell r="K3139" t="str">
            <v>-</v>
          </cell>
        </row>
        <row r="3140">
          <cell r="A3140" t="str">
            <v>AHW-41404I23</v>
          </cell>
          <cell r="B3140">
            <v>4011326</v>
          </cell>
          <cell r="C3140" t="str">
            <v>Original</v>
          </cell>
          <cell r="D3140" t="str">
            <v>CTS</v>
          </cell>
          <cell r="E3140" t="str">
            <v>JP Cargo</v>
          </cell>
          <cell r="F3140">
            <v>45027</v>
          </cell>
          <cell r="G3140">
            <v>45035</v>
          </cell>
          <cell r="H3140">
            <v>45037</v>
          </cell>
          <cell r="I3140" t="str">
            <v>17.04.2023</v>
          </cell>
          <cell r="K3140" t="str">
            <v>-</v>
          </cell>
        </row>
        <row r="3141">
          <cell r="A3141" t="str">
            <v>AHW-41445I23</v>
          </cell>
          <cell r="B3141">
            <v>4011334</v>
          </cell>
          <cell r="C3141" t="str">
            <v>Original</v>
          </cell>
          <cell r="D3141" t="str">
            <v>CTS</v>
          </cell>
          <cell r="E3141" t="str">
            <v>JP Cargo</v>
          </cell>
          <cell r="F3141">
            <v>45027</v>
          </cell>
          <cell r="G3141">
            <v>45035</v>
          </cell>
          <cell r="H3141">
            <v>45037</v>
          </cell>
          <cell r="I3141" t="str">
            <v>17.04.2023</v>
          </cell>
          <cell r="K3141" t="str">
            <v>-</v>
          </cell>
        </row>
        <row r="3142">
          <cell r="A3142" t="str">
            <v>AMS-41129I23</v>
          </cell>
          <cell r="B3142">
            <v>430449994</v>
          </cell>
          <cell r="C3142" t="str">
            <v>Original</v>
          </cell>
          <cell r="D3142" t="str">
            <v>Vsantos</v>
          </cell>
          <cell r="E3142" t="str">
            <v>Technology</v>
          </cell>
          <cell r="F3142">
            <v>45022</v>
          </cell>
          <cell r="G3142">
            <v>45030</v>
          </cell>
          <cell r="H3142">
            <v>45032</v>
          </cell>
          <cell r="I3142" t="str">
            <v>14.04.2023</v>
          </cell>
          <cell r="J3142" t="str">
            <v>13.04.2023</v>
          </cell>
          <cell r="K3142" t="str">
            <v>-</v>
          </cell>
          <cell r="L3142" t="str">
            <v>OK</v>
          </cell>
        </row>
        <row r="3143">
          <cell r="A3143" t="str">
            <v>SHW-40924I23</v>
          </cell>
          <cell r="B3143">
            <v>149300641877</v>
          </cell>
          <cell r="C3143" t="str">
            <v>Original</v>
          </cell>
          <cell r="D3143" t="str">
            <v>Shenker</v>
          </cell>
          <cell r="E3143" t="str">
            <v>TSA</v>
          </cell>
          <cell r="F3143">
            <v>45028</v>
          </cell>
          <cell r="G3143">
            <v>45036</v>
          </cell>
          <cell r="H3143">
            <v>45038</v>
          </cell>
          <cell r="I3143" t="str">
            <v>17.04.2023</v>
          </cell>
          <cell r="J3143" t="str">
            <v>12.04.2023</v>
          </cell>
          <cell r="K3143" t="str">
            <v>-</v>
          </cell>
          <cell r="L3143" t="str">
            <v>OK</v>
          </cell>
        </row>
        <row r="3144">
          <cell r="A3144" t="str">
            <v>AMS-41105I23</v>
          </cell>
          <cell r="B3144">
            <v>430290343</v>
          </cell>
          <cell r="C3144" t="str">
            <v>Original</v>
          </cell>
          <cell r="D3144" t="str">
            <v>Vsantos</v>
          </cell>
          <cell r="E3144" t="str">
            <v>Buick</v>
          </cell>
          <cell r="F3144">
            <v>45028</v>
          </cell>
          <cell r="G3144">
            <v>45036</v>
          </cell>
          <cell r="H3144">
            <v>45038</v>
          </cell>
          <cell r="I3144" t="str">
            <v>14.04.2023</v>
          </cell>
          <cell r="J3144" t="str">
            <v>03.04.2023</v>
          </cell>
          <cell r="K3144" t="str">
            <v>-</v>
          </cell>
          <cell r="L3144" t="str">
            <v>OK</v>
          </cell>
        </row>
        <row r="3145">
          <cell r="A3145" t="str">
            <v>AMS-41254I23</v>
          </cell>
          <cell r="B3145">
            <v>429232332</v>
          </cell>
          <cell r="C3145" t="str">
            <v>Original</v>
          </cell>
          <cell r="D3145" t="str">
            <v>Vsantos</v>
          </cell>
          <cell r="E3145" t="str">
            <v>Buick</v>
          </cell>
          <cell r="F3145">
            <v>45028</v>
          </cell>
          <cell r="G3145">
            <v>45036</v>
          </cell>
          <cell r="H3145">
            <v>45038</v>
          </cell>
          <cell r="I3145" t="str">
            <v>14.04.2023</v>
          </cell>
          <cell r="J3145" t="str">
            <v>03.04.2023</v>
          </cell>
          <cell r="K3145" t="str">
            <v>-</v>
          </cell>
          <cell r="L3145" t="str">
            <v>OK</v>
          </cell>
        </row>
        <row r="3146">
          <cell r="A3146" t="str">
            <v>AMS-41291I23</v>
          </cell>
          <cell r="B3146" t="str">
            <v>1Z6469V00474222357 / 1Z6469V00475967346 / 1Z6469V00475789637 / 1Z6469V00475708778 / 1Z6469V00475568492 / 1Z6469V00475553515 / 1Z6469V00475348685 / 1Z6469V00475319395 / 1Z6469V00475232166 / 1Z6469V00475216924 / 1Z6469V00475205463 / 1Z6469V00475190210 / 1Z6469V00475172418 / 1Z6469V00475135628 / 1Z6469V00475130294 / 1Z6469V00475047607 / 1Z6469V00475001192 / 1Z6469V00474957402 / 1Z6469V00474868937 / 1Z6469V00474715833 / 1Z6469V00474686446 / 1Z6469V00474672504 / 1Z6469V00474357659 / 1Z6469V00474308247 / 1Z6469V00474022733 / 1Z6469V00473963264 / 1Z6469V00473954363 / 1Z6469V00473845589 / 1Z6469V00473734887 / 1Z6469V00473665872 / 1Z6469V00473652555 / 1Z6469V00473611670 / 1Z6469V00473607452 / 1Z6469V00473465543 / 1Z6469V00473374570 / 1Z6469V00473329824 / 1Z6469V00473311780 / 1Z6469V00473302727 / 1Z6469V00473082706 / 1Z6469V00473051310</v>
          </cell>
          <cell r="C3146" t="str">
            <v>Brasiliense</v>
          </cell>
          <cell r="D3146" t="str">
            <v>UPS</v>
          </cell>
          <cell r="E3146" t="str">
            <v>Future</v>
          </cell>
          <cell r="F3146">
            <v>45030</v>
          </cell>
          <cell r="G3146">
            <v>45038</v>
          </cell>
          <cell r="H3146">
            <v>45040</v>
          </cell>
          <cell r="I3146" t="str">
            <v>17.04.2023</v>
          </cell>
        </row>
        <row r="3147">
          <cell r="A3147" t="str">
            <v>AMS-41292I23</v>
          </cell>
          <cell r="B3147" t="str">
            <v>1Z6469V00475196858 / 1Z6469V00475912743 / 1Z6469V00475902307 / 1Z6469V00475828522 / 1Z6469V00475709142 / 1Z6469V00475690948 / 1Z6469V00475589111 / 1Z6469V00475549968 / 1Z6469V00475497256 / 1Z6469V00475480371 / 1Z6469V00475381424 / 1Z6469V00475345811 / 1Z6469V00475255696 / 1Z6469V00475219387 / 1Z6469V00475096288 / 1Z6469V00475084791 / 1Z6469V00474997477 / 1Z6469V00474973895 / 1Z6469V00474932090 / 1Z6469V00474922994 / 1Z6469V00474907760 / 1Z6469V00474850339 / 1Z6469V00474823270 / 1Z6469V00474802480 / 1Z6469V00474784714 / 1Z6469V00474761060 / 1Z6469V00474703435 / 1Z6469V00474598863 / 1Z6469V00474507200 / 1Z6469V00474457238 / 1Z6469V00474433183 / 1Z6469V00474432157 / 1Z6469V00474281954 / 1Z6469V00474281909 / 1Z6469V00474271849 / 1Z6469V00474248017 / 1Z6469V00474170047 / 1Z6469V00474166918 / 1Z6469V00474067221 / 1Z6469V00474027050 / 1Z6469V00474016535 / 1Z6469V00473794321 / 1Z6469V00473772103 / 1Z6469V00473697007 / 1Z6469V00473524130 / 1Z6469V00473476666 / 1Z6469V00473230082 / 1Z6469V00473200122 / 1Z6469V00473089076 / 1Z6469V00473026179</v>
          </cell>
          <cell r="C3147" t="str">
            <v>Brasiliense</v>
          </cell>
          <cell r="D3147" t="str">
            <v>UPS</v>
          </cell>
          <cell r="E3147" t="str">
            <v>Future</v>
          </cell>
          <cell r="F3147">
            <v>45030</v>
          </cell>
          <cell r="G3147">
            <v>45038</v>
          </cell>
          <cell r="H3147">
            <v>45040</v>
          </cell>
          <cell r="I3147" t="str">
            <v>17.04.2023</v>
          </cell>
        </row>
        <row r="3148">
          <cell r="A3148" t="str">
            <v>AMS-41310I23</v>
          </cell>
          <cell r="B3148">
            <v>429408654</v>
          </cell>
          <cell r="C3148" t="str">
            <v>Original</v>
          </cell>
          <cell r="D3148" t="str">
            <v>Vsantos</v>
          </cell>
          <cell r="E3148" t="str">
            <v>Technology</v>
          </cell>
          <cell r="F3148">
            <v>45234</v>
          </cell>
          <cell r="G3148">
            <v>45242</v>
          </cell>
          <cell r="H3148">
            <v>45244</v>
          </cell>
          <cell r="J3148" t="str">
            <v>17.04.2023</v>
          </cell>
          <cell r="K3148" t="str">
            <v>-</v>
          </cell>
        </row>
        <row r="3149">
          <cell r="A3149" t="str">
            <v>AMS-41309I23</v>
          </cell>
          <cell r="B3149">
            <v>429836350</v>
          </cell>
          <cell r="C3149" t="str">
            <v>Original</v>
          </cell>
          <cell r="D3149" t="str">
            <v>Vsantos</v>
          </cell>
          <cell r="E3149" t="str">
            <v>Technology</v>
          </cell>
          <cell r="F3149">
            <v>45234</v>
          </cell>
          <cell r="G3149">
            <v>45242</v>
          </cell>
          <cell r="H3149">
            <v>45244</v>
          </cell>
          <cell r="K3149" t="str">
            <v>-</v>
          </cell>
        </row>
        <row r="3150">
          <cell r="A3150" t="str">
            <v>AHW-41510I23</v>
          </cell>
          <cell r="B3150">
            <v>4011342</v>
          </cell>
          <cell r="C3150" t="str">
            <v>Original</v>
          </cell>
          <cell r="D3150" t="str">
            <v>CTS</v>
          </cell>
          <cell r="E3150" t="str">
            <v>JP Cargo</v>
          </cell>
          <cell r="F3150">
            <v>45033</v>
          </cell>
          <cell r="G3150">
            <v>45041</v>
          </cell>
          <cell r="H3150">
            <v>45043</v>
          </cell>
        </row>
        <row r="3151">
          <cell r="G3151">
            <v>8</v>
          </cell>
          <cell r="H3151">
            <v>10</v>
          </cell>
        </row>
        <row r="3152">
          <cell r="G3152">
            <v>8</v>
          </cell>
          <cell r="H3152">
            <v>10</v>
          </cell>
        </row>
        <row r="3153">
          <cell r="G3153">
            <v>8</v>
          </cell>
          <cell r="H3153">
            <v>10</v>
          </cell>
        </row>
        <row r="3154">
          <cell r="G3154">
            <v>8</v>
          </cell>
          <cell r="H3154">
            <v>10</v>
          </cell>
        </row>
        <row r="3155">
          <cell r="G3155">
            <v>8</v>
          </cell>
          <cell r="H3155">
            <v>10</v>
          </cell>
        </row>
        <row r="3156">
          <cell r="G3156">
            <v>8</v>
          </cell>
          <cell r="H3156">
            <v>10</v>
          </cell>
        </row>
        <row r="3157">
          <cell r="G3157">
            <v>8</v>
          </cell>
          <cell r="H3157">
            <v>10</v>
          </cell>
        </row>
        <row r="3158">
          <cell r="G3158">
            <v>8</v>
          </cell>
          <cell r="H3158">
            <v>10</v>
          </cell>
        </row>
        <row r="3159">
          <cell r="G3159">
            <v>8</v>
          </cell>
          <cell r="H3159">
            <v>10</v>
          </cell>
        </row>
        <row r="3160">
          <cell r="G3160">
            <v>8</v>
          </cell>
          <cell r="H3160">
            <v>10</v>
          </cell>
        </row>
        <row r="3161">
          <cell r="G3161">
            <v>8</v>
          </cell>
          <cell r="H3161">
            <v>10</v>
          </cell>
        </row>
        <row r="3162">
          <cell r="G3162">
            <v>8</v>
          </cell>
          <cell r="H3162">
            <v>10</v>
          </cell>
        </row>
        <row r="3163">
          <cell r="G3163">
            <v>8</v>
          </cell>
          <cell r="H3163">
            <v>10</v>
          </cell>
        </row>
        <row r="3164">
          <cell r="G3164">
            <v>8</v>
          </cell>
          <cell r="H3164">
            <v>10</v>
          </cell>
        </row>
        <row r="3165">
          <cell r="G3165">
            <v>8</v>
          </cell>
          <cell r="H3165">
            <v>10</v>
          </cell>
        </row>
        <row r="3166">
          <cell r="G3166">
            <v>8</v>
          </cell>
          <cell r="H3166">
            <v>10</v>
          </cell>
        </row>
        <row r="3167">
          <cell r="G3167">
            <v>8</v>
          </cell>
          <cell r="H3167">
            <v>10</v>
          </cell>
        </row>
        <row r="3168">
          <cell r="G3168">
            <v>8</v>
          </cell>
          <cell r="H3168">
            <v>10</v>
          </cell>
        </row>
        <row r="3169">
          <cell r="G3169">
            <v>8</v>
          </cell>
          <cell r="H3169">
            <v>10</v>
          </cell>
        </row>
        <row r="3170">
          <cell r="G3170">
            <v>8</v>
          </cell>
          <cell r="H3170">
            <v>10</v>
          </cell>
        </row>
        <row r="3171">
          <cell r="G3171">
            <v>8</v>
          </cell>
          <cell r="H3171">
            <v>10</v>
          </cell>
        </row>
        <row r="3172">
          <cell r="G3172">
            <v>8</v>
          </cell>
          <cell r="H3172">
            <v>10</v>
          </cell>
        </row>
        <row r="3173">
          <cell r="G3173">
            <v>8</v>
          </cell>
          <cell r="H3173">
            <v>10</v>
          </cell>
        </row>
        <row r="3174">
          <cell r="G3174">
            <v>8</v>
          </cell>
          <cell r="H3174">
            <v>10</v>
          </cell>
        </row>
        <row r="3175">
          <cell r="G3175">
            <v>8</v>
          </cell>
          <cell r="H3175">
            <v>10</v>
          </cell>
        </row>
        <row r="3176">
          <cell r="G3176">
            <v>8</v>
          </cell>
          <cell r="H3176">
            <v>10</v>
          </cell>
        </row>
        <row r="3177">
          <cell r="G3177">
            <v>8</v>
          </cell>
          <cell r="H3177">
            <v>10</v>
          </cell>
        </row>
        <row r="3178">
          <cell r="G3178">
            <v>8</v>
          </cell>
          <cell r="H3178">
            <v>10</v>
          </cell>
        </row>
        <row r="3179">
          <cell r="G3179">
            <v>8</v>
          </cell>
          <cell r="H3179">
            <v>10</v>
          </cell>
        </row>
        <row r="3180">
          <cell r="G3180">
            <v>8</v>
          </cell>
          <cell r="H3180">
            <v>10</v>
          </cell>
        </row>
        <row r="3181">
          <cell r="G3181">
            <v>8</v>
          </cell>
          <cell r="H3181">
            <v>10</v>
          </cell>
        </row>
        <row r="3182">
          <cell r="G3182">
            <v>8</v>
          </cell>
          <cell r="H3182">
            <v>10</v>
          </cell>
        </row>
        <row r="3183">
          <cell r="G3183">
            <v>8</v>
          </cell>
          <cell r="H3183">
            <v>10</v>
          </cell>
        </row>
        <row r="3184">
          <cell r="G3184">
            <v>8</v>
          </cell>
          <cell r="H3184">
            <v>10</v>
          </cell>
        </row>
        <row r="3185">
          <cell r="G3185">
            <v>8</v>
          </cell>
          <cell r="H3185">
            <v>10</v>
          </cell>
        </row>
        <row r="3186">
          <cell r="G3186">
            <v>8</v>
          </cell>
          <cell r="H3186">
            <v>10</v>
          </cell>
        </row>
        <row r="3187">
          <cell r="G3187">
            <v>8</v>
          </cell>
          <cell r="H3187">
            <v>10</v>
          </cell>
        </row>
        <row r="3188">
          <cell r="G3188">
            <v>8</v>
          </cell>
          <cell r="H3188">
            <v>10</v>
          </cell>
        </row>
        <row r="3189">
          <cell r="G3189">
            <v>8</v>
          </cell>
          <cell r="H3189">
            <v>10</v>
          </cell>
        </row>
        <row r="3190">
          <cell r="G3190">
            <v>8</v>
          </cell>
          <cell r="H3190">
            <v>10</v>
          </cell>
        </row>
        <row r="3191">
          <cell r="G3191">
            <v>8</v>
          </cell>
          <cell r="H3191">
            <v>10</v>
          </cell>
        </row>
        <row r="3192">
          <cell r="G3192">
            <v>8</v>
          </cell>
          <cell r="H3192">
            <v>10</v>
          </cell>
        </row>
        <row r="3193">
          <cell r="G3193">
            <v>8</v>
          </cell>
          <cell r="H3193">
            <v>10</v>
          </cell>
        </row>
        <row r="3194">
          <cell r="G3194">
            <v>8</v>
          </cell>
          <cell r="H3194">
            <v>10</v>
          </cell>
        </row>
        <row r="3195">
          <cell r="G3195">
            <v>8</v>
          </cell>
          <cell r="H3195">
            <v>10</v>
          </cell>
        </row>
        <row r="3196">
          <cell r="G3196">
            <v>8</v>
          </cell>
          <cell r="H3196">
            <v>10</v>
          </cell>
        </row>
        <row r="3197">
          <cell r="G3197">
            <v>8</v>
          </cell>
          <cell r="H3197">
            <v>10</v>
          </cell>
        </row>
        <row r="3198">
          <cell r="G3198">
            <v>8</v>
          </cell>
          <cell r="H3198">
            <v>10</v>
          </cell>
        </row>
        <row r="3199">
          <cell r="G3199">
            <v>8</v>
          </cell>
          <cell r="H3199">
            <v>10</v>
          </cell>
        </row>
        <row r="3200">
          <cell r="G3200">
            <v>8</v>
          </cell>
          <cell r="H3200">
            <v>10</v>
          </cell>
        </row>
        <row r="3201">
          <cell r="G3201">
            <v>8</v>
          </cell>
          <cell r="H3201">
            <v>10</v>
          </cell>
        </row>
        <row r="3202">
          <cell r="G3202">
            <v>8</v>
          </cell>
          <cell r="H3202">
            <v>10</v>
          </cell>
        </row>
        <row r="3203">
          <cell r="G3203">
            <v>8</v>
          </cell>
          <cell r="H3203">
            <v>10</v>
          </cell>
        </row>
        <row r="3204">
          <cell r="G3204">
            <v>8</v>
          </cell>
          <cell r="H3204">
            <v>10</v>
          </cell>
        </row>
        <row r="3205">
          <cell r="G3205">
            <v>8</v>
          </cell>
          <cell r="H3205">
            <v>10</v>
          </cell>
        </row>
        <row r="3206">
          <cell r="G3206">
            <v>8</v>
          </cell>
          <cell r="H3206">
            <v>10</v>
          </cell>
        </row>
        <row r="3207">
          <cell r="G3207">
            <v>8</v>
          </cell>
          <cell r="H3207">
            <v>10</v>
          </cell>
        </row>
        <row r="3208">
          <cell r="G3208">
            <v>8</v>
          </cell>
          <cell r="H3208">
            <v>10</v>
          </cell>
        </row>
        <row r="3209">
          <cell r="G3209">
            <v>8</v>
          </cell>
          <cell r="H3209">
            <v>10</v>
          </cell>
        </row>
        <row r="3210">
          <cell r="G3210">
            <v>8</v>
          </cell>
          <cell r="H3210">
            <v>10</v>
          </cell>
        </row>
        <row r="3211">
          <cell r="G3211">
            <v>8</v>
          </cell>
          <cell r="H3211">
            <v>10</v>
          </cell>
        </row>
        <row r="3212">
          <cell r="G3212">
            <v>8</v>
          </cell>
          <cell r="H3212">
            <v>10</v>
          </cell>
        </row>
        <row r="3213">
          <cell r="G3213">
            <v>8</v>
          </cell>
          <cell r="H3213">
            <v>10</v>
          </cell>
        </row>
        <row r="3214">
          <cell r="G3214">
            <v>8</v>
          </cell>
          <cell r="H3214">
            <v>10</v>
          </cell>
        </row>
        <row r="3215">
          <cell r="G3215">
            <v>8</v>
          </cell>
          <cell r="H3215">
            <v>10</v>
          </cell>
        </row>
        <row r="3216">
          <cell r="G3216">
            <v>8</v>
          </cell>
          <cell r="H3216">
            <v>10</v>
          </cell>
        </row>
        <row r="3217">
          <cell r="G3217">
            <v>8</v>
          </cell>
          <cell r="H3217">
            <v>10</v>
          </cell>
        </row>
        <row r="3218">
          <cell r="G3218">
            <v>8</v>
          </cell>
          <cell r="H3218">
            <v>10</v>
          </cell>
        </row>
        <row r="3219">
          <cell r="G3219">
            <v>8</v>
          </cell>
          <cell r="H3219">
            <v>10</v>
          </cell>
        </row>
        <row r="3220">
          <cell r="G3220">
            <v>8</v>
          </cell>
          <cell r="H3220">
            <v>10</v>
          </cell>
        </row>
        <row r="3221">
          <cell r="G3221">
            <v>8</v>
          </cell>
          <cell r="H3221">
            <v>10</v>
          </cell>
        </row>
        <row r="3222">
          <cell r="G3222">
            <v>8</v>
          </cell>
          <cell r="H3222">
            <v>10</v>
          </cell>
        </row>
        <row r="3223">
          <cell r="G3223">
            <v>8</v>
          </cell>
          <cell r="H3223">
            <v>10</v>
          </cell>
        </row>
        <row r="3224">
          <cell r="G3224">
            <v>8</v>
          </cell>
          <cell r="H3224">
            <v>10</v>
          </cell>
        </row>
        <row r="3225">
          <cell r="G3225">
            <v>8</v>
          </cell>
          <cell r="H3225">
            <v>10</v>
          </cell>
        </row>
        <row r="3226">
          <cell r="G3226">
            <v>8</v>
          </cell>
          <cell r="H3226">
            <v>10</v>
          </cell>
        </row>
        <row r="3227">
          <cell r="G3227">
            <v>8</v>
          </cell>
          <cell r="H3227">
            <v>10</v>
          </cell>
        </row>
        <row r="3228">
          <cell r="G3228">
            <v>8</v>
          </cell>
          <cell r="H3228">
            <v>10</v>
          </cell>
        </row>
        <row r="3229">
          <cell r="G3229">
            <v>8</v>
          </cell>
          <cell r="H3229">
            <v>10</v>
          </cell>
        </row>
        <row r="3230">
          <cell r="G3230">
            <v>8</v>
          </cell>
          <cell r="H3230">
            <v>10</v>
          </cell>
        </row>
        <row r="3231">
          <cell r="G3231">
            <v>8</v>
          </cell>
          <cell r="H3231">
            <v>10</v>
          </cell>
        </row>
        <row r="3232">
          <cell r="G3232">
            <v>8</v>
          </cell>
          <cell r="H3232">
            <v>10</v>
          </cell>
        </row>
        <row r="3233">
          <cell r="G3233">
            <v>8</v>
          </cell>
          <cell r="H3233">
            <v>10</v>
          </cell>
        </row>
        <row r="3234">
          <cell r="G3234">
            <v>8</v>
          </cell>
          <cell r="H3234">
            <v>10</v>
          </cell>
        </row>
        <row r="3235">
          <cell r="G3235">
            <v>8</v>
          </cell>
          <cell r="H3235">
            <v>10</v>
          </cell>
        </row>
        <row r="3236">
          <cell r="G3236">
            <v>8</v>
          </cell>
          <cell r="H3236">
            <v>10</v>
          </cell>
        </row>
        <row r="3237">
          <cell r="G3237">
            <v>8</v>
          </cell>
          <cell r="H3237">
            <v>10</v>
          </cell>
        </row>
        <row r="3238">
          <cell r="G3238">
            <v>8</v>
          </cell>
          <cell r="H3238">
            <v>10</v>
          </cell>
        </row>
        <row r="3239">
          <cell r="G3239">
            <v>8</v>
          </cell>
          <cell r="H3239">
            <v>10</v>
          </cell>
        </row>
        <row r="3240">
          <cell r="G3240">
            <v>8</v>
          </cell>
          <cell r="H3240">
            <v>10</v>
          </cell>
        </row>
        <row r="3241">
          <cell r="G3241">
            <v>8</v>
          </cell>
          <cell r="H3241">
            <v>10</v>
          </cell>
        </row>
        <row r="3242">
          <cell r="G3242">
            <v>8</v>
          </cell>
          <cell r="H3242">
            <v>10</v>
          </cell>
        </row>
        <row r="3243">
          <cell r="G3243">
            <v>8</v>
          </cell>
          <cell r="H3243">
            <v>10</v>
          </cell>
        </row>
        <row r="3244">
          <cell r="G3244">
            <v>8</v>
          </cell>
          <cell r="H3244">
            <v>10</v>
          </cell>
        </row>
        <row r="3245">
          <cell r="G3245">
            <v>8</v>
          </cell>
          <cell r="H3245">
            <v>10</v>
          </cell>
        </row>
        <row r="3246">
          <cell r="G3246">
            <v>8</v>
          </cell>
          <cell r="H3246">
            <v>10</v>
          </cell>
        </row>
        <row r="3247">
          <cell r="G3247">
            <v>8</v>
          </cell>
          <cell r="H3247">
            <v>10</v>
          </cell>
        </row>
        <row r="3248">
          <cell r="G3248">
            <v>8</v>
          </cell>
          <cell r="H3248">
            <v>10</v>
          </cell>
        </row>
        <row r="3249">
          <cell r="G3249">
            <v>8</v>
          </cell>
          <cell r="H3249">
            <v>10</v>
          </cell>
        </row>
        <row r="3250">
          <cell r="G3250">
            <v>8</v>
          </cell>
          <cell r="H3250">
            <v>10</v>
          </cell>
        </row>
        <row r="3251">
          <cell r="G3251">
            <v>8</v>
          </cell>
          <cell r="H3251">
            <v>10</v>
          </cell>
        </row>
        <row r="3252">
          <cell r="G3252">
            <v>8</v>
          </cell>
          <cell r="H3252">
            <v>10</v>
          </cell>
        </row>
        <row r="3253">
          <cell r="G3253">
            <v>8</v>
          </cell>
          <cell r="H3253">
            <v>10</v>
          </cell>
        </row>
        <row r="3254">
          <cell r="G3254">
            <v>8</v>
          </cell>
          <cell r="H3254">
            <v>10</v>
          </cell>
        </row>
        <row r="3255">
          <cell r="G3255">
            <v>8</v>
          </cell>
          <cell r="H3255">
            <v>10</v>
          </cell>
        </row>
        <row r="3256">
          <cell r="G3256">
            <v>8</v>
          </cell>
          <cell r="H3256">
            <v>10</v>
          </cell>
        </row>
        <row r="3257">
          <cell r="G3257">
            <v>8</v>
          </cell>
          <cell r="H3257">
            <v>10</v>
          </cell>
        </row>
        <row r="3258">
          <cell r="G3258">
            <v>8</v>
          </cell>
          <cell r="H3258">
            <v>10</v>
          </cell>
        </row>
        <row r="3259">
          <cell r="G3259">
            <v>8</v>
          </cell>
          <cell r="H3259">
            <v>10</v>
          </cell>
        </row>
        <row r="3260">
          <cell r="G3260">
            <v>8</v>
          </cell>
          <cell r="H3260">
            <v>10</v>
          </cell>
        </row>
        <row r="3261">
          <cell r="G3261">
            <v>8</v>
          </cell>
          <cell r="H3261">
            <v>10</v>
          </cell>
        </row>
        <row r="3262">
          <cell r="G3262">
            <v>8</v>
          </cell>
          <cell r="H3262">
            <v>10</v>
          </cell>
        </row>
        <row r="3263">
          <cell r="G3263">
            <v>8</v>
          </cell>
          <cell r="H3263">
            <v>10</v>
          </cell>
        </row>
        <row r="3264">
          <cell r="G3264">
            <v>8</v>
          </cell>
          <cell r="H3264">
            <v>10</v>
          </cell>
        </row>
        <row r="3265">
          <cell r="G3265">
            <v>8</v>
          </cell>
          <cell r="H3265">
            <v>10</v>
          </cell>
        </row>
        <row r="3266">
          <cell r="G3266">
            <v>8</v>
          </cell>
          <cell r="H3266">
            <v>10</v>
          </cell>
        </row>
        <row r="3267">
          <cell r="G3267">
            <v>8</v>
          </cell>
          <cell r="H3267">
            <v>10</v>
          </cell>
        </row>
        <row r="3268">
          <cell r="G3268">
            <v>8</v>
          </cell>
          <cell r="H3268">
            <v>10</v>
          </cell>
        </row>
        <row r="3269">
          <cell r="G3269">
            <v>8</v>
          </cell>
          <cell r="H3269">
            <v>10</v>
          </cell>
        </row>
        <row r="3270">
          <cell r="G3270">
            <v>8</v>
          </cell>
          <cell r="H3270">
            <v>10</v>
          </cell>
        </row>
        <row r="3271">
          <cell r="G3271">
            <v>8</v>
          </cell>
          <cell r="H3271">
            <v>10</v>
          </cell>
        </row>
        <row r="3272">
          <cell r="G3272">
            <v>8</v>
          </cell>
          <cell r="H3272">
            <v>10</v>
          </cell>
        </row>
        <row r="3273">
          <cell r="G3273">
            <v>8</v>
          </cell>
          <cell r="H3273">
            <v>10</v>
          </cell>
        </row>
        <row r="3274">
          <cell r="G3274">
            <v>8</v>
          </cell>
          <cell r="H3274">
            <v>10</v>
          </cell>
        </row>
        <row r="3275">
          <cell r="G3275">
            <v>8</v>
          </cell>
          <cell r="H3275">
            <v>10</v>
          </cell>
        </row>
        <row r="3276">
          <cell r="G3276">
            <v>8</v>
          </cell>
          <cell r="H3276">
            <v>10</v>
          </cell>
        </row>
        <row r="3277">
          <cell r="G3277">
            <v>8</v>
          </cell>
          <cell r="H3277">
            <v>10</v>
          </cell>
        </row>
        <row r="3278">
          <cell r="G3278">
            <v>8</v>
          </cell>
          <cell r="H3278">
            <v>10</v>
          </cell>
        </row>
        <row r="3279">
          <cell r="G3279">
            <v>8</v>
          </cell>
          <cell r="H3279">
            <v>10</v>
          </cell>
        </row>
        <row r="3280">
          <cell r="G3280">
            <v>8</v>
          </cell>
          <cell r="H3280">
            <v>10</v>
          </cell>
        </row>
        <row r="3281">
          <cell r="G3281">
            <v>8</v>
          </cell>
          <cell r="H3281">
            <v>10</v>
          </cell>
        </row>
        <row r="3282">
          <cell r="G3282">
            <v>8</v>
          </cell>
          <cell r="H3282">
            <v>10</v>
          </cell>
        </row>
        <row r="3283">
          <cell r="G3283">
            <v>8</v>
          </cell>
          <cell r="H3283">
            <v>10</v>
          </cell>
        </row>
        <row r="3284">
          <cell r="G3284">
            <v>8</v>
          </cell>
          <cell r="H3284">
            <v>10</v>
          </cell>
        </row>
        <row r="3285">
          <cell r="G3285">
            <v>8</v>
          </cell>
          <cell r="H3285">
            <v>10</v>
          </cell>
        </row>
        <row r="3286">
          <cell r="G3286">
            <v>8</v>
          </cell>
          <cell r="H3286">
            <v>10</v>
          </cell>
        </row>
        <row r="3287">
          <cell r="G3287">
            <v>8</v>
          </cell>
          <cell r="H3287">
            <v>10</v>
          </cell>
        </row>
        <row r="3288">
          <cell r="G3288">
            <v>8</v>
          </cell>
          <cell r="H3288">
            <v>10</v>
          </cell>
        </row>
        <row r="3289">
          <cell r="G3289">
            <v>8</v>
          </cell>
          <cell r="H3289">
            <v>10</v>
          </cell>
        </row>
        <row r="3290">
          <cell r="G3290">
            <v>8</v>
          </cell>
          <cell r="H3290">
            <v>10</v>
          </cell>
        </row>
        <row r="3291">
          <cell r="G3291">
            <v>8</v>
          </cell>
          <cell r="H3291">
            <v>10</v>
          </cell>
        </row>
        <row r="3292">
          <cell r="G3292">
            <v>8</v>
          </cell>
          <cell r="H3292">
            <v>10</v>
          </cell>
        </row>
        <row r="3293">
          <cell r="G3293">
            <v>8</v>
          </cell>
          <cell r="H3293">
            <v>10</v>
          </cell>
        </row>
        <row r="3294">
          <cell r="G3294">
            <v>8</v>
          </cell>
          <cell r="H3294">
            <v>10</v>
          </cell>
        </row>
        <row r="3295">
          <cell r="G3295">
            <v>8</v>
          </cell>
          <cell r="H3295">
            <v>10</v>
          </cell>
        </row>
        <row r="3296">
          <cell r="G3296">
            <v>8</v>
          </cell>
          <cell r="H3296">
            <v>10</v>
          </cell>
        </row>
        <row r="3297">
          <cell r="G3297">
            <v>8</v>
          </cell>
          <cell r="H3297">
            <v>10</v>
          </cell>
        </row>
        <row r="3298">
          <cell r="G3298">
            <v>8</v>
          </cell>
          <cell r="H3298">
            <v>10</v>
          </cell>
        </row>
        <row r="3299">
          <cell r="G3299">
            <v>8</v>
          </cell>
          <cell r="H3299">
            <v>10</v>
          </cell>
        </row>
        <row r="3300">
          <cell r="G3300">
            <v>8</v>
          </cell>
          <cell r="H3300">
            <v>10</v>
          </cell>
        </row>
        <row r="3301">
          <cell r="G3301">
            <v>8</v>
          </cell>
          <cell r="H3301">
            <v>10</v>
          </cell>
        </row>
        <row r="3302">
          <cell r="G3302">
            <v>8</v>
          </cell>
          <cell r="H3302">
            <v>10</v>
          </cell>
        </row>
        <row r="3303">
          <cell r="G3303">
            <v>8</v>
          </cell>
          <cell r="H3303">
            <v>10</v>
          </cell>
        </row>
        <row r="3304">
          <cell r="G3304">
            <v>8</v>
          </cell>
          <cell r="H3304">
            <v>10</v>
          </cell>
        </row>
        <row r="3305">
          <cell r="G3305">
            <v>8</v>
          </cell>
          <cell r="H3305">
            <v>10</v>
          </cell>
        </row>
        <row r="3306">
          <cell r="G3306">
            <v>8</v>
          </cell>
          <cell r="H3306">
            <v>10</v>
          </cell>
        </row>
        <row r="3307">
          <cell r="G3307">
            <v>8</v>
          </cell>
          <cell r="H3307">
            <v>10</v>
          </cell>
        </row>
        <row r="3308">
          <cell r="G3308">
            <v>8</v>
          </cell>
          <cell r="H3308">
            <v>10</v>
          </cell>
        </row>
        <row r="3309">
          <cell r="G3309">
            <v>8</v>
          </cell>
          <cell r="H3309">
            <v>10</v>
          </cell>
        </row>
        <row r="3310">
          <cell r="G3310">
            <v>8</v>
          </cell>
          <cell r="H3310">
            <v>10</v>
          </cell>
        </row>
        <row r="3311">
          <cell r="G3311">
            <v>8</v>
          </cell>
          <cell r="H3311">
            <v>10</v>
          </cell>
        </row>
        <row r="3312">
          <cell r="G3312">
            <v>8</v>
          </cell>
          <cell r="H3312">
            <v>10</v>
          </cell>
        </row>
        <row r="3313">
          <cell r="G3313">
            <v>8</v>
          </cell>
          <cell r="H3313">
            <v>10</v>
          </cell>
        </row>
        <row r="3314">
          <cell r="G3314">
            <v>8</v>
          </cell>
          <cell r="H3314">
            <v>10</v>
          </cell>
        </row>
        <row r="3315">
          <cell r="G3315">
            <v>8</v>
          </cell>
          <cell r="H3315">
            <v>10</v>
          </cell>
        </row>
        <row r="3316">
          <cell r="G3316">
            <v>8</v>
          </cell>
          <cell r="H3316">
            <v>10</v>
          </cell>
        </row>
        <row r="3317">
          <cell r="G3317">
            <v>8</v>
          </cell>
          <cell r="H3317">
            <v>10</v>
          </cell>
        </row>
        <row r="3318">
          <cell r="G3318">
            <v>8</v>
          </cell>
          <cell r="H3318">
            <v>10</v>
          </cell>
        </row>
        <row r="3319">
          <cell r="G3319">
            <v>8</v>
          </cell>
          <cell r="H3319">
            <v>10</v>
          </cell>
        </row>
        <row r="3320">
          <cell r="G3320">
            <v>8</v>
          </cell>
          <cell r="H3320">
            <v>10</v>
          </cell>
        </row>
        <row r="3321">
          <cell r="G3321">
            <v>8</v>
          </cell>
          <cell r="H3321">
            <v>10</v>
          </cell>
        </row>
        <row r="3322">
          <cell r="G3322">
            <v>8</v>
          </cell>
          <cell r="H3322">
            <v>10</v>
          </cell>
        </row>
        <row r="3323">
          <cell r="G3323">
            <v>8</v>
          </cell>
          <cell r="H3323">
            <v>10</v>
          </cell>
        </row>
        <row r="3324">
          <cell r="G3324">
            <v>8</v>
          </cell>
          <cell r="H3324">
            <v>10</v>
          </cell>
        </row>
        <row r="3325">
          <cell r="G3325">
            <v>8</v>
          </cell>
          <cell r="H3325">
            <v>10</v>
          </cell>
        </row>
        <row r="3326">
          <cell r="G3326">
            <v>8</v>
          </cell>
          <cell r="H3326">
            <v>10</v>
          </cell>
        </row>
        <row r="3327">
          <cell r="G3327">
            <v>8</v>
          </cell>
          <cell r="H3327">
            <v>10</v>
          </cell>
        </row>
        <row r="3328">
          <cell r="G3328">
            <v>8</v>
          </cell>
          <cell r="H3328">
            <v>10</v>
          </cell>
        </row>
        <row r="3329">
          <cell r="G3329">
            <v>8</v>
          </cell>
          <cell r="H3329">
            <v>10</v>
          </cell>
        </row>
        <row r="3330">
          <cell r="G3330">
            <v>8</v>
          </cell>
          <cell r="H3330">
            <v>10</v>
          </cell>
        </row>
        <row r="3331">
          <cell r="G3331">
            <v>8</v>
          </cell>
          <cell r="H3331">
            <v>10</v>
          </cell>
        </row>
        <row r="3332">
          <cell r="G3332">
            <v>8</v>
          </cell>
          <cell r="H3332">
            <v>10</v>
          </cell>
        </row>
        <row r="3333">
          <cell r="G3333">
            <v>8</v>
          </cell>
          <cell r="H3333">
            <v>10</v>
          </cell>
        </row>
        <row r="3334">
          <cell r="G3334">
            <v>8</v>
          </cell>
          <cell r="H3334">
            <v>10</v>
          </cell>
        </row>
        <row r="3335">
          <cell r="G3335">
            <v>8</v>
          </cell>
          <cell r="H3335">
            <v>10</v>
          </cell>
        </row>
        <row r="3336">
          <cell r="G3336">
            <v>8</v>
          </cell>
          <cell r="H3336">
            <v>10</v>
          </cell>
        </row>
        <row r="3337">
          <cell r="G3337">
            <v>8</v>
          </cell>
          <cell r="H3337">
            <v>10</v>
          </cell>
        </row>
        <row r="3338">
          <cell r="G3338">
            <v>8</v>
          </cell>
          <cell r="H3338">
            <v>10</v>
          </cell>
        </row>
        <row r="3339">
          <cell r="G3339">
            <v>8</v>
          </cell>
          <cell r="H3339">
            <v>10</v>
          </cell>
        </row>
        <row r="3340">
          <cell r="G3340">
            <v>8</v>
          </cell>
          <cell r="H3340">
            <v>10</v>
          </cell>
        </row>
        <row r="3341">
          <cell r="G3341">
            <v>8</v>
          </cell>
          <cell r="H3341">
            <v>10</v>
          </cell>
        </row>
        <row r="3342">
          <cell r="G3342">
            <v>8</v>
          </cell>
          <cell r="H3342">
            <v>10</v>
          </cell>
        </row>
        <row r="3343">
          <cell r="G3343">
            <v>8</v>
          </cell>
          <cell r="H3343">
            <v>10</v>
          </cell>
        </row>
        <row r="3344">
          <cell r="G3344">
            <v>8</v>
          </cell>
          <cell r="H3344">
            <v>10</v>
          </cell>
        </row>
        <row r="3345">
          <cell r="G3345">
            <v>8</v>
          </cell>
          <cell r="H3345">
            <v>10</v>
          </cell>
        </row>
        <row r="3346">
          <cell r="G3346">
            <v>8</v>
          </cell>
          <cell r="H3346">
            <v>10</v>
          </cell>
        </row>
        <row r="3347">
          <cell r="G3347">
            <v>8</v>
          </cell>
          <cell r="H3347">
            <v>10</v>
          </cell>
        </row>
        <row r="3348">
          <cell r="G3348">
            <v>8</v>
          </cell>
          <cell r="H3348">
            <v>10</v>
          </cell>
        </row>
        <row r="3349">
          <cell r="G3349">
            <v>8</v>
          </cell>
          <cell r="H3349">
            <v>10</v>
          </cell>
        </row>
        <row r="3350">
          <cell r="G3350">
            <v>8</v>
          </cell>
          <cell r="H3350">
            <v>10</v>
          </cell>
        </row>
        <row r="3351">
          <cell r="G3351">
            <v>8</v>
          </cell>
          <cell r="H3351">
            <v>10</v>
          </cell>
        </row>
        <row r="3352">
          <cell r="G3352">
            <v>8</v>
          </cell>
          <cell r="H3352">
            <v>10</v>
          </cell>
        </row>
        <row r="3353">
          <cell r="G3353">
            <v>8</v>
          </cell>
          <cell r="H3353">
            <v>10</v>
          </cell>
        </row>
        <row r="3354">
          <cell r="G3354">
            <v>8</v>
          </cell>
          <cell r="H3354">
            <v>10</v>
          </cell>
        </row>
        <row r="3355">
          <cell r="G3355">
            <v>8</v>
          </cell>
          <cell r="H3355">
            <v>10</v>
          </cell>
        </row>
        <row r="3356">
          <cell r="G3356">
            <v>8</v>
          </cell>
          <cell r="H3356">
            <v>10</v>
          </cell>
        </row>
        <row r="3357">
          <cell r="G3357">
            <v>8</v>
          </cell>
          <cell r="H3357">
            <v>10</v>
          </cell>
        </row>
        <row r="3358">
          <cell r="G3358">
            <v>8</v>
          </cell>
          <cell r="H3358">
            <v>10</v>
          </cell>
        </row>
        <row r="3359">
          <cell r="G3359">
            <v>8</v>
          </cell>
          <cell r="H3359">
            <v>10</v>
          </cell>
        </row>
        <row r="3360">
          <cell r="G3360">
            <v>8</v>
          </cell>
          <cell r="H3360">
            <v>10</v>
          </cell>
        </row>
        <row r="3361">
          <cell r="G3361">
            <v>8</v>
          </cell>
          <cell r="H3361">
            <v>10</v>
          </cell>
        </row>
        <row r="3362">
          <cell r="G3362">
            <v>8</v>
          </cell>
          <cell r="H3362">
            <v>10</v>
          </cell>
        </row>
        <row r="3363">
          <cell r="G3363">
            <v>8</v>
          </cell>
          <cell r="H3363">
            <v>10</v>
          </cell>
        </row>
        <row r="3364">
          <cell r="G3364">
            <v>8</v>
          </cell>
          <cell r="H3364">
            <v>10</v>
          </cell>
        </row>
        <row r="3365">
          <cell r="G3365">
            <v>8</v>
          </cell>
          <cell r="H3365">
            <v>10</v>
          </cell>
        </row>
        <row r="3366">
          <cell r="G3366">
            <v>8</v>
          </cell>
          <cell r="H3366">
            <v>10</v>
          </cell>
        </row>
        <row r="3367">
          <cell r="G3367">
            <v>8</v>
          </cell>
          <cell r="H3367">
            <v>10</v>
          </cell>
        </row>
        <row r="3368">
          <cell r="G3368">
            <v>8</v>
          </cell>
          <cell r="H3368">
            <v>10</v>
          </cell>
        </row>
        <row r="3369">
          <cell r="G3369">
            <v>8</v>
          </cell>
          <cell r="H3369">
            <v>10</v>
          </cell>
        </row>
        <row r="3370">
          <cell r="G3370">
            <v>8</v>
          </cell>
          <cell r="H3370">
            <v>10</v>
          </cell>
        </row>
        <row r="3371">
          <cell r="G3371">
            <v>8</v>
          </cell>
          <cell r="H3371">
            <v>10</v>
          </cell>
        </row>
        <row r="3372">
          <cell r="G3372">
            <v>8</v>
          </cell>
          <cell r="H3372">
            <v>10</v>
          </cell>
        </row>
        <row r="3373">
          <cell r="G3373">
            <v>8</v>
          </cell>
          <cell r="H3373">
            <v>10</v>
          </cell>
        </row>
        <row r="3374">
          <cell r="G3374">
            <v>8</v>
          </cell>
          <cell r="H3374">
            <v>10</v>
          </cell>
        </row>
        <row r="3375">
          <cell r="G3375">
            <v>8</v>
          </cell>
          <cell r="H3375">
            <v>10</v>
          </cell>
        </row>
        <row r="3376">
          <cell r="G3376">
            <v>8</v>
          </cell>
          <cell r="H3376">
            <v>10</v>
          </cell>
        </row>
        <row r="3377">
          <cell r="G3377">
            <v>8</v>
          </cell>
          <cell r="H3377">
            <v>10</v>
          </cell>
        </row>
        <row r="3378">
          <cell r="G3378">
            <v>8</v>
          </cell>
          <cell r="H3378">
            <v>10</v>
          </cell>
        </row>
        <row r="3379">
          <cell r="G3379">
            <v>8</v>
          </cell>
          <cell r="H3379">
            <v>10</v>
          </cell>
        </row>
        <row r="3380">
          <cell r="G3380">
            <v>8</v>
          </cell>
          <cell r="H3380">
            <v>10</v>
          </cell>
        </row>
        <row r="3381">
          <cell r="G3381">
            <v>8</v>
          </cell>
          <cell r="H3381">
            <v>10</v>
          </cell>
        </row>
        <row r="3382">
          <cell r="G3382">
            <v>8</v>
          </cell>
          <cell r="H3382">
            <v>10</v>
          </cell>
        </row>
        <row r="3383">
          <cell r="G3383">
            <v>8</v>
          </cell>
          <cell r="H3383">
            <v>10</v>
          </cell>
        </row>
        <row r="3384">
          <cell r="G3384">
            <v>8</v>
          </cell>
          <cell r="H3384">
            <v>10</v>
          </cell>
        </row>
        <row r="3385">
          <cell r="G3385">
            <v>8</v>
          </cell>
          <cell r="H3385">
            <v>10</v>
          </cell>
        </row>
        <row r="3386">
          <cell r="G3386">
            <v>8</v>
          </cell>
          <cell r="H3386">
            <v>10</v>
          </cell>
        </row>
        <row r="3387">
          <cell r="G3387">
            <v>8</v>
          </cell>
          <cell r="H3387">
            <v>10</v>
          </cell>
        </row>
        <row r="3388">
          <cell r="G3388">
            <v>8</v>
          </cell>
          <cell r="H3388">
            <v>10</v>
          </cell>
        </row>
        <row r="3389">
          <cell r="G3389">
            <v>8</v>
          </cell>
          <cell r="H3389">
            <v>10</v>
          </cell>
        </row>
        <row r="3390">
          <cell r="G3390">
            <v>8</v>
          </cell>
          <cell r="H3390">
            <v>10</v>
          </cell>
        </row>
        <row r="3391">
          <cell r="G3391">
            <v>8</v>
          </cell>
          <cell r="H3391">
            <v>10</v>
          </cell>
        </row>
        <row r="3392">
          <cell r="G3392">
            <v>8</v>
          </cell>
          <cell r="H3392">
            <v>10</v>
          </cell>
        </row>
        <row r="3393">
          <cell r="G3393">
            <v>8</v>
          </cell>
          <cell r="H3393">
            <v>10</v>
          </cell>
        </row>
        <row r="3394">
          <cell r="G3394">
            <v>8</v>
          </cell>
          <cell r="H3394">
            <v>10</v>
          </cell>
        </row>
        <row r="3395">
          <cell r="G3395">
            <v>8</v>
          </cell>
          <cell r="H3395">
            <v>10</v>
          </cell>
        </row>
        <row r="3396">
          <cell r="G3396">
            <v>8</v>
          </cell>
          <cell r="H3396">
            <v>10</v>
          </cell>
        </row>
        <row r="3397">
          <cell r="G3397">
            <v>8</v>
          </cell>
          <cell r="H3397">
            <v>10</v>
          </cell>
        </row>
        <row r="3398">
          <cell r="G3398">
            <v>8</v>
          </cell>
          <cell r="H3398">
            <v>10</v>
          </cell>
        </row>
        <row r="3399">
          <cell r="G3399">
            <v>8</v>
          </cell>
          <cell r="H3399">
            <v>10</v>
          </cell>
        </row>
        <row r="3400">
          <cell r="G3400">
            <v>8</v>
          </cell>
          <cell r="H3400">
            <v>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6.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84.bin"/><Relationship Id="rId3" Type="http://schemas.openxmlformats.org/officeDocument/2006/relationships/printerSettings" Target="../printerSettings/printerSettings79.bin"/><Relationship Id="rId7" Type="http://schemas.openxmlformats.org/officeDocument/2006/relationships/printerSettings" Target="../printerSettings/printerSettings83.bin"/><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6" Type="http://schemas.openxmlformats.org/officeDocument/2006/relationships/printerSettings" Target="../printerSettings/printerSettings82.bin"/><Relationship Id="rId5" Type="http://schemas.openxmlformats.org/officeDocument/2006/relationships/printerSettings" Target="../printerSettings/printerSettings81.bin"/><Relationship Id="rId4" Type="http://schemas.openxmlformats.org/officeDocument/2006/relationships/printerSettings" Target="../printerSettings/printerSettings8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printerSettings" Target="../printerSettings/printerSettings15.bin"/><Relationship Id="rId7" Type="http://schemas.openxmlformats.org/officeDocument/2006/relationships/printerSettings" Target="../printerSettings/printerSettings19.bin"/><Relationship Id="rId12" Type="http://schemas.openxmlformats.org/officeDocument/2006/relationships/printerSettings" Target="../printerSettings/printerSettings24.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11" Type="http://schemas.openxmlformats.org/officeDocument/2006/relationships/printerSettings" Target="../printerSettings/printerSettings23.bin"/><Relationship Id="rId5" Type="http://schemas.openxmlformats.org/officeDocument/2006/relationships/printerSettings" Target="../printerSettings/printerSettings17.bin"/><Relationship Id="rId10" Type="http://schemas.openxmlformats.org/officeDocument/2006/relationships/printerSettings" Target="../printerSettings/printerSettings22.bin"/><Relationship Id="rId4" Type="http://schemas.openxmlformats.org/officeDocument/2006/relationships/printerSettings" Target="../printerSettings/printerSettings16.bin"/><Relationship Id="rId9"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2.bin"/><Relationship Id="rId3" Type="http://schemas.openxmlformats.org/officeDocument/2006/relationships/printerSettings" Target="../printerSettings/printerSettings27.bin"/><Relationship Id="rId7" Type="http://schemas.openxmlformats.org/officeDocument/2006/relationships/printerSettings" Target="../printerSettings/printerSettings31.bin"/><Relationship Id="rId12" Type="http://schemas.openxmlformats.org/officeDocument/2006/relationships/printerSettings" Target="../printerSettings/printerSettings36.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11" Type="http://schemas.openxmlformats.org/officeDocument/2006/relationships/printerSettings" Target="../printerSettings/printerSettings35.bin"/><Relationship Id="rId5" Type="http://schemas.openxmlformats.org/officeDocument/2006/relationships/printerSettings" Target="../printerSettings/printerSettings29.bin"/><Relationship Id="rId10" Type="http://schemas.openxmlformats.org/officeDocument/2006/relationships/printerSettings" Target="../printerSettings/printerSettings34.bin"/><Relationship Id="rId4" Type="http://schemas.openxmlformats.org/officeDocument/2006/relationships/printerSettings" Target="../printerSettings/printerSettings28.bin"/><Relationship Id="rId9"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5.bin"/><Relationship Id="rId3" Type="http://schemas.openxmlformats.org/officeDocument/2006/relationships/printerSettings" Target="../printerSettings/printerSettings40.bin"/><Relationship Id="rId7" Type="http://schemas.openxmlformats.org/officeDocument/2006/relationships/printerSettings" Target="../printerSettings/printerSettings44.bin"/><Relationship Id="rId12" Type="http://schemas.openxmlformats.org/officeDocument/2006/relationships/printerSettings" Target="../printerSettings/printerSettings49.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6" Type="http://schemas.openxmlformats.org/officeDocument/2006/relationships/printerSettings" Target="../printerSettings/printerSettings43.bin"/><Relationship Id="rId11" Type="http://schemas.openxmlformats.org/officeDocument/2006/relationships/printerSettings" Target="../printerSettings/printerSettings48.bin"/><Relationship Id="rId5" Type="http://schemas.openxmlformats.org/officeDocument/2006/relationships/printerSettings" Target="../printerSettings/printerSettings42.bin"/><Relationship Id="rId10" Type="http://schemas.openxmlformats.org/officeDocument/2006/relationships/printerSettings" Target="../printerSettings/printerSettings47.bin"/><Relationship Id="rId4" Type="http://schemas.openxmlformats.org/officeDocument/2006/relationships/printerSettings" Target="../printerSettings/printerSettings41.bin"/><Relationship Id="rId9" Type="http://schemas.openxmlformats.org/officeDocument/2006/relationships/printerSettings" Target="../printerSettings/printerSettings46.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7.bin"/><Relationship Id="rId3" Type="http://schemas.openxmlformats.org/officeDocument/2006/relationships/printerSettings" Target="../printerSettings/printerSettings52.bin"/><Relationship Id="rId7" Type="http://schemas.openxmlformats.org/officeDocument/2006/relationships/printerSettings" Target="../printerSettings/printerSettings56.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6" Type="http://schemas.openxmlformats.org/officeDocument/2006/relationships/printerSettings" Target="../printerSettings/printerSettings55.bin"/><Relationship Id="rId5" Type="http://schemas.openxmlformats.org/officeDocument/2006/relationships/printerSettings" Target="../printerSettings/printerSettings54.bin"/><Relationship Id="rId4" Type="http://schemas.openxmlformats.org/officeDocument/2006/relationships/printerSettings" Target="../printerSettings/printerSettings53.bin"/><Relationship Id="rId9" Type="http://schemas.openxmlformats.org/officeDocument/2006/relationships/printerSettings" Target="../printerSettings/printerSettings58.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6.bin"/><Relationship Id="rId3" Type="http://schemas.openxmlformats.org/officeDocument/2006/relationships/printerSettings" Target="../printerSettings/printerSettings61.bin"/><Relationship Id="rId7" Type="http://schemas.openxmlformats.org/officeDocument/2006/relationships/printerSettings" Target="../printerSettings/printerSettings65.bin"/><Relationship Id="rId12" Type="http://schemas.openxmlformats.org/officeDocument/2006/relationships/printerSettings" Target="../printerSettings/printerSettings70.bin"/><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 Id="rId6" Type="http://schemas.openxmlformats.org/officeDocument/2006/relationships/printerSettings" Target="../printerSettings/printerSettings64.bin"/><Relationship Id="rId11" Type="http://schemas.openxmlformats.org/officeDocument/2006/relationships/printerSettings" Target="../printerSettings/printerSettings69.bin"/><Relationship Id="rId5" Type="http://schemas.openxmlformats.org/officeDocument/2006/relationships/printerSettings" Target="../printerSettings/printerSettings63.bin"/><Relationship Id="rId10" Type="http://schemas.openxmlformats.org/officeDocument/2006/relationships/printerSettings" Target="../printerSettings/printerSettings68.bin"/><Relationship Id="rId4" Type="http://schemas.openxmlformats.org/officeDocument/2006/relationships/printerSettings" Target="../printerSettings/printerSettings62.bin"/><Relationship Id="rId9"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sheet1.xml><?xml version="1.0" encoding="utf-8"?>
<worksheet xmlns="http://schemas.openxmlformats.org/spreadsheetml/2006/main" xmlns:r="http://schemas.openxmlformats.org/officeDocument/2006/relationships">
  <dimension ref="A1:M19"/>
  <sheetViews>
    <sheetView workbookViewId="0">
      <pane ySplit="1" topLeftCell="A2" activePane="bottomLeft" state="frozen"/>
      <selection pane="bottomLeft" activeCell="F24" sqref="F24"/>
    </sheetView>
  </sheetViews>
  <sheetFormatPr defaultRowHeight="12.75"/>
  <cols>
    <col min="3" max="3" width="11" bestFit="1" customWidth="1"/>
    <col min="5" max="5" width="9.85546875" bestFit="1" customWidth="1"/>
    <col min="7" max="7" width="9.42578125" customWidth="1"/>
    <col min="8" max="8" width="60.140625" customWidth="1"/>
    <col min="11" max="11" width="12.85546875" customWidth="1"/>
  </cols>
  <sheetData>
    <row r="1" spans="1:13" ht="30">
      <c r="A1" s="218" t="s">
        <v>1207</v>
      </c>
      <c r="B1" s="218" t="s">
        <v>1470</v>
      </c>
      <c r="C1" s="218" t="s">
        <v>2926</v>
      </c>
      <c r="D1" s="218" t="s">
        <v>1577</v>
      </c>
      <c r="E1" s="219" t="s">
        <v>2927</v>
      </c>
      <c r="F1" s="218" t="s">
        <v>2928</v>
      </c>
      <c r="G1" s="220" t="s">
        <v>2929</v>
      </c>
      <c r="H1" s="218" t="s">
        <v>1208</v>
      </c>
      <c r="I1" s="221" t="s">
        <v>2930</v>
      </c>
      <c r="J1" s="222" t="s">
        <v>2931</v>
      </c>
      <c r="K1" s="223" t="s">
        <v>2932</v>
      </c>
      <c r="L1" s="224" t="s">
        <v>457</v>
      </c>
      <c r="M1" s="224" t="s">
        <v>421</v>
      </c>
    </row>
    <row r="2" spans="1:13" ht="300">
      <c r="A2" s="225" t="s">
        <v>2933</v>
      </c>
      <c r="B2" s="225" t="s">
        <v>518</v>
      </c>
      <c r="C2" s="225">
        <v>4394731993</v>
      </c>
      <c r="D2" s="225">
        <v>72075097</v>
      </c>
      <c r="E2" s="226">
        <v>34279.53</v>
      </c>
      <c r="F2" s="225" t="s">
        <v>2861</v>
      </c>
      <c r="G2" s="227">
        <v>40432</v>
      </c>
      <c r="H2" s="228" t="s">
        <v>2934</v>
      </c>
      <c r="I2" s="229" t="s">
        <v>2148</v>
      </c>
      <c r="J2" s="227"/>
      <c r="K2" s="230"/>
      <c r="L2" s="230"/>
      <c r="M2" s="230"/>
    </row>
    <row r="3" spans="1:13" s="236" customFormat="1" ht="156">
      <c r="A3" s="231" t="s">
        <v>2935</v>
      </c>
      <c r="B3" s="231" t="s">
        <v>518</v>
      </c>
      <c r="C3" s="231">
        <v>4394753317</v>
      </c>
      <c r="D3" s="231">
        <v>72132257</v>
      </c>
      <c r="E3" s="232">
        <v>494.79</v>
      </c>
      <c r="F3" s="231" t="s">
        <v>2861</v>
      </c>
      <c r="G3" s="233"/>
      <c r="H3" s="234" t="s">
        <v>729</v>
      </c>
      <c r="I3" s="231" t="s">
        <v>730</v>
      </c>
      <c r="J3" s="233"/>
      <c r="K3" s="235"/>
      <c r="L3" s="235"/>
      <c r="M3" s="235"/>
    </row>
    <row r="4" spans="1:13" ht="48">
      <c r="A4" s="225" t="s">
        <v>1996</v>
      </c>
      <c r="B4" s="225" t="s">
        <v>518</v>
      </c>
      <c r="C4" s="225">
        <v>4394760961</v>
      </c>
      <c r="D4" s="225">
        <v>72148170</v>
      </c>
      <c r="E4" s="226">
        <v>3773</v>
      </c>
      <c r="F4" s="225" t="s">
        <v>2861</v>
      </c>
      <c r="G4" s="227"/>
      <c r="H4" s="228" t="s">
        <v>166</v>
      </c>
      <c r="I4" s="225" t="s">
        <v>730</v>
      </c>
      <c r="J4" s="227"/>
      <c r="K4" s="230"/>
      <c r="L4" s="230"/>
      <c r="M4" s="230"/>
    </row>
    <row r="5" spans="1:13" ht="60">
      <c r="A5" s="225" t="s">
        <v>1997</v>
      </c>
      <c r="B5" s="225" t="s">
        <v>518</v>
      </c>
      <c r="C5" s="225">
        <v>4394760036</v>
      </c>
      <c r="D5" s="225">
        <v>72148165</v>
      </c>
      <c r="E5" s="226">
        <v>42765.66</v>
      </c>
      <c r="F5" s="225" t="s">
        <v>2861</v>
      </c>
      <c r="G5" s="227"/>
      <c r="H5" s="228" t="s">
        <v>167</v>
      </c>
      <c r="I5" s="225" t="s">
        <v>730</v>
      </c>
      <c r="J5" s="227"/>
      <c r="K5" s="230"/>
      <c r="L5" s="230"/>
      <c r="M5" s="230"/>
    </row>
    <row r="6" spans="1:13" ht="60">
      <c r="A6" s="225" t="s">
        <v>1998</v>
      </c>
      <c r="B6" s="225" t="s">
        <v>518</v>
      </c>
      <c r="C6" s="225">
        <v>4394760037</v>
      </c>
      <c r="D6" s="225">
        <v>72148166</v>
      </c>
      <c r="E6" s="226">
        <v>545.19000000000005</v>
      </c>
      <c r="F6" s="225" t="s">
        <v>2861</v>
      </c>
      <c r="G6" s="227"/>
      <c r="H6" s="228" t="s">
        <v>169</v>
      </c>
      <c r="I6" s="225" t="s">
        <v>730</v>
      </c>
      <c r="J6" s="227"/>
      <c r="K6" s="230"/>
      <c r="L6" s="230"/>
      <c r="M6" s="230"/>
    </row>
    <row r="7" spans="1:13" ht="60">
      <c r="A7" s="225" t="s">
        <v>1999</v>
      </c>
      <c r="B7" s="225" t="s">
        <v>518</v>
      </c>
      <c r="C7" s="225">
        <v>4394760038</v>
      </c>
      <c r="D7" s="225">
        <v>72148167</v>
      </c>
      <c r="E7" s="226">
        <v>82051.399999999994</v>
      </c>
      <c r="F7" s="225" t="s">
        <v>2861</v>
      </c>
      <c r="G7" s="227"/>
      <c r="H7" s="228" t="s">
        <v>168</v>
      </c>
      <c r="I7" s="225" t="s">
        <v>730</v>
      </c>
      <c r="J7" s="227"/>
      <c r="K7" s="230"/>
      <c r="L7" s="230"/>
      <c r="M7" s="230"/>
    </row>
    <row r="8" spans="1:13" ht="108">
      <c r="A8" s="225" t="s">
        <v>2000</v>
      </c>
      <c r="B8" s="225" t="s">
        <v>518</v>
      </c>
      <c r="C8" s="225">
        <v>4394760039</v>
      </c>
      <c r="D8" s="225">
        <v>72148168</v>
      </c>
      <c r="E8" s="226">
        <v>5592.99</v>
      </c>
      <c r="F8" s="225" t="s">
        <v>2861</v>
      </c>
      <c r="G8" s="227"/>
      <c r="H8" s="228" t="s">
        <v>165</v>
      </c>
      <c r="I8" s="225" t="s">
        <v>730</v>
      </c>
      <c r="J8" s="227"/>
      <c r="K8" s="230"/>
      <c r="L8" s="230"/>
      <c r="M8" s="230"/>
    </row>
    <row r="9" spans="1:13" ht="60">
      <c r="A9" s="225" t="s">
        <v>2001</v>
      </c>
      <c r="B9" s="225" t="s">
        <v>518</v>
      </c>
      <c r="C9" s="225">
        <v>4394760040</v>
      </c>
      <c r="D9" s="225">
        <v>72148169</v>
      </c>
      <c r="E9" s="226">
        <v>14076</v>
      </c>
      <c r="F9" s="225" t="s">
        <v>2861</v>
      </c>
      <c r="G9" s="227"/>
      <c r="H9" s="228" t="s">
        <v>167</v>
      </c>
      <c r="I9" s="225" t="s">
        <v>730</v>
      </c>
      <c r="J9" s="227"/>
      <c r="K9" s="230"/>
      <c r="L9" s="230"/>
      <c r="M9" s="230"/>
    </row>
    <row r="10" spans="1:13">
      <c r="A10" s="225"/>
      <c r="B10" s="225"/>
      <c r="C10" s="225"/>
      <c r="D10" s="225"/>
      <c r="E10" s="226"/>
      <c r="F10" s="225"/>
      <c r="G10" s="227"/>
      <c r="H10" s="228"/>
      <c r="I10" s="225"/>
      <c r="J10" s="227"/>
      <c r="K10" s="230"/>
      <c r="L10" s="230"/>
      <c r="M10" s="230"/>
    </row>
    <row r="11" spans="1:13">
      <c r="A11" s="225"/>
      <c r="B11" s="225"/>
      <c r="C11" s="225"/>
      <c r="D11" s="225"/>
      <c r="E11" s="226"/>
      <c r="F11" s="225"/>
      <c r="G11" s="227"/>
      <c r="H11" s="228"/>
      <c r="I11" s="225"/>
      <c r="J11" s="227"/>
      <c r="K11" s="230"/>
      <c r="L11" s="230"/>
      <c r="M11" s="230"/>
    </row>
    <row r="12" spans="1:13">
      <c r="A12" s="225"/>
      <c r="B12" s="225"/>
      <c r="C12" s="225"/>
      <c r="D12" s="225"/>
      <c r="E12" s="226"/>
      <c r="F12" s="225"/>
      <c r="G12" s="227"/>
      <c r="H12" s="228"/>
      <c r="I12" s="225"/>
      <c r="J12" s="227"/>
      <c r="K12" s="230"/>
      <c r="L12" s="230"/>
      <c r="M12" s="230"/>
    </row>
    <row r="13" spans="1:13">
      <c r="A13" s="225"/>
      <c r="B13" s="225"/>
      <c r="C13" s="225"/>
      <c r="D13" s="225"/>
      <c r="E13" s="226"/>
      <c r="F13" s="225"/>
      <c r="G13" s="227"/>
      <c r="H13" s="228"/>
      <c r="I13" s="225"/>
      <c r="J13" s="227"/>
      <c r="K13" s="230"/>
      <c r="L13" s="230"/>
      <c r="M13" s="230"/>
    </row>
    <row r="14" spans="1:13">
      <c r="A14" s="225"/>
      <c r="B14" s="225"/>
      <c r="C14" s="225"/>
      <c r="D14" s="225"/>
      <c r="E14" s="226"/>
      <c r="F14" s="225"/>
      <c r="G14" s="227"/>
      <c r="H14" s="228"/>
      <c r="I14" s="225"/>
      <c r="J14" s="227"/>
      <c r="K14" s="230"/>
      <c r="L14" s="230"/>
      <c r="M14" s="230"/>
    </row>
    <row r="15" spans="1:13">
      <c r="A15" s="225"/>
      <c r="B15" s="225"/>
      <c r="C15" s="225"/>
      <c r="D15" s="225"/>
      <c r="E15" s="226"/>
      <c r="F15" s="225"/>
      <c r="G15" s="227"/>
      <c r="H15" s="228"/>
      <c r="I15" s="225"/>
      <c r="J15" s="227"/>
      <c r="K15" s="230"/>
      <c r="L15" s="230"/>
      <c r="M15" s="230"/>
    </row>
    <row r="16" spans="1:13">
      <c r="A16" s="225"/>
      <c r="B16" s="225"/>
      <c r="C16" s="225"/>
      <c r="D16" s="225"/>
      <c r="E16" s="226"/>
      <c r="F16" s="225"/>
      <c r="G16" s="227"/>
      <c r="H16" s="228"/>
      <c r="I16" s="225"/>
      <c r="J16" s="227"/>
      <c r="K16" s="230"/>
      <c r="L16" s="230"/>
      <c r="M16" s="230"/>
    </row>
    <row r="17" spans="1:13">
      <c r="A17" s="225"/>
      <c r="B17" s="225"/>
      <c r="C17" s="225"/>
      <c r="D17" s="225"/>
      <c r="E17" s="226"/>
      <c r="F17" s="225"/>
      <c r="G17" s="227"/>
      <c r="H17" s="228"/>
      <c r="I17" s="225"/>
      <c r="J17" s="227"/>
      <c r="K17" s="230"/>
      <c r="L17" s="230"/>
      <c r="M17" s="230"/>
    </row>
    <row r="18" spans="1:13">
      <c r="A18" s="225"/>
      <c r="B18" s="225"/>
      <c r="C18" s="225"/>
      <c r="D18" s="225"/>
      <c r="E18" s="226"/>
      <c r="F18" s="225"/>
      <c r="G18" s="227"/>
      <c r="H18" s="228"/>
      <c r="I18" s="225"/>
      <c r="J18" s="227"/>
      <c r="K18" s="230"/>
      <c r="L18" s="230"/>
      <c r="M18" s="230"/>
    </row>
    <row r="19" spans="1:13">
      <c r="A19" s="225"/>
      <c r="B19" s="225"/>
      <c r="C19" s="225"/>
      <c r="D19" s="225"/>
      <c r="E19" s="226"/>
      <c r="F19" s="225"/>
      <c r="G19" s="227"/>
      <c r="H19" s="228"/>
      <c r="I19" s="225"/>
      <c r="J19" s="227"/>
      <c r="K19" s="230"/>
      <c r="L19" s="230"/>
      <c r="M19" s="230"/>
    </row>
  </sheetData>
  <customSheetViews>
    <customSheetView guid="{3DC6DB2D-2732-413F-B168-80FED6A56EC0}" showPageBreaks="1" state="hidden">
      <pane ySplit="1" topLeftCell="A2" activePane="bottomLeft" state="frozen"/>
      <selection pane="bottomLeft" activeCell="F24" sqref="F24"/>
      <pageMargins left="0.78740157499999996" right="0.78740157499999996" top="0.984251969" bottom="0.984251969" header="0.5" footer="0.5"/>
      <pageSetup orientation="portrait" r:id="rId1"/>
      <headerFooter alignWithMargins="0"/>
    </customSheetView>
    <customSheetView guid="{B7B7C792-01A7-4AC6-B514-9B8806F4E6E0}" state="hidden">
      <pane ySplit="1" topLeftCell="A2" activePane="bottomLeft" state="frozen"/>
      <selection pane="bottomLeft" activeCell="F24" sqref="F24"/>
      <pageMargins left="0.78740157499999996" right="0.78740157499999996" top="0.984251969" bottom="0.984251969" header="0.5" footer="0.5"/>
      <pageSetup orientation="portrait" r:id="rId2"/>
      <headerFooter alignWithMargins="0"/>
    </customSheetView>
    <customSheetView guid="{269F1B10-4E07-42BC-BAEF-00343A929B24}" state="hidden">
      <pane ySplit="1" topLeftCell="A2" activePane="bottomLeft" state="frozen"/>
      <selection pane="bottomLeft" activeCell="F24" sqref="F24"/>
      <pageMargins left="0.78740157499999996" right="0.78740157499999996" top="0.984251969" bottom="0.984251969" header="0.5" footer="0.5"/>
      <pageSetup orientation="portrait" r:id="rId3"/>
      <headerFooter alignWithMargins="0"/>
    </customSheetView>
    <customSheetView guid="{2480A4FF-65AB-41EC-9340-4163653E8C2C}" state="hidden">
      <pane ySplit="1" topLeftCell="A2" activePane="bottomLeft" state="frozen"/>
      <selection pane="bottomLeft" activeCell="F24" sqref="F24"/>
      <pageMargins left="0.78740157499999996" right="0.78740157499999996" top="0.984251969" bottom="0.984251969" header="0.5" footer="0.5"/>
      <pageSetup orientation="portrait" r:id="rId4"/>
      <headerFooter alignWithMargins="0"/>
    </customSheetView>
    <customSheetView guid="{316BA082-4614-439F-9CB4-340D61BDC344}" state="hidden">
      <pane ySplit="1" topLeftCell="A2" activePane="bottomLeft" state="frozen"/>
      <selection pane="bottomLeft" activeCell="F24" sqref="F24"/>
      <pageMargins left="0.78740157499999996" right="0.78740157499999996" top="0.984251969" bottom="0.984251969" header="0.5" footer="0.5"/>
      <pageSetup orientation="portrait" r:id="rId5"/>
      <headerFooter alignWithMargins="0"/>
    </customSheetView>
    <customSheetView guid="{8FE2D47B-0E59-4D19-A2DA-A420176425F0}" showPageBreaks="1" showRuler="0">
      <pane ySplit="1" topLeftCell="A3" activePane="bottomLeft" state="frozen"/>
      <selection pane="bottomLeft" activeCell="C4" sqref="C4"/>
      <pageMargins left="0.78740157499999996" right="0.78740157499999996" top="0.984251969" bottom="0.984251969" header="0.5" footer="0.5"/>
      <pageSetup orientation="portrait" r:id="rId6"/>
      <headerFooter alignWithMargins="0"/>
    </customSheetView>
    <customSheetView guid="{471B9EAC-32FD-4AB4-B189-11C2ED8F5F72}">
      <selection activeCell="C11" sqref="C11"/>
      <pageMargins left="0.78740157499999996" right="0.78740157499999996" top="0.984251969" bottom="0.984251969" header="0.5" footer="0.5"/>
      <pageSetup orientation="portrait" r:id="rId7"/>
      <headerFooter alignWithMargins="0"/>
    </customSheetView>
    <customSheetView guid="{737B1B74-A15D-4372-A92B-22C1B1EB3690}">
      <selection activeCell="C11" sqref="C11"/>
      <pageMargins left="0.78740157499999996" right="0.78740157499999996" top="0.984251969" bottom="0.984251969" header="0.5" footer="0.5"/>
      <pageSetup orientation="portrait" r:id="rId8"/>
      <headerFooter alignWithMargins="0"/>
    </customSheetView>
    <customSheetView guid="{91008F47-B234-416A-9BC2-294844B4E685}" showRuler="0">
      <selection activeCell="D24" sqref="D24"/>
      <pageMargins left="0.78740157499999996" right="0.78740157499999996" top="0.984251969" bottom="0.984251969" header="0.5" footer="0.5"/>
      <pageSetup orientation="portrait" r:id="rId9"/>
      <headerFooter alignWithMargins="0"/>
    </customSheetView>
    <customSheetView guid="{38CDF8B5-0F48-433A-A36F-EAD87AD19578}" showPageBreaks="1" state="hidden">
      <pane ySplit="1" topLeftCell="A2" activePane="bottomLeft" state="frozen"/>
      <selection pane="bottomLeft" activeCell="F24" sqref="F24"/>
      <pageMargins left="0.78740157499999996" right="0.78740157499999996" top="0.984251969" bottom="0.984251969" header="0.5" footer="0.5"/>
      <pageSetup orientation="portrait" r:id="rId10"/>
      <headerFooter alignWithMargins="0"/>
    </customSheetView>
    <customSheetView guid="{DEAD857C-E742-4582-892F-EFCA94380712}" showPageBreaks="1" state="hidden">
      <pane ySplit="1" topLeftCell="A2" activePane="bottomLeft" state="frozen"/>
      <selection pane="bottomLeft" activeCell="F24" sqref="F24"/>
      <pageMargins left="0.78740157499999996" right="0.78740157499999996" top="0.984251969" bottom="0.984251969" header="0.5" footer="0.5"/>
      <pageSetup orientation="portrait" r:id="rId11"/>
      <headerFooter alignWithMargins="0"/>
    </customSheetView>
  </customSheetViews>
  <phoneticPr fontId="3" type="noConversion"/>
  <pageMargins left="0.78740157499999996" right="0.78740157499999996" top="0.984251969" bottom="0.984251969" header="0.5" footer="0.5"/>
  <pageSetup orientation="portrait" r:id="rId12"/>
  <headerFooter alignWithMargins="0"/>
</worksheet>
</file>

<file path=xl/worksheets/sheet10.xml><?xml version="1.0" encoding="utf-8"?>
<worksheet xmlns="http://schemas.openxmlformats.org/spreadsheetml/2006/main" xmlns:r="http://schemas.openxmlformats.org/officeDocument/2006/relationships">
  <sheetPr>
    <tabColor theme="0" tint="-0.499984740745262"/>
    <pageSetUpPr fitToPage="1"/>
  </sheetPr>
  <dimension ref="A1:BI161"/>
  <sheetViews>
    <sheetView showGridLines="0" zoomScale="90" zoomScaleNormal="90" workbookViewId="0">
      <pane xSplit="1" ySplit="1" topLeftCell="B159" activePane="bottomRight" state="frozen"/>
      <selection pane="topRight" activeCell="B1" sqref="B1"/>
      <selection pane="bottomLeft" activeCell="A2" sqref="A2"/>
      <selection pane="bottomRight" activeCell="A161" sqref="A161"/>
    </sheetView>
  </sheetViews>
  <sheetFormatPr defaultColWidth="36.140625" defaultRowHeight="12"/>
  <cols>
    <col min="1" max="1" width="13.42578125" style="368" bestFit="1" customWidth="1"/>
    <col min="2" max="2" width="12.42578125" style="369" customWidth="1"/>
    <col min="3" max="3" width="11.140625" style="369" customWidth="1"/>
    <col min="4" max="4" width="11.28515625" style="369" customWidth="1"/>
    <col min="5" max="5" width="18.42578125" style="369" customWidth="1"/>
    <col min="6" max="6" width="26.7109375" style="369" customWidth="1"/>
    <col min="7" max="7" width="19.140625" style="370" customWidth="1"/>
    <col min="8" max="8" width="20.85546875" style="369" customWidth="1"/>
    <col min="9" max="10" width="11.85546875" style="377" customWidth="1"/>
    <col min="11" max="11" width="15.5703125" style="371" customWidth="1"/>
    <col min="12" max="12" width="15.7109375" style="371" customWidth="1"/>
    <col min="13" max="14" width="14.140625" style="374" customWidth="1"/>
    <col min="15" max="15" width="14.140625" style="371" customWidth="1"/>
    <col min="16" max="17" width="14.140625" style="372" customWidth="1"/>
    <col min="18" max="18" width="78.85546875" style="373" customWidth="1"/>
    <col min="19" max="19" width="11.140625" style="373" customWidth="1"/>
    <col min="20" max="20" width="20.85546875" style="373" customWidth="1"/>
    <col min="21" max="21" width="10.85546875" style="369" customWidth="1"/>
    <col min="22" max="22" width="14.140625" style="369" customWidth="1"/>
    <col min="23" max="23" width="20.5703125" style="369" customWidth="1"/>
    <col min="24" max="24" width="19.85546875" style="371" customWidth="1"/>
    <col min="25" max="25" width="19.5703125" style="369" customWidth="1"/>
    <col min="26" max="26" width="10.7109375" style="369" customWidth="1"/>
    <col min="27" max="27" width="17.7109375" style="369" customWidth="1"/>
    <col min="28" max="28" width="12.28515625" style="369" customWidth="1"/>
    <col min="29" max="29" width="11.85546875" style="375" customWidth="1"/>
    <col min="30" max="30" width="17.85546875" style="375" customWidth="1"/>
    <col min="31" max="31" width="9.28515625" style="376" customWidth="1"/>
    <col min="32" max="32" width="12.85546875" style="377" customWidth="1"/>
    <col min="33" max="33" width="12.7109375" style="377" customWidth="1"/>
    <col min="34" max="34" width="12.28515625" style="377" customWidth="1"/>
    <col min="35" max="35" width="13.42578125" style="377" customWidth="1"/>
    <col min="36" max="36" width="14.5703125" style="377" customWidth="1"/>
    <col min="37" max="37" width="11.85546875" style="377" customWidth="1"/>
    <col min="38" max="38" width="11.7109375" style="377" customWidth="1"/>
    <col min="39" max="39" width="15.28515625" style="377" customWidth="1"/>
    <col min="40" max="40" width="10.140625" style="377" customWidth="1"/>
    <col min="41" max="41" width="11.5703125" style="377" customWidth="1"/>
    <col min="42" max="43" width="13.85546875" style="377" customWidth="1"/>
    <col min="44" max="44" width="12.7109375" style="377" customWidth="1"/>
    <col min="45" max="45" width="13.85546875" style="377" customWidth="1"/>
    <col min="46" max="46" width="15" style="377" customWidth="1"/>
    <col min="47" max="47" width="17.140625" style="377" customWidth="1"/>
    <col min="48" max="48" width="14.42578125" style="377" customWidth="1"/>
    <col min="49" max="49" width="19.85546875" style="377" customWidth="1"/>
    <col min="50" max="50" width="15.42578125" style="377" customWidth="1"/>
    <col min="51" max="51" width="16.85546875" style="377" customWidth="1"/>
    <col min="52" max="52" width="15.28515625" style="377" customWidth="1"/>
    <col min="53" max="53" width="13.28515625" style="377" customWidth="1"/>
    <col min="54" max="54" width="15.28515625" style="377" customWidth="1"/>
    <col min="55" max="57" width="13" style="377" customWidth="1"/>
    <col min="58" max="58" width="16.85546875" style="371" customWidth="1"/>
    <col min="59" max="59" width="15.42578125" style="378" customWidth="1"/>
    <col min="60" max="60" width="13.5703125" style="377" customWidth="1"/>
    <col min="61" max="16384" width="36.140625" style="377"/>
  </cols>
  <sheetData>
    <row r="1" spans="1:61" s="506" customFormat="1" ht="24">
      <c r="A1" s="525" t="s">
        <v>3291</v>
      </c>
      <c r="B1" s="525" t="s">
        <v>3022</v>
      </c>
      <c r="C1" s="525" t="s">
        <v>1470</v>
      </c>
      <c r="D1" s="525" t="s">
        <v>508</v>
      </c>
      <c r="E1" s="525" t="s">
        <v>1577</v>
      </c>
      <c r="F1" s="525" t="s">
        <v>3961</v>
      </c>
      <c r="G1" s="526" t="s">
        <v>59</v>
      </c>
      <c r="H1" s="526" t="s">
        <v>423</v>
      </c>
      <c r="I1" s="526" t="s">
        <v>3114</v>
      </c>
      <c r="J1" s="526" t="s">
        <v>3115</v>
      </c>
      <c r="K1" s="525" t="s">
        <v>3034</v>
      </c>
      <c r="L1" s="525" t="s">
        <v>3025</v>
      </c>
      <c r="M1" s="525" t="s">
        <v>3026</v>
      </c>
      <c r="N1" s="525" t="s">
        <v>4082</v>
      </c>
      <c r="O1" s="527" t="s">
        <v>2969</v>
      </c>
      <c r="P1" s="527" t="s">
        <v>4083</v>
      </c>
      <c r="Q1" s="528" t="s">
        <v>2974</v>
      </c>
      <c r="R1" s="528" t="s">
        <v>1205</v>
      </c>
      <c r="S1" s="530" t="s">
        <v>2928</v>
      </c>
      <c r="T1" s="530" t="s">
        <v>3024</v>
      </c>
      <c r="U1" s="530" t="s">
        <v>1185</v>
      </c>
      <c r="V1" s="530" t="s">
        <v>3039</v>
      </c>
      <c r="W1" s="530" t="s">
        <v>3035</v>
      </c>
      <c r="X1" s="530" t="s">
        <v>3137</v>
      </c>
      <c r="Y1" s="530" t="s">
        <v>3032</v>
      </c>
      <c r="Z1" s="530" t="s">
        <v>3033</v>
      </c>
      <c r="AA1" s="530" t="s">
        <v>3162</v>
      </c>
      <c r="AB1" s="531" t="s">
        <v>2970</v>
      </c>
      <c r="AC1" s="531" t="s">
        <v>2930</v>
      </c>
      <c r="AD1" s="531" t="s">
        <v>3028</v>
      </c>
      <c r="AE1" s="531" t="s">
        <v>3080</v>
      </c>
      <c r="AF1" s="532" t="s">
        <v>3113</v>
      </c>
      <c r="AG1" s="532" t="s">
        <v>3023</v>
      </c>
      <c r="AH1" s="533" t="s">
        <v>3116</v>
      </c>
      <c r="AI1" s="533" t="s">
        <v>3117</v>
      </c>
      <c r="AJ1" s="533" t="s">
        <v>3118</v>
      </c>
      <c r="AK1" s="533" t="s">
        <v>3119</v>
      </c>
      <c r="AL1" s="534" t="s">
        <v>3120</v>
      </c>
      <c r="AM1" s="533" t="s">
        <v>3121</v>
      </c>
      <c r="AN1" s="533" t="s">
        <v>3190</v>
      </c>
      <c r="AO1" s="535" t="s">
        <v>3029</v>
      </c>
      <c r="AP1" s="533" t="s">
        <v>3156</v>
      </c>
      <c r="AQ1" s="533" t="s">
        <v>3187</v>
      </c>
      <c r="AR1" s="533" t="s">
        <v>3188</v>
      </c>
      <c r="AS1" s="533" t="s">
        <v>3189</v>
      </c>
      <c r="AT1" s="533" t="s">
        <v>3191</v>
      </c>
      <c r="AU1" s="533" t="s">
        <v>3127</v>
      </c>
      <c r="AV1" s="533" t="s">
        <v>3122</v>
      </c>
      <c r="AW1" s="536" t="s">
        <v>3157</v>
      </c>
      <c r="AX1" s="532" t="s">
        <v>3123</v>
      </c>
      <c r="AY1" s="533" t="s">
        <v>3186</v>
      </c>
      <c r="AZ1" s="533" t="s">
        <v>3125</v>
      </c>
      <c r="BA1" s="537" t="s">
        <v>3126</v>
      </c>
      <c r="BB1" s="537" t="s">
        <v>3185</v>
      </c>
      <c r="BC1" s="622" t="s">
        <v>3182</v>
      </c>
      <c r="BD1" s="533" t="s">
        <v>3183</v>
      </c>
      <c r="BE1" s="533" t="s">
        <v>3184</v>
      </c>
      <c r="BF1" s="529" t="s">
        <v>747</v>
      </c>
      <c r="BG1" s="529" t="s">
        <v>3041</v>
      </c>
      <c r="BH1" s="532" t="s">
        <v>3124</v>
      </c>
    </row>
    <row r="2" spans="1:61" s="629" customFormat="1" ht="144">
      <c r="A2" s="538" t="s">
        <v>5293</v>
      </c>
      <c r="B2" s="507" t="s">
        <v>3042</v>
      </c>
      <c r="C2" s="507" t="s">
        <v>3774</v>
      </c>
      <c r="D2" s="508" t="s">
        <v>4706</v>
      </c>
      <c r="E2" s="507" t="s">
        <v>4702</v>
      </c>
      <c r="F2" s="507" t="s">
        <v>4703</v>
      </c>
      <c r="G2" s="509" t="s">
        <v>4704</v>
      </c>
      <c r="H2" s="507" t="s">
        <v>4705</v>
      </c>
      <c r="I2" s="510" t="s">
        <v>1771</v>
      </c>
      <c r="J2" s="510">
        <v>1</v>
      </c>
      <c r="K2" s="507">
        <f>3+10+10+1</f>
        <v>24</v>
      </c>
      <c r="L2" s="507">
        <f>438.5+567.5+581+7.17</f>
        <v>1594.17</v>
      </c>
      <c r="M2" s="511">
        <v>44519</v>
      </c>
      <c r="N2" s="511">
        <v>44520</v>
      </c>
      <c r="O2" s="511">
        <v>44520</v>
      </c>
      <c r="P2" s="511">
        <v>44555</v>
      </c>
      <c r="Q2" s="511">
        <v>44565</v>
      </c>
      <c r="R2" s="512" t="s">
        <v>4863</v>
      </c>
      <c r="S2" s="515" t="s">
        <v>3752</v>
      </c>
      <c r="T2" s="510" t="s">
        <v>3128</v>
      </c>
      <c r="U2" s="516" t="s">
        <v>3031</v>
      </c>
      <c r="V2" s="359">
        <v>44540</v>
      </c>
      <c r="W2" s="510" t="s">
        <v>3337</v>
      </c>
      <c r="X2" s="510" t="s">
        <v>3406</v>
      </c>
      <c r="Y2" s="511">
        <v>44923</v>
      </c>
      <c r="Z2" s="510" t="s">
        <v>3298</v>
      </c>
      <c r="AA2" s="510" t="s">
        <v>3982</v>
      </c>
      <c r="AB2" s="510" t="s">
        <v>4836</v>
      </c>
      <c r="AC2" s="510" t="s">
        <v>2146</v>
      </c>
      <c r="AD2" s="511">
        <v>44564</v>
      </c>
      <c r="AE2" s="515">
        <v>1097.7230999999999</v>
      </c>
      <c r="AF2" s="507" t="s">
        <v>3486</v>
      </c>
      <c r="AG2" s="510" t="s">
        <v>3108</v>
      </c>
      <c r="AH2" s="517">
        <v>12154.41</v>
      </c>
      <c r="AI2" s="517">
        <v>3429</v>
      </c>
      <c r="AJ2" s="517">
        <v>4</v>
      </c>
      <c r="AK2" s="517">
        <f t="shared" ref="AK2:AK3" si="0">SUM(AH2:AJ2)</f>
        <v>15587.41</v>
      </c>
      <c r="AL2" s="518">
        <v>5.5804999999999998</v>
      </c>
      <c r="AM2" s="519">
        <f t="shared" ref="AM2:AM21" si="1">AK2*AL2</f>
        <v>86985.541505000001</v>
      </c>
      <c r="AN2" s="519">
        <v>0</v>
      </c>
      <c r="AO2" s="510">
        <v>9</v>
      </c>
      <c r="AP2" s="519">
        <v>7488.68</v>
      </c>
      <c r="AQ2" s="519">
        <v>10411.36</v>
      </c>
      <c r="AR2" s="519">
        <v>1826.68</v>
      </c>
      <c r="AS2" s="519">
        <v>8394.08</v>
      </c>
      <c r="AT2" s="519">
        <v>24135.43</v>
      </c>
      <c r="AU2" s="519">
        <v>4877.5200000000004</v>
      </c>
      <c r="AV2" s="519">
        <v>377.9</v>
      </c>
      <c r="AW2" s="510" t="s">
        <v>3139</v>
      </c>
      <c r="AX2" s="627">
        <f t="shared" ref="AX2:AX21" si="2">Q2</f>
        <v>44565</v>
      </c>
      <c r="AY2" s="519">
        <v>1995.17</v>
      </c>
      <c r="AZ2" s="519">
        <f t="shared" ref="AZ2:AZ21" si="3">(AM2*50%)+AM2</f>
        <v>130478.3122575</v>
      </c>
      <c r="BA2" s="521">
        <f t="shared" ref="BA2:BA21" si="4">SUM(I2:J2)</f>
        <v>1</v>
      </c>
      <c r="BB2" s="519">
        <f t="shared" ref="BB2:BB21" si="5">AZ2/BA2</f>
        <v>130478.3122575</v>
      </c>
      <c r="BC2" s="519">
        <v>5402.65</v>
      </c>
      <c r="BD2" s="519">
        <f t="shared" ref="BD2:BD21" si="6">(AO2-10)*10</f>
        <v>-10</v>
      </c>
      <c r="BE2" s="519">
        <f>SUM(BC2:BD2)</f>
        <v>5392.65</v>
      </c>
      <c r="BF2" s="513" t="s">
        <v>1771</v>
      </c>
      <c r="BG2" s="514" t="s">
        <v>1771</v>
      </c>
      <c r="BH2" s="510" t="s">
        <v>1771</v>
      </c>
      <c r="BI2" s="628"/>
    </row>
    <row r="3" spans="1:61" s="629" customFormat="1" ht="144">
      <c r="A3" s="538" t="s">
        <v>5294</v>
      </c>
      <c r="B3" s="507" t="s">
        <v>3042</v>
      </c>
      <c r="C3" s="507" t="s">
        <v>3774</v>
      </c>
      <c r="D3" s="508" t="s">
        <v>4710</v>
      </c>
      <c r="E3" s="507" t="s">
        <v>4708</v>
      </c>
      <c r="F3" s="507" t="s">
        <v>4709</v>
      </c>
      <c r="G3" s="509" t="s">
        <v>4711</v>
      </c>
      <c r="H3" s="507" t="s">
        <v>4705</v>
      </c>
      <c r="I3" s="510" t="s">
        <v>1771</v>
      </c>
      <c r="J3" s="510">
        <v>1</v>
      </c>
      <c r="K3" s="507">
        <f>5+5+4+9</f>
        <v>23</v>
      </c>
      <c r="L3" s="507">
        <f>284+225.5+596.5+592.5</f>
        <v>1698.5</v>
      </c>
      <c r="M3" s="511">
        <v>44519</v>
      </c>
      <c r="N3" s="511">
        <v>44520</v>
      </c>
      <c r="O3" s="511">
        <v>44520</v>
      </c>
      <c r="P3" s="511">
        <v>44555</v>
      </c>
      <c r="Q3" s="511">
        <v>44565</v>
      </c>
      <c r="R3" s="512" t="s">
        <v>4864</v>
      </c>
      <c r="S3" s="515" t="s">
        <v>3752</v>
      </c>
      <c r="T3" s="510" t="s">
        <v>3128</v>
      </c>
      <c r="U3" s="516" t="s">
        <v>3031</v>
      </c>
      <c r="V3" s="359">
        <v>44540</v>
      </c>
      <c r="W3" s="510" t="s">
        <v>3337</v>
      </c>
      <c r="X3" s="510" t="s">
        <v>3406</v>
      </c>
      <c r="Y3" s="511">
        <v>44923</v>
      </c>
      <c r="Z3" s="510" t="s">
        <v>3298</v>
      </c>
      <c r="AA3" s="510" t="s">
        <v>3982</v>
      </c>
      <c r="AB3" s="510" t="s">
        <v>4837</v>
      </c>
      <c r="AC3" s="510" t="s">
        <v>2146</v>
      </c>
      <c r="AD3" s="511">
        <v>44564</v>
      </c>
      <c r="AE3" s="515">
        <v>1156.9764</v>
      </c>
      <c r="AF3" s="507" t="s">
        <v>3256</v>
      </c>
      <c r="AG3" s="510" t="s">
        <v>3108</v>
      </c>
      <c r="AH3" s="517">
        <v>5792.79</v>
      </c>
      <c r="AI3" s="517">
        <v>3429</v>
      </c>
      <c r="AJ3" s="517">
        <v>4</v>
      </c>
      <c r="AK3" s="517">
        <f t="shared" si="0"/>
        <v>9225.7900000000009</v>
      </c>
      <c r="AL3" s="518">
        <v>5.5804999999999998</v>
      </c>
      <c r="AM3" s="519">
        <f t="shared" si="1"/>
        <v>51484.521095000004</v>
      </c>
      <c r="AN3" s="519">
        <v>0</v>
      </c>
      <c r="AO3" s="510">
        <v>6</v>
      </c>
      <c r="AP3" s="519">
        <v>4884.34</v>
      </c>
      <c r="AQ3" s="519">
        <v>6525.46</v>
      </c>
      <c r="AR3" s="519">
        <v>1081.18</v>
      </c>
      <c r="AS3" s="519">
        <v>4968.2299999999996</v>
      </c>
      <c r="AT3" s="519">
        <v>14839.92</v>
      </c>
      <c r="AU3" s="519">
        <v>4877.5200000000004</v>
      </c>
      <c r="AV3" s="519">
        <v>308.48</v>
      </c>
      <c r="AW3" s="510" t="s">
        <v>3139</v>
      </c>
      <c r="AX3" s="627">
        <f t="shared" si="2"/>
        <v>44565</v>
      </c>
      <c r="AY3" s="519">
        <v>1995.17</v>
      </c>
      <c r="AZ3" s="519">
        <f t="shared" si="3"/>
        <v>77226.781642500006</v>
      </c>
      <c r="BA3" s="521">
        <f t="shared" si="4"/>
        <v>1</v>
      </c>
      <c r="BB3" s="519">
        <f t="shared" si="5"/>
        <v>77226.781642500006</v>
      </c>
      <c r="BC3" s="519">
        <v>5402.65</v>
      </c>
      <c r="BD3" s="519">
        <f t="shared" si="6"/>
        <v>-40</v>
      </c>
      <c r="BE3" s="519">
        <f t="shared" ref="BE3:BE66" si="7">SUM(BC3:BD3)</f>
        <v>5362.65</v>
      </c>
      <c r="BF3" s="513" t="s">
        <v>1771</v>
      </c>
      <c r="BG3" s="514" t="s">
        <v>1771</v>
      </c>
      <c r="BH3" s="510" t="s">
        <v>1771</v>
      </c>
      <c r="BI3" s="628"/>
    </row>
    <row r="4" spans="1:61" s="629" customFormat="1" ht="168">
      <c r="A4" s="538" t="s">
        <v>5295</v>
      </c>
      <c r="B4" s="507" t="s">
        <v>3042</v>
      </c>
      <c r="C4" s="507" t="s">
        <v>3774</v>
      </c>
      <c r="D4" s="508" t="s">
        <v>4726</v>
      </c>
      <c r="E4" s="507" t="s">
        <v>4723</v>
      </c>
      <c r="F4" s="507" t="s">
        <v>4724</v>
      </c>
      <c r="G4" s="509" t="s">
        <v>4725</v>
      </c>
      <c r="H4" s="507" t="s">
        <v>4727</v>
      </c>
      <c r="I4" s="510" t="s">
        <v>1771</v>
      </c>
      <c r="J4" s="510">
        <v>2</v>
      </c>
      <c r="K4" s="507">
        <f>8+37+1+3+10+2+10+8</f>
        <v>79</v>
      </c>
      <c r="L4" s="507">
        <f>1117+6257.5+7.52+226+587.5+134.5+585.5+1148</f>
        <v>10063.52</v>
      </c>
      <c r="M4" s="511">
        <v>44530</v>
      </c>
      <c r="N4" s="511">
        <v>44530</v>
      </c>
      <c r="O4" s="511">
        <v>44530</v>
      </c>
      <c r="P4" s="511">
        <v>44563</v>
      </c>
      <c r="Q4" s="511">
        <v>44566</v>
      </c>
      <c r="R4" s="512" t="s">
        <v>4866</v>
      </c>
      <c r="S4" s="515" t="s">
        <v>3752</v>
      </c>
      <c r="T4" s="510" t="s">
        <v>3128</v>
      </c>
      <c r="U4" s="516" t="s">
        <v>3031</v>
      </c>
      <c r="V4" s="359">
        <v>44551</v>
      </c>
      <c r="W4" s="510" t="s">
        <v>3337</v>
      </c>
      <c r="X4" s="510" t="s">
        <v>3406</v>
      </c>
      <c r="Y4" s="511">
        <v>44563</v>
      </c>
      <c r="Z4" s="510" t="s">
        <v>3252</v>
      </c>
      <c r="AA4" s="510" t="s">
        <v>3982</v>
      </c>
      <c r="AB4" s="510" t="s">
        <v>4845</v>
      </c>
      <c r="AC4" s="510" t="s">
        <v>2146</v>
      </c>
      <c r="AD4" s="511">
        <v>44565</v>
      </c>
      <c r="AE4" s="515">
        <v>7305.6871099999998</v>
      </c>
      <c r="AF4" s="507" t="s">
        <v>3359</v>
      </c>
      <c r="AG4" s="510" t="s">
        <v>3108</v>
      </c>
      <c r="AH4" s="517">
        <v>52389.35</v>
      </c>
      <c r="AI4" s="517">
        <v>6858</v>
      </c>
      <c r="AJ4" s="517">
        <v>8</v>
      </c>
      <c r="AK4" s="517">
        <f t="shared" ref="AK4:AK5" si="8">SUM(AH4:AJ4)</f>
        <v>59255.35</v>
      </c>
      <c r="AL4" s="518">
        <v>5.6308999999999996</v>
      </c>
      <c r="AM4" s="519">
        <f t="shared" si="1"/>
        <v>333660.95031499997</v>
      </c>
      <c r="AN4" s="519">
        <v>0</v>
      </c>
      <c r="AO4" s="510">
        <v>16</v>
      </c>
      <c r="AP4" s="519">
        <v>25587.24</v>
      </c>
      <c r="AQ4" s="519">
        <v>37049.53</v>
      </c>
      <c r="AR4" s="519">
        <v>7006.89</v>
      </c>
      <c r="AS4" s="519">
        <v>32198.26</v>
      </c>
      <c r="AT4" s="519">
        <v>87573.65</v>
      </c>
      <c r="AU4" s="519">
        <v>9675.3700000000008</v>
      </c>
      <c r="AV4" s="519">
        <v>493.56</v>
      </c>
      <c r="AW4" s="510" t="s">
        <v>3139</v>
      </c>
      <c r="AX4" s="627">
        <f t="shared" si="2"/>
        <v>44566</v>
      </c>
      <c r="AY4" s="519">
        <v>3413.62</v>
      </c>
      <c r="AZ4" s="519">
        <f t="shared" si="3"/>
        <v>500491.42547249992</v>
      </c>
      <c r="BA4" s="521">
        <f t="shared" si="4"/>
        <v>2</v>
      </c>
      <c r="BB4" s="519">
        <f t="shared" si="5"/>
        <v>250245.71273624996</v>
      </c>
      <c r="BC4" s="519">
        <v>10274.9</v>
      </c>
      <c r="BD4" s="519">
        <f t="shared" si="6"/>
        <v>60</v>
      </c>
      <c r="BE4" s="519">
        <f t="shared" si="7"/>
        <v>10334.9</v>
      </c>
      <c r="BF4" s="513" t="s">
        <v>1771</v>
      </c>
      <c r="BG4" s="514" t="s">
        <v>1771</v>
      </c>
      <c r="BH4" s="510" t="s">
        <v>1771</v>
      </c>
      <c r="BI4" s="628"/>
    </row>
    <row r="5" spans="1:61" s="629" customFormat="1" ht="144">
      <c r="A5" s="538" t="s">
        <v>5296</v>
      </c>
      <c r="B5" s="507" t="s">
        <v>3042</v>
      </c>
      <c r="C5" s="507" t="s">
        <v>3774</v>
      </c>
      <c r="D5" s="508" t="s">
        <v>4730</v>
      </c>
      <c r="E5" s="507" t="s">
        <v>4728</v>
      </c>
      <c r="F5" s="507" t="s">
        <v>4729</v>
      </c>
      <c r="G5" s="509" t="s">
        <v>4731</v>
      </c>
      <c r="H5" s="507" t="s">
        <v>4727</v>
      </c>
      <c r="I5" s="510" t="s">
        <v>1771</v>
      </c>
      <c r="J5" s="510">
        <v>1</v>
      </c>
      <c r="K5" s="507">
        <f>8+8+41+2</f>
        <v>59</v>
      </c>
      <c r="L5" s="507">
        <f>1118.5+1110.5+2933.84+212</f>
        <v>5374.84</v>
      </c>
      <c r="M5" s="511">
        <v>44530</v>
      </c>
      <c r="N5" s="511">
        <v>44531</v>
      </c>
      <c r="O5" s="511">
        <v>44531</v>
      </c>
      <c r="P5" s="511">
        <v>44563</v>
      </c>
      <c r="Q5" s="511">
        <v>44566</v>
      </c>
      <c r="R5" s="512" t="s">
        <v>4867</v>
      </c>
      <c r="S5" s="515" t="s">
        <v>3752</v>
      </c>
      <c r="T5" s="510" t="s">
        <v>3128</v>
      </c>
      <c r="U5" s="516" t="s">
        <v>3031</v>
      </c>
      <c r="V5" s="359">
        <v>44551</v>
      </c>
      <c r="W5" s="510" t="s">
        <v>3337</v>
      </c>
      <c r="X5" s="510" t="s">
        <v>3406</v>
      </c>
      <c r="Y5" s="511">
        <v>44563</v>
      </c>
      <c r="Z5" s="510" t="s">
        <v>3252</v>
      </c>
      <c r="AA5" s="510" t="s">
        <v>3982</v>
      </c>
      <c r="AB5" s="510" t="s">
        <v>4844</v>
      </c>
      <c r="AC5" s="510" t="s">
        <v>2146</v>
      </c>
      <c r="AD5" s="511">
        <v>44565</v>
      </c>
      <c r="AE5" s="515">
        <v>2953.1586000000002</v>
      </c>
      <c r="AF5" s="507" t="s">
        <v>3238</v>
      </c>
      <c r="AG5" s="510" t="s">
        <v>3108</v>
      </c>
      <c r="AH5" s="517">
        <v>38991.06</v>
      </c>
      <c r="AI5" s="517">
        <v>3429</v>
      </c>
      <c r="AJ5" s="517">
        <v>4</v>
      </c>
      <c r="AK5" s="517">
        <f t="shared" si="8"/>
        <v>42424.06</v>
      </c>
      <c r="AL5" s="518">
        <v>5.6308999999999996</v>
      </c>
      <c r="AM5" s="519">
        <f t="shared" si="1"/>
        <v>238885.63945399996</v>
      </c>
      <c r="AN5" s="519">
        <v>0</v>
      </c>
      <c r="AO5" s="510">
        <v>5</v>
      </c>
      <c r="AP5" s="519">
        <v>17467.34</v>
      </c>
      <c r="AQ5" s="519">
        <v>25635.26</v>
      </c>
      <c r="AR5" s="519">
        <v>5016.59</v>
      </c>
      <c r="AS5" s="519">
        <v>23052.46</v>
      </c>
      <c r="AT5" s="519">
        <v>63560.98</v>
      </c>
      <c r="AU5" s="519">
        <v>4848.28</v>
      </c>
      <c r="AV5" s="519">
        <v>285.33999999999997</v>
      </c>
      <c r="AW5" s="510" t="s">
        <v>3139</v>
      </c>
      <c r="AX5" s="627">
        <f t="shared" si="2"/>
        <v>44566</v>
      </c>
      <c r="AY5" s="519">
        <v>1836.85</v>
      </c>
      <c r="AZ5" s="519">
        <f t="shared" si="3"/>
        <v>358328.45918099995</v>
      </c>
      <c r="BA5" s="521">
        <f t="shared" si="4"/>
        <v>1</v>
      </c>
      <c r="BB5" s="519">
        <f t="shared" si="5"/>
        <v>358328.45918099995</v>
      </c>
      <c r="BC5" s="519">
        <v>5373.41</v>
      </c>
      <c r="BD5" s="519">
        <f t="shared" si="6"/>
        <v>-50</v>
      </c>
      <c r="BE5" s="519">
        <f t="shared" si="7"/>
        <v>5323.41</v>
      </c>
      <c r="BF5" s="513" t="s">
        <v>1771</v>
      </c>
      <c r="BG5" s="514" t="s">
        <v>1771</v>
      </c>
      <c r="BH5" s="510" t="s">
        <v>1771</v>
      </c>
      <c r="BI5" s="628"/>
    </row>
    <row r="6" spans="1:61" s="523" customFormat="1" ht="156">
      <c r="A6" s="538" t="s">
        <v>5297</v>
      </c>
      <c r="B6" s="507" t="s">
        <v>3042</v>
      </c>
      <c r="C6" s="507" t="s">
        <v>3774</v>
      </c>
      <c r="D6" s="508" t="s">
        <v>4735</v>
      </c>
      <c r="E6" s="505" t="s">
        <v>4732</v>
      </c>
      <c r="F6" s="505" t="s">
        <v>4733</v>
      </c>
      <c r="G6" s="509" t="s">
        <v>4734</v>
      </c>
      <c r="H6" s="507" t="s">
        <v>4727</v>
      </c>
      <c r="I6" s="510">
        <v>1</v>
      </c>
      <c r="J6" s="510" t="s">
        <v>1771</v>
      </c>
      <c r="K6" s="507">
        <f>8+10</f>
        <v>18</v>
      </c>
      <c r="L6" s="507">
        <f>1115+1128.56</f>
        <v>2243.56</v>
      </c>
      <c r="M6" s="511">
        <v>44531</v>
      </c>
      <c r="N6" s="511">
        <v>44531</v>
      </c>
      <c r="O6" s="511">
        <v>44531</v>
      </c>
      <c r="P6" s="511">
        <v>44563</v>
      </c>
      <c r="Q6" s="511">
        <v>44568</v>
      </c>
      <c r="R6" s="512" t="s">
        <v>4869</v>
      </c>
      <c r="S6" s="515" t="s">
        <v>3752</v>
      </c>
      <c r="T6" s="510" t="s">
        <v>3128</v>
      </c>
      <c r="U6" s="516" t="s">
        <v>3031</v>
      </c>
      <c r="V6" s="359">
        <v>44551</v>
      </c>
      <c r="W6" s="510" t="s">
        <v>3337</v>
      </c>
      <c r="X6" s="510" t="s">
        <v>3406</v>
      </c>
      <c r="Y6" s="511">
        <v>44563</v>
      </c>
      <c r="Z6" s="510" t="s">
        <v>3298</v>
      </c>
      <c r="AA6" s="510" t="s">
        <v>3982</v>
      </c>
      <c r="AB6" s="510" t="s">
        <v>4865</v>
      </c>
      <c r="AC6" s="510" t="s">
        <v>2146</v>
      </c>
      <c r="AD6" s="511">
        <v>44565</v>
      </c>
      <c r="AE6" s="515">
        <v>1477.723</v>
      </c>
      <c r="AF6" s="507" t="s">
        <v>3359</v>
      </c>
      <c r="AG6" s="510" t="s">
        <v>3108</v>
      </c>
      <c r="AH6" s="517">
        <v>17994.21</v>
      </c>
      <c r="AI6" s="517">
        <v>3155</v>
      </c>
      <c r="AJ6" s="517">
        <v>2</v>
      </c>
      <c r="AK6" s="517">
        <f t="shared" ref="AK6" si="9">SUM(AH6:AJ6)</f>
        <v>21151.21</v>
      </c>
      <c r="AL6" s="517">
        <v>5.6627999999999998</v>
      </c>
      <c r="AM6" s="519">
        <f t="shared" si="1"/>
        <v>119775.071988</v>
      </c>
      <c r="AN6" s="519">
        <v>0</v>
      </c>
      <c r="AO6" s="510">
        <v>6</v>
      </c>
      <c r="AP6" s="519">
        <v>9099.2999999999993</v>
      </c>
      <c r="AQ6" s="519">
        <v>12887.39</v>
      </c>
      <c r="AR6" s="519">
        <v>2515.2800000000002</v>
      </c>
      <c r="AS6" s="519">
        <v>11558.28</v>
      </c>
      <c r="AT6" s="519">
        <v>32431.63</v>
      </c>
      <c r="AU6" s="519">
        <v>4487.7299999999996</v>
      </c>
      <c r="AV6" s="519">
        <v>308.48</v>
      </c>
      <c r="AW6" s="510" t="s">
        <v>3139</v>
      </c>
      <c r="AX6" s="520">
        <f t="shared" si="2"/>
        <v>44568</v>
      </c>
      <c r="AY6" s="519">
        <v>1995.17</v>
      </c>
      <c r="AZ6" s="519">
        <f t="shared" si="3"/>
        <v>179662.60798199999</v>
      </c>
      <c r="BA6" s="521">
        <f t="shared" si="4"/>
        <v>1</v>
      </c>
      <c r="BB6" s="519">
        <f t="shared" si="5"/>
        <v>179662.60798199999</v>
      </c>
      <c r="BC6" s="519">
        <v>5012.8599999999997</v>
      </c>
      <c r="BD6" s="519">
        <f t="shared" si="6"/>
        <v>-40</v>
      </c>
      <c r="BE6" s="519">
        <f t="shared" si="7"/>
        <v>4972.8599999999997</v>
      </c>
      <c r="BF6" s="513" t="s">
        <v>1771</v>
      </c>
      <c r="BG6" s="514" t="s">
        <v>1771</v>
      </c>
      <c r="BH6" s="510" t="s">
        <v>1771</v>
      </c>
      <c r="BI6" s="628"/>
    </row>
    <row r="7" spans="1:61" s="523" customFormat="1" ht="144">
      <c r="A7" s="538" t="s">
        <v>5298</v>
      </c>
      <c r="B7" s="507" t="s">
        <v>3042</v>
      </c>
      <c r="C7" s="507" t="s">
        <v>3774</v>
      </c>
      <c r="D7" s="508" t="s">
        <v>4743</v>
      </c>
      <c r="E7" s="505" t="s">
        <v>4740</v>
      </c>
      <c r="F7" s="505" t="s">
        <v>4741</v>
      </c>
      <c r="G7" s="509" t="s">
        <v>4742</v>
      </c>
      <c r="H7" s="507" t="s">
        <v>4727</v>
      </c>
      <c r="I7" s="510" t="s">
        <v>1771</v>
      </c>
      <c r="J7" s="510">
        <v>1</v>
      </c>
      <c r="K7" s="507">
        <f>2+1+9+2+8+8+2</f>
        <v>32</v>
      </c>
      <c r="L7" s="507">
        <f>128.5+8.38+565.5+128+1088.5+1118+128.5</f>
        <v>3165.38</v>
      </c>
      <c r="M7" s="511">
        <v>44532</v>
      </c>
      <c r="N7" s="511">
        <v>44533</v>
      </c>
      <c r="O7" s="511">
        <v>44533</v>
      </c>
      <c r="P7" s="511">
        <v>44563</v>
      </c>
      <c r="Q7" s="511">
        <v>44571</v>
      </c>
      <c r="R7" s="512" t="s">
        <v>4882</v>
      </c>
      <c r="S7" s="515" t="s">
        <v>3752</v>
      </c>
      <c r="T7" s="510" t="s">
        <v>3128</v>
      </c>
      <c r="U7" s="516" t="s">
        <v>3031</v>
      </c>
      <c r="V7" s="359">
        <v>44551</v>
      </c>
      <c r="W7" s="510" t="s">
        <v>3337</v>
      </c>
      <c r="X7" s="510" t="s">
        <v>3406</v>
      </c>
      <c r="Y7" s="511">
        <v>44563</v>
      </c>
      <c r="Z7" s="510" t="s">
        <v>3252</v>
      </c>
      <c r="AA7" s="510" t="s">
        <v>3982</v>
      </c>
      <c r="AB7" s="510" t="s">
        <v>4868</v>
      </c>
      <c r="AC7" s="510" t="s">
        <v>2146</v>
      </c>
      <c r="AD7" s="511">
        <v>44568</v>
      </c>
      <c r="AE7" s="515">
        <v>1952.6</v>
      </c>
      <c r="AF7" s="507" t="s">
        <v>3359</v>
      </c>
      <c r="AG7" s="510" t="s">
        <v>3108</v>
      </c>
      <c r="AH7" s="517">
        <v>18410.560000000001</v>
      </c>
      <c r="AI7" s="517">
        <v>3429</v>
      </c>
      <c r="AJ7" s="517">
        <v>7</v>
      </c>
      <c r="AK7" s="517">
        <f t="shared" ref="AK7" si="10">SUM(AH7:AJ7)</f>
        <v>21846.560000000001</v>
      </c>
      <c r="AL7" s="518">
        <v>5.7042000000000002</v>
      </c>
      <c r="AM7" s="519">
        <f t="shared" si="1"/>
        <v>124617.14755200001</v>
      </c>
      <c r="AN7" s="519">
        <v>0</v>
      </c>
      <c r="AO7" s="510">
        <v>4</v>
      </c>
      <c r="AP7" s="519">
        <v>10123.32</v>
      </c>
      <c r="AQ7" s="519">
        <v>14388.32</v>
      </c>
      <c r="AR7" s="519">
        <v>2616.9499999999998</v>
      </c>
      <c r="AS7" s="519">
        <v>12025.54</v>
      </c>
      <c r="AT7" s="519">
        <v>33925.25</v>
      </c>
      <c r="AU7" s="519">
        <v>4911.12</v>
      </c>
      <c r="AV7" s="519">
        <v>254.49</v>
      </c>
      <c r="AW7" s="510" t="s">
        <v>3139</v>
      </c>
      <c r="AX7" s="520">
        <f t="shared" si="2"/>
        <v>44571</v>
      </c>
      <c r="AY7" s="519">
        <v>1576.77</v>
      </c>
      <c r="AZ7" s="519">
        <f t="shared" si="3"/>
        <v>186925.72132800001</v>
      </c>
      <c r="BA7" s="521">
        <f t="shared" si="4"/>
        <v>1</v>
      </c>
      <c r="BB7" s="519">
        <f t="shared" si="5"/>
        <v>186925.72132800001</v>
      </c>
      <c r="BC7" s="519">
        <v>5447.09</v>
      </c>
      <c r="BD7" s="519">
        <f t="shared" si="6"/>
        <v>-60</v>
      </c>
      <c r="BE7" s="519">
        <f t="shared" si="7"/>
        <v>5387.09</v>
      </c>
      <c r="BF7" s="513" t="s">
        <v>1771</v>
      </c>
      <c r="BG7" s="514" t="s">
        <v>1771</v>
      </c>
      <c r="BH7" s="510" t="s">
        <v>1771</v>
      </c>
      <c r="BI7" s="628"/>
    </row>
    <row r="8" spans="1:61" s="523" customFormat="1" ht="132">
      <c r="A8" s="538" t="s">
        <v>5299</v>
      </c>
      <c r="B8" s="507" t="s">
        <v>3042</v>
      </c>
      <c r="C8" s="507" t="s">
        <v>3774</v>
      </c>
      <c r="D8" s="508" t="s">
        <v>4790</v>
      </c>
      <c r="E8" s="505" t="s">
        <v>4787</v>
      </c>
      <c r="F8" s="505" t="s">
        <v>4788</v>
      </c>
      <c r="G8" s="509" t="s">
        <v>4805</v>
      </c>
      <c r="H8" s="507" t="s">
        <v>4783</v>
      </c>
      <c r="I8" s="510" t="s">
        <v>1771</v>
      </c>
      <c r="J8" s="510">
        <v>1</v>
      </c>
      <c r="K8" s="507">
        <f>3+15+15+15</f>
        <v>48</v>
      </c>
      <c r="L8" s="507">
        <f>261.82+1956.5+1916.5+1939.5</f>
        <v>6074.32</v>
      </c>
      <c r="M8" s="511">
        <v>44540</v>
      </c>
      <c r="N8" s="511">
        <v>44544</v>
      </c>
      <c r="O8" s="511">
        <v>44544</v>
      </c>
      <c r="P8" s="511">
        <v>44572</v>
      </c>
      <c r="Q8" s="511">
        <v>44574</v>
      </c>
      <c r="R8" s="512" t="s">
        <v>4893</v>
      </c>
      <c r="S8" s="515" t="s">
        <v>3752</v>
      </c>
      <c r="T8" s="510" t="s">
        <v>4574</v>
      </c>
      <c r="U8" s="516" t="s">
        <v>3031</v>
      </c>
      <c r="V8" s="359">
        <v>44565</v>
      </c>
      <c r="W8" s="510" t="s">
        <v>3337</v>
      </c>
      <c r="X8" s="510" t="s">
        <v>3406</v>
      </c>
      <c r="Y8" s="511">
        <v>44573</v>
      </c>
      <c r="Z8" s="510" t="s">
        <v>3252</v>
      </c>
      <c r="AA8" s="510" t="s">
        <v>3982</v>
      </c>
      <c r="AB8" s="510" t="s">
        <v>4892</v>
      </c>
      <c r="AC8" s="510" t="s">
        <v>2146</v>
      </c>
      <c r="AD8" s="511">
        <v>44573</v>
      </c>
      <c r="AE8" s="515">
        <v>3795.5293999999999</v>
      </c>
      <c r="AF8" s="507" t="s">
        <v>4789</v>
      </c>
      <c r="AG8" s="510" t="s">
        <v>3108</v>
      </c>
      <c r="AH8" s="517">
        <v>201611.29</v>
      </c>
      <c r="AI8" s="517">
        <v>3429</v>
      </c>
      <c r="AJ8" s="517">
        <v>4</v>
      </c>
      <c r="AK8" s="517">
        <f t="shared" ref="AK8" si="11">SUM(AH8:AJ8)</f>
        <v>205044.29</v>
      </c>
      <c r="AL8" s="518">
        <v>5.6351000000000004</v>
      </c>
      <c r="AM8" s="519">
        <f t="shared" si="1"/>
        <v>1155445.0785790002</v>
      </c>
      <c r="AN8" s="519">
        <v>0</v>
      </c>
      <c r="AO8" s="510">
        <v>8</v>
      </c>
      <c r="AP8" s="519">
        <v>4705.6400000000003</v>
      </c>
      <c r="AQ8" s="519">
        <v>116653.57</v>
      </c>
      <c r="AR8" s="519">
        <v>24264.35</v>
      </c>
      <c r="AS8" s="519">
        <v>111500.45</v>
      </c>
      <c r="AT8" s="519">
        <v>285612.17</v>
      </c>
      <c r="AU8" s="519">
        <v>4851.88</v>
      </c>
      <c r="AV8" s="519">
        <v>354.76</v>
      </c>
      <c r="AW8" s="510" t="s">
        <v>3139</v>
      </c>
      <c r="AX8" s="520">
        <f t="shared" si="2"/>
        <v>44574</v>
      </c>
      <c r="AY8" s="519">
        <v>2458.19</v>
      </c>
      <c r="AZ8" s="519">
        <f t="shared" si="3"/>
        <v>1733167.6178685003</v>
      </c>
      <c r="BA8" s="521">
        <f t="shared" si="4"/>
        <v>1</v>
      </c>
      <c r="BB8" s="519">
        <f t="shared" si="5"/>
        <v>1733167.6178685003</v>
      </c>
      <c r="BC8" s="519">
        <v>5387.85</v>
      </c>
      <c r="BD8" s="519">
        <f t="shared" si="6"/>
        <v>-20</v>
      </c>
      <c r="BE8" s="519">
        <f t="shared" si="7"/>
        <v>5367.85</v>
      </c>
      <c r="BF8" s="513" t="s">
        <v>1771</v>
      </c>
      <c r="BG8" s="514" t="s">
        <v>1771</v>
      </c>
      <c r="BH8" s="510" t="s">
        <v>1771</v>
      </c>
      <c r="BI8" s="628"/>
    </row>
    <row r="9" spans="1:61" s="523" customFormat="1" ht="132">
      <c r="A9" s="538" t="s">
        <v>5300</v>
      </c>
      <c r="B9" s="507" t="s">
        <v>3042</v>
      </c>
      <c r="C9" s="507" t="s">
        <v>3774</v>
      </c>
      <c r="D9" s="508" t="s">
        <v>4782</v>
      </c>
      <c r="E9" s="505" t="s">
        <v>4779</v>
      </c>
      <c r="F9" s="505" t="s">
        <v>4780</v>
      </c>
      <c r="G9" s="509" t="s">
        <v>4781</v>
      </c>
      <c r="H9" s="507" t="s">
        <v>4783</v>
      </c>
      <c r="I9" s="510" t="s">
        <v>1771</v>
      </c>
      <c r="J9" s="510">
        <v>1</v>
      </c>
      <c r="K9" s="507">
        <f>26+10+10+3</f>
        <v>49</v>
      </c>
      <c r="L9" s="507">
        <f>2184.5+1729+1734.5+383.5</f>
        <v>6031.5</v>
      </c>
      <c r="M9" s="511">
        <v>44543</v>
      </c>
      <c r="N9" s="511">
        <v>44544</v>
      </c>
      <c r="O9" s="511">
        <v>44544</v>
      </c>
      <c r="P9" s="511">
        <v>44572</v>
      </c>
      <c r="Q9" s="511">
        <v>44578</v>
      </c>
      <c r="R9" s="512" t="s">
        <v>4897</v>
      </c>
      <c r="S9" s="515" t="s">
        <v>3752</v>
      </c>
      <c r="T9" s="510" t="s">
        <v>4574</v>
      </c>
      <c r="U9" s="516" t="s">
        <v>3031</v>
      </c>
      <c r="V9" s="359">
        <v>44575</v>
      </c>
      <c r="W9" s="510" t="s">
        <v>3337</v>
      </c>
      <c r="X9" s="510" t="s">
        <v>3406</v>
      </c>
      <c r="Y9" s="511">
        <v>44573</v>
      </c>
      <c r="Z9" s="510" t="s">
        <v>3252</v>
      </c>
      <c r="AA9" s="510" t="s">
        <v>3982</v>
      </c>
      <c r="AB9" s="510" t="s">
        <v>4894</v>
      </c>
      <c r="AC9" s="510" t="s">
        <v>2146</v>
      </c>
      <c r="AD9" s="511">
        <v>44575</v>
      </c>
      <c r="AE9" s="515">
        <v>3418.6484</v>
      </c>
      <c r="AF9" s="507" t="s">
        <v>3359</v>
      </c>
      <c r="AG9" s="510" t="s">
        <v>3108</v>
      </c>
      <c r="AH9" s="517">
        <v>49055.26</v>
      </c>
      <c r="AI9" s="517">
        <v>3429</v>
      </c>
      <c r="AJ9" s="517">
        <v>4</v>
      </c>
      <c r="AK9" s="517">
        <f t="shared" ref="AK9:AK11" si="12">SUM(AH9:AJ9)</f>
        <v>52488.26</v>
      </c>
      <c r="AL9" s="518">
        <v>5.5246000000000004</v>
      </c>
      <c r="AM9" s="519">
        <f t="shared" si="1"/>
        <v>289976.64119600004</v>
      </c>
      <c r="AN9" s="519">
        <v>0</v>
      </c>
      <c r="AO9" s="510">
        <v>7</v>
      </c>
      <c r="AP9" s="519">
        <v>21276.21</v>
      </c>
      <c r="AQ9" s="519">
        <v>31125.26</v>
      </c>
      <c r="AR9" s="519">
        <v>6089.51</v>
      </c>
      <c r="AS9" s="519">
        <v>27982.74</v>
      </c>
      <c r="AT9" s="519">
        <v>75875.87</v>
      </c>
      <c r="AU9" s="519">
        <v>4851.88</v>
      </c>
      <c r="AV9" s="519">
        <v>331.62</v>
      </c>
      <c r="AW9" s="510" t="s">
        <v>3139</v>
      </c>
      <c r="AX9" s="520">
        <f t="shared" si="2"/>
        <v>44578</v>
      </c>
      <c r="AY9" s="519">
        <v>1576.77</v>
      </c>
      <c r="AZ9" s="519">
        <f t="shared" si="3"/>
        <v>434964.96179400006</v>
      </c>
      <c r="BA9" s="521">
        <f t="shared" si="4"/>
        <v>1</v>
      </c>
      <c r="BB9" s="519">
        <f t="shared" si="5"/>
        <v>434964.96179400006</v>
      </c>
      <c r="BC9" s="519">
        <v>5431.67</v>
      </c>
      <c r="BD9" s="519">
        <f t="shared" si="6"/>
        <v>-30</v>
      </c>
      <c r="BE9" s="519">
        <f t="shared" si="7"/>
        <v>5401.67</v>
      </c>
      <c r="BF9" s="513" t="s">
        <v>1771</v>
      </c>
      <c r="BG9" s="514" t="s">
        <v>1771</v>
      </c>
      <c r="BH9" s="510" t="s">
        <v>1771</v>
      </c>
      <c r="BI9" s="628"/>
    </row>
    <row r="10" spans="1:61" s="523" customFormat="1" ht="132">
      <c r="A10" s="538" t="s">
        <v>5301</v>
      </c>
      <c r="B10" s="507" t="s">
        <v>3042</v>
      </c>
      <c r="C10" s="507" t="s">
        <v>3774</v>
      </c>
      <c r="D10" s="508" t="s">
        <v>4743</v>
      </c>
      <c r="E10" s="505" t="s">
        <v>4784</v>
      </c>
      <c r="F10" s="505" t="s">
        <v>4785</v>
      </c>
      <c r="G10" s="509" t="s">
        <v>4786</v>
      </c>
      <c r="H10" s="507" t="s">
        <v>4783</v>
      </c>
      <c r="I10" s="510" t="s">
        <v>1771</v>
      </c>
      <c r="J10" s="510">
        <v>1</v>
      </c>
      <c r="K10" s="507">
        <f>3+9+15+5</f>
        <v>32</v>
      </c>
      <c r="L10" s="507">
        <f>337.43+586+1960+1148.5</f>
        <v>4031.9300000000003</v>
      </c>
      <c r="M10" s="511">
        <v>44543</v>
      </c>
      <c r="N10" s="511">
        <v>44544</v>
      </c>
      <c r="O10" s="511">
        <v>44544</v>
      </c>
      <c r="P10" s="511">
        <v>44572</v>
      </c>
      <c r="Q10" s="511">
        <v>44578</v>
      </c>
      <c r="R10" s="512" t="s">
        <v>4898</v>
      </c>
      <c r="S10" s="515" t="s">
        <v>3752</v>
      </c>
      <c r="T10" s="510" t="s">
        <v>4574</v>
      </c>
      <c r="U10" s="516" t="s">
        <v>3031</v>
      </c>
      <c r="V10" s="359">
        <v>44575</v>
      </c>
      <c r="W10" s="510" t="s">
        <v>3337</v>
      </c>
      <c r="X10" s="510" t="s">
        <v>3406</v>
      </c>
      <c r="Y10" s="511">
        <v>44573</v>
      </c>
      <c r="Z10" s="510" t="s">
        <v>3252</v>
      </c>
      <c r="AA10" s="510" t="s">
        <v>3982</v>
      </c>
      <c r="AB10" s="510" t="s">
        <v>4895</v>
      </c>
      <c r="AC10" s="510" t="s">
        <v>2146</v>
      </c>
      <c r="AD10" s="511">
        <v>44575</v>
      </c>
      <c r="AE10" s="515">
        <v>2647.25</v>
      </c>
      <c r="AF10" s="507" t="s">
        <v>3359</v>
      </c>
      <c r="AG10" s="510" t="s">
        <v>3108</v>
      </c>
      <c r="AH10" s="517">
        <v>126453.94</v>
      </c>
      <c r="AI10" s="517">
        <v>3429</v>
      </c>
      <c r="AJ10" s="517">
        <v>4</v>
      </c>
      <c r="AK10" s="517">
        <f t="shared" si="12"/>
        <v>129886.94</v>
      </c>
      <c r="AL10" s="518">
        <v>5.5246000000000004</v>
      </c>
      <c r="AM10" s="519">
        <f t="shared" si="1"/>
        <v>717573.38872400008</v>
      </c>
      <c r="AN10" s="519">
        <v>0</v>
      </c>
      <c r="AO10" s="510">
        <v>4</v>
      </c>
      <c r="AP10" s="519">
        <v>1201.27</v>
      </c>
      <c r="AQ10" s="519">
        <v>72354.61</v>
      </c>
      <c r="AR10" s="519">
        <v>15069.04</v>
      </c>
      <c r="AS10" s="519">
        <v>69245.820000000007</v>
      </c>
      <c r="AT10" s="519">
        <v>176343.78</v>
      </c>
      <c r="AU10" s="519">
        <v>4757.16</v>
      </c>
      <c r="AV10" s="519">
        <v>254.49</v>
      </c>
      <c r="AW10" s="510" t="s">
        <v>3139</v>
      </c>
      <c r="AX10" s="520">
        <f t="shared" si="2"/>
        <v>44578</v>
      </c>
      <c r="AY10" s="519">
        <v>1952.44</v>
      </c>
      <c r="AZ10" s="519">
        <f t="shared" si="3"/>
        <v>1076360.0830860001</v>
      </c>
      <c r="BA10" s="521">
        <f t="shared" si="4"/>
        <v>1</v>
      </c>
      <c r="BB10" s="519">
        <f t="shared" si="5"/>
        <v>1076360.0830860001</v>
      </c>
      <c r="BC10" s="519">
        <v>5336.95</v>
      </c>
      <c r="BD10" s="519">
        <f t="shared" si="6"/>
        <v>-60</v>
      </c>
      <c r="BE10" s="519">
        <f t="shared" si="7"/>
        <v>5276.95</v>
      </c>
      <c r="BF10" s="513" t="s">
        <v>1771</v>
      </c>
      <c r="BG10" s="514" t="s">
        <v>1771</v>
      </c>
      <c r="BH10" s="510" t="s">
        <v>1771</v>
      </c>
      <c r="BI10" s="628"/>
    </row>
    <row r="11" spans="1:61" s="523" customFormat="1" ht="132">
      <c r="A11" s="538" t="s">
        <v>5302</v>
      </c>
      <c r="B11" s="507" t="s">
        <v>3042</v>
      </c>
      <c r="C11" s="507" t="s">
        <v>3774</v>
      </c>
      <c r="D11" s="508" t="s">
        <v>4735</v>
      </c>
      <c r="E11" s="505" t="s">
        <v>4791</v>
      </c>
      <c r="F11" s="505" t="s">
        <v>4792</v>
      </c>
      <c r="G11" s="509" t="s">
        <v>4796</v>
      </c>
      <c r="H11" s="507" t="s">
        <v>4783</v>
      </c>
      <c r="I11" s="510" t="s">
        <v>1771</v>
      </c>
      <c r="J11" s="510">
        <v>1</v>
      </c>
      <c r="K11" s="507">
        <f>9+9+3+5</f>
        <v>26</v>
      </c>
      <c r="L11" s="507">
        <f>556.5+558+367.64+1151.5</f>
        <v>2633.64</v>
      </c>
      <c r="M11" s="511">
        <v>44543</v>
      </c>
      <c r="N11" s="511">
        <v>44543</v>
      </c>
      <c r="O11" s="511">
        <v>44543</v>
      </c>
      <c r="P11" s="511">
        <v>44572</v>
      </c>
      <c r="Q11" s="511">
        <v>44578</v>
      </c>
      <c r="R11" s="512" t="s">
        <v>4899</v>
      </c>
      <c r="S11" s="515" t="s">
        <v>3752</v>
      </c>
      <c r="T11" s="510" t="s">
        <v>4574</v>
      </c>
      <c r="U11" s="516" t="s">
        <v>3031</v>
      </c>
      <c r="V11" s="359">
        <v>44568</v>
      </c>
      <c r="W11" s="510" t="s">
        <v>3337</v>
      </c>
      <c r="X11" s="510" t="s">
        <v>3406</v>
      </c>
      <c r="Y11" s="511">
        <v>44573</v>
      </c>
      <c r="Z11" s="510" t="s">
        <v>3252</v>
      </c>
      <c r="AA11" s="510" t="s">
        <v>3982</v>
      </c>
      <c r="AB11" s="510" t="s">
        <v>4896</v>
      </c>
      <c r="AC11" s="510" t="s">
        <v>2146</v>
      </c>
      <c r="AD11" s="511">
        <v>44575</v>
      </c>
      <c r="AE11" s="515">
        <v>1817.6</v>
      </c>
      <c r="AF11" s="507" t="s">
        <v>3359</v>
      </c>
      <c r="AG11" s="510" t="s">
        <v>3108</v>
      </c>
      <c r="AH11" s="517">
        <v>66219.61</v>
      </c>
      <c r="AI11" s="517">
        <v>3429</v>
      </c>
      <c r="AJ11" s="517">
        <v>4</v>
      </c>
      <c r="AK11" s="517">
        <f t="shared" si="12"/>
        <v>69652.61</v>
      </c>
      <c r="AL11" s="518">
        <v>5.5246000000000004</v>
      </c>
      <c r="AM11" s="519">
        <f t="shared" si="1"/>
        <v>384802.80920600001</v>
      </c>
      <c r="AN11" s="519">
        <v>0</v>
      </c>
      <c r="AO11" s="510">
        <v>3</v>
      </c>
      <c r="AP11" s="519">
        <v>2402.54</v>
      </c>
      <c r="AQ11" s="519">
        <v>39674.86</v>
      </c>
      <c r="AR11" s="519">
        <v>8080.85</v>
      </c>
      <c r="AS11" s="519">
        <v>37133.449999999997</v>
      </c>
      <c r="AT11" s="519">
        <v>94970.46</v>
      </c>
      <c r="AU11" s="519">
        <v>4851.88</v>
      </c>
      <c r="AV11" s="519">
        <v>223.64</v>
      </c>
      <c r="AW11" s="510" t="s">
        <v>3139</v>
      </c>
      <c r="AX11" s="520">
        <f t="shared" si="2"/>
        <v>44578</v>
      </c>
      <c r="AY11" s="519">
        <v>1576.77</v>
      </c>
      <c r="AZ11" s="519">
        <f t="shared" si="3"/>
        <v>577204.21380899998</v>
      </c>
      <c r="BA11" s="521">
        <f t="shared" si="4"/>
        <v>1</v>
      </c>
      <c r="BB11" s="519">
        <f t="shared" si="5"/>
        <v>577204.21380899998</v>
      </c>
      <c r="BC11" s="519">
        <v>5431.67</v>
      </c>
      <c r="BD11" s="519">
        <f t="shared" si="6"/>
        <v>-70</v>
      </c>
      <c r="BE11" s="519">
        <f t="shared" si="7"/>
        <v>5361.67</v>
      </c>
      <c r="BF11" s="513" t="s">
        <v>1771</v>
      </c>
      <c r="BG11" s="514" t="s">
        <v>1771</v>
      </c>
      <c r="BH11" s="510" t="s">
        <v>1771</v>
      </c>
      <c r="BI11" s="628"/>
    </row>
    <row r="12" spans="1:61" s="523" customFormat="1" ht="132">
      <c r="A12" s="538" t="s">
        <v>5303</v>
      </c>
      <c r="B12" s="507" t="s">
        <v>3042</v>
      </c>
      <c r="C12" s="507" t="s">
        <v>3774</v>
      </c>
      <c r="D12" s="508">
        <v>4800016492</v>
      </c>
      <c r="E12" s="505" t="s">
        <v>4744</v>
      </c>
      <c r="F12" s="505" t="s">
        <v>4745</v>
      </c>
      <c r="G12" s="509" t="s">
        <v>4746</v>
      </c>
      <c r="H12" s="507" t="s">
        <v>4747</v>
      </c>
      <c r="I12" s="510" t="s">
        <v>1771</v>
      </c>
      <c r="J12" s="510">
        <v>1</v>
      </c>
      <c r="K12" s="507">
        <f>15+15+15</f>
        <v>45</v>
      </c>
      <c r="L12" s="507">
        <f>2106+2109+2135.5</f>
        <v>6350.5</v>
      </c>
      <c r="M12" s="511">
        <v>44536</v>
      </c>
      <c r="N12" s="511">
        <v>44535</v>
      </c>
      <c r="O12" s="511">
        <v>44535</v>
      </c>
      <c r="P12" s="511">
        <v>44574</v>
      </c>
      <c r="Q12" s="511">
        <f>P12+5</f>
        <v>44579</v>
      </c>
      <c r="R12" s="512" t="s">
        <v>4904</v>
      </c>
      <c r="S12" s="515" t="s">
        <v>3752</v>
      </c>
      <c r="T12" s="510" t="s">
        <v>4574</v>
      </c>
      <c r="U12" s="516" t="s">
        <v>3031</v>
      </c>
      <c r="V12" s="359">
        <v>44565</v>
      </c>
      <c r="W12" s="510" t="s">
        <v>3337</v>
      </c>
      <c r="X12" s="510" t="s">
        <v>3406</v>
      </c>
      <c r="Y12" s="511">
        <v>44578</v>
      </c>
      <c r="Z12" s="510" t="s">
        <v>3252</v>
      </c>
      <c r="AA12" s="510" t="s">
        <v>3982</v>
      </c>
      <c r="AB12" s="510" t="s">
        <v>4900</v>
      </c>
      <c r="AC12" s="510" t="s">
        <v>2146</v>
      </c>
      <c r="AD12" s="511">
        <v>44578</v>
      </c>
      <c r="AE12" s="515">
        <v>3961.8226</v>
      </c>
      <c r="AF12" s="507" t="s">
        <v>3238</v>
      </c>
      <c r="AG12" s="510" t="s">
        <v>3108</v>
      </c>
      <c r="AH12" s="517">
        <v>39898.92</v>
      </c>
      <c r="AI12" s="517">
        <v>3429</v>
      </c>
      <c r="AJ12" s="517">
        <v>3</v>
      </c>
      <c r="AK12" s="517">
        <f t="shared" ref="AK12" si="13">SUM(AH12:AJ12)</f>
        <v>43330.92</v>
      </c>
      <c r="AL12" s="518">
        <v>5.5349000000000004</v>
      </c>
      <c r="AM12" s="519">
        <f t="shared" si="1"/>
        <v>239832.30910800002</v>
      </c>
      <c r="AN12" s="519">
        <v>0</v>
      </c>
      <c r="AO12" s="510">
        <v>1</v>
      </c>
      <c r="AP12" s="519">
        <v>17267.93</v>
      </c>
      <c r="AQ12" s="519">
        <v>25710.02</v>
      </c>
      <c r="AR12" s="519">
        <v>5036.4799999999996</v>
      </c>
      <c r="AS12" s="519">
        <v>23143.82</v>
      </c>
      <c r="AT12" s="519">
        <v>63702.61</v>
      </c>
      <c r="AU12" s="519">
        <v>4765.99</v>
      </c>
      <c r="AV12" s="519">
        <v>154.22999999999999</v>
      </c>
      <c r="AW12" s="510" t="s">
        <v>3139</v>
      </c>
      <c r="AX12" s="520">
        <f t="shared" si="2"/>
        <v>44579</v>
      </c>
      <c r="AY12" s="519">
        <v>1576.77</v>
      </c>
      <c r="AZ12" s="519">
        <f t="shared" si="3"/>
        <v>359748.46366200002</v>
      </c>
      <c r="BA12" s="521">
        <f t="shared" si="4"/>
        <v>1</v>
      </c>
      <c r="BB12" s="519">
        <f t="shared" si="5"/>
        <v>359748.46366200002</v>
      </c>
      <c r="BC12" s="519">
        <v>5345.78</v>
      </c>
      <c r="BD12" s="519">
        <f t="shared" si="6"/>
        <v>-90</v>
      </c>
      <c r="BE12" s="519">
        <f t="shared" si="7"/>
        <v>5255.78</v>
      </c>
      <c r="BF12" s="513" t="s">
        <v>1771</v>
      </c>
      <c r="BG12" s="514" t="s">
        <v>1771</v>
      </c>
      <c r="BH12" s="510" t="s">
        <v>1771</v>
      </c>
      <c r="BI12" s="628"/>
    </row>
    <row r="13" spans="1:61" s="523" customFormat="1" ht="156">
      <c r="A13" s="538" t="s">
        <v>5304</v>
      </c>
      <c r="B13" s="507" t="s">
        <v>3042</v>
      </c>
      <c r="C13" s="507" t="s">
        <v>3774</v>
      </c>
      <c r="D13" s="508" t="s">
        <v>4795</v>
      </c>
      <c r="E13" s="505" t="s">
        <v>4793</v>
      </c>
      <c r="F13" s="505" t="s">
        <v>4794</v>
      </c>
      <c r="G13" s="509" t="s">
        <v>4798</v>
      </c>
      <c r="H13" s="507" t="s">
        <v>4799</v>
      </c>
      <c r="I13" s="510" t="s">
        <v>1771</v>
      </c>
      <c r="J13" s="510">
        <v>1</v>
      </c>
      <c r="K13" s="507">
        <f>2+2+2+2+2+5+1+5+4+5+1+5+1</f>
        <v>37</v>
      </c>
      <c r="L13" s="507">
        <f>127.5+128+128+126.5+128.5+1042.5+165.5+1037.5+716+1043+175.5+1034+38</f>
        <v>5890.5</v>
      </c>
      <c r="M13" s="511">
        <v>44544</v>
      </c>
      <c r="N13" s="511">
        <v>44546</v>
      </c>
      <c r="O13" s="511">
        <v>44546</v>
      </c>
      <c r="P13" s="511">
        <v>44581</v>
      </c>
      <c r="Q13" s="511">
        <v>44586</v>
      </c>
      <c r="R13" s="512" t="s">
        <v>4922</v>
      </c>
      <c r="S13" s="515" t="s">
        <v>3752</v>
      </c>
      <c r="T13" s="510" t="s">
        <v>3128</v>
      </c>
      <c r="U13" s="516" t="s">
        <v>3031</v>
      </c>
      <c r="V13" s="359">
        <v>44575</v>
      </c>
      <c r="W13" s="510" t="s">
        <v>3337</v>
      </c>
      <c r="X13" s="510" t="s">
        <v>3406</v>
      </c>
      <c r="Y13" s="511">
        <v>44582</v>
      </c>
      <c r="Z13" s="510" t="s">
        <v>3252</v>
      </c>
      <c r="AA13" s="510" t="s">
        <v>3982</v>
      </c>
      <c r="AB13" s="510" t="s">
        <v>4911</v>
      </c>
      <c r="AC13" s="510" t="s">
        <v>2146</v>
      </c>
      <c r="AD13" s="511">
        <v>44585</v>
      </c>
      <c r="AE13" s="515">
        <v>4487.3999999999996</v>
      </c>
      <c r="AF13" s="507" t="s">
        <v>3238</v>
      </c>
      <c r="AG13" s="510" t="s">
        <v>3108</v>
      </c>
      <c r="AH13" s="517">
        <v>120459.95</v>
      </c>
      <c r="AI13" s="517">
        <v>3429</v>
      </c>
      <c r="AJ13" s="517">
        <v>13</v>
      </c>
      <c r="AK13" s="517">
        <f t="shared" ref="AK13:AK14" si="14">SUM(AH13:AJ13)</f>
        <v>123901.95</v>
      </c>
      <c r="AL13" s="518">
        <v>5.4401000000000002</v>
      </c>
      <c r="AM13" s="519">
        <f t="shared" si="1"/>
        <v>674038.99819499999</v>
      </c>
      <c r="AN13" s="519">
        <v>0</v>
      </c>
      <c r="AO13" s="510">
        <v>4</v>
      </c>
      <c r="AP13" s="519">
        <v>1923.86</v>
      </c>
      <c r="AQ13" s="519">
        <v>68360.460000000006</v>
      </c>
      <c r="AR13" s="519">
        <v>14154.82</v>
      </c>
      <c r="AS13" s="519">
        <v>65044.76</v>
      </c>
      <c r="AT13" s="519">
        <v>166851.54</v>
      </c>
      <c r="AU13" s="519">
        <v>4684.72</v>
      </c>
      <c r="AV13" s="519">
        <v>254.49</v>
      </c>
      <c r="AW13" s="510" t="s">
        <v>3139</v>
      </c>
      <c r="AX13" s="520">
        <f t="shared" si="2"/>
        <v>44586</v>
      </c>
      <c r="AY13" s="519">
        <v>1616.21</v>
      </c>
      <c r="AZ13" s="519">
        <f t="shared" si="3"/>
        <v>1011058.4972925</v>
      </c>
      <c r="BA13" s="521">
        <f t="shared" si="4"/>
        <v>1</v>
      </c>
      <c r="BB13" s="519">
        <f t="shared" si="5"/>
        <v>1011058.4972925</v>
      </c>
      <c r="BC13" s="519">
        <v>5264.51</v>
      </c>
      <c r="BD13" s="519">
        <f t="shared" si="6"/>
        <v>-60</v>
      </c>
      <c r="BE13" s="519">
        <f t="shared" si="7"/>
        <v>5204.51</v>
      </c>
      <c r="BF13" s="513" t="s">
        <v>1771</v>
      </c>
      <c r="BG13" s="514" t="s">
        <v>1771</v>
      </c>
      <c r="BH13" s="510" t="s">
        <v>1771</v>
      </c>
      <c r="BI13" s="628"/>
    </row>
    <row r="14" spans="1:61" s="523" customFormat="1" ht="156">
      <c r="A14" s="538" t="s">
        <v>5305</v>
      </c>
      <c r="B14" s="507" t="s">
        <v>3042</v>
      </c>
      <c r="C14" s="507" t="s">
        <v>3774</v>
      </c>
      <c r="D14" s="508" t="s">
        <v>4803</v>
      </c>
      <c r="E14" s="505" t="s">
        <v>4801</v>
      </c>
      <c r="F14" s="505" t="s">
        <v>4802</v>
      </c>
      <c r="G14" s="509" t="s">
        <v>4804</v>
      </c>
      <c r="H14" s="507" t="s">
        <v>4799</v>
      </c>
      <c r="I14" s="510" t="s">
        <v>1771</v>
      </c>
      <c r="J14" s="510">
        <v>2</v>
      </c>
      <c r="K14" s="507">
        <f>1+2+1+2+15+2+2+2+9+2+2+2+9</f>
        <v>51</v>
      </c>
      <c r="L14" s="507">
        <f>5+128+64.5+129+1999.5+128+128+127.5+567+128.5+127.5+127+586</f>
        <v>4245.5</v>
      </c>
      <c r="M14" s="511">
        <v>44546</v>
      </c>
      <c r="N14" s="511">
        <v>44547</v>
      </c>
      <c r="O14" s="511">
        <v>44547</v>
      </c>
      <c r="P14" s="511">
        <v>44581</v>
      </c>
      <c r="Q14" s="511">
        <v>44586</v>
      </c>
      <c r="R14" s="512" t="s">
        <v>4923</v>
      </c>
      <c r="S14" s="515" t="s">
        <v>3752</v>
      </c>
      <c r="T14" s="510" t="s">
        <v>3128</v>
      </c>
      <c r="U14" s="516" t="s">
        <v>3031</v>
      </c>
      <c r="V14" s="359">
        <v>44575</v>
      </c>
      <c r="W14" s="510" t="s">
        <v>3337</v>
      </c>
      <c r="X14" s="510" t="s">
        <v>3406</v>
      </c>
      <c r="Y14" s="511">
        <v>44585</v>
      </c>
      <c r="Z14" s="510" t="s">
        <v>3252</v>
      </c>
      <c r="AA14" s="510" t="s">
        <v>3982</v>
      </c>
      <c r="AB14" s="510" t="s">
        <v>4910</v>
      </c>
      <c r="AC14" s="510" t="s">
        <v>2146</v>
      </c>
      <c r="AD14" s="511">
        <v>44585</v>
      </c>
      <c r="AE14" s="515">
        <v>2853.8694999999998</v>
      </c>
      <c r="AF14" s="507" t="s">
        <v>3486</v>
      </c>
      <c r="AG14" s="510" t="s">
        <v>3108</v>
      </c>
      <c r="AH14" s="517">
        <v>14619.55</v>
      </c>
      <c r="AI14" s="517">
        <v>6858</v>
      </c>
      <c r="AJ14" s="517">
        <v>13</v>
      </c>
      <c r="AK14" s="517">
        <f t="shared" si="14"/>
        <v>21490.55</v>
      </c>
      <c r="AL14" s="518">
        <v>5.4401000000000002</v>
      </c>
      <c r="AM14" s="519">
        <f t="shared" si="1"/>
        <v>116910.74105500001</v>
      </c>
      <c r="AN14" s="519">
        <v>0</v>
      </c>
      <c r="AO14" s="510">
        <v>5</v>
      </c>
      <c r="AP14" s="519">
        <v>11178.83</v>
      </c>
      <c r="AQ14" s="519">
        <v>14997.83</v>
      </c>
      <c r="AR14" s="519">
        <v>2455.13</v>
      </c>
      <c r="AS14" s="519">
        <v>11281.86</v>
      </c>
      <c r="AT14" s="519">
        <v>33247.269999999997</v>
      </c>
      <c r="AU14" s="519">
        <v>9348.25</v>
      </c>
      <c r="AV14" s="519">
        <v>285.33999999999997</v>
      </c>
      <c r="AW14" s="510" t="s">
        <v>3139</v>
      </c>
      <c r="AX14" s="520">
        <f t="shared" si="2"/>
        <v>44586</v>
      </c>
      <c r="AY14" s="519">
        <v>3153.54</v>
      </c>
      <c r="AZ14" s="519">
        <f t="shared" si="3"/>
        <v>175366.11158250002</v>
      </c>
      <c r="BA14" s="521">
        <f t="shared" si="4"/>
        <v>2</v>
      </c>
      <c r="BB14" s="519">
        <f t="shared" si="5"/>
        <v>87683.055791250008</v>
      </c>
      <c r="BC14" s="519">
        <v>9928.0400000000009</v>
      </c>
      <c r="BD14" s="519">
        <f t="shared" si="6"/>
        <v>-50</v>
      </c>
      <c r="BE14" s="519">
        <f t="shared" si="7"/>
        <v>9878.0400000000009</v>
      </c>
      <c r="BF14" s="513" t="s">
        <v>1771</v>
      </c>
      <c r="BG14" s="514" t="s">
        <v>1771</v>
      </c>
      <c r="BH14" s="510" t="s">
        <v>1771</v>
      </c>
      <c r="BI14" s="628"/>
    </row>
    <row r="15" spans="1:61" s="523" customFormat="1" ht="120">
      <c r="A15" s="538" t="s">
        <v>5306</v>
      </c>
      <c r="B15" s="507" t="s">
        <v>3042</v>
      </c>
      <c r="C15" s="507" t="s">
        <v>3774</v>
      </c>
      <c r="D15" s="508" t="s">
        <v>4730</v>
      </c>
      <c r="E15" s="505" t="s">
        <v>4748</v>
      </c>
      <c r="F15" s="505" t="s">
        <v>4749</v>
      </c>
      <c r="G15" s="509" t="s">
        <v>4750</v>
      </c>
      <c r="H15" s="507" t="s">
        <v>4747</v>
      </c>
      <c r="I15" s="510">
        <v>1</v>
      </c>
      <c r="J15" s="510" t="s">
        <v>1771</v>
      </c>
      <c r="K15" s="507">
        <f>2+14+2</f>
        <v>18</v>
      </c>
      <c r="L15" s="507">
        <f>298+1803+129</f>
        <v>2230</v>
      </c>
      <c r="M15" s="511"/>
      <c r="N15" s="511"/>
      <c r="O15" s="511"/>
      <c r="P15" s="511">
        <v>44574</v>
      </c>
      <c r="Q15" s="511">
        <v>44587</v>
      </c>
      <c r="R15" s="512" t="s">
        <v>4939</v>
      </c>
      <c r="S15" s="515" t="s">
        <v>3752</v>
      </c>
      <c r="T15" s="510" t="s">
        <v>4574</v>
      </c>
      <c r="U15" s="516" t="s">
        <v>3031</v>
      </c>
      <c r="V15" s="359">
        <v>44565</v>
      </c>
      <c r="W15" s="510" t="s">
        <v>3337</v>
      </c>
      <c r="X15" s="510" t="s">
        <v>3406</v>
      </c>
      <c r="Y15" s="511">
        <v>44575</v>
      </c>
      <c r="Z15" s="510" t="s">
        <v>3252</v>
      </c>
      <c r="AA15" s="510" t="s">
        <v>3982</v>
      </c>
      <c r="AB15" s="510" t="s">
        <v>4901</v>
      </c>
      <c r="AC15" s="510" t="s">
        <v>2146</v>
      </c>
      <c r="AD15" s="511">
        <v>44579</v>
      </c>
      <c r="AE15" s="515">
        <v>1388.0981999999999</v>
      </c>
      <c r="AF15" s="507" t="s">
        <v>3238</v>
      </c>
      <c r="AG15" s="510" t="s">
        <v>3108</v>
      </c>
      <c r="AH15" s="517">
        <v>60291.19</v>
      </c>
      <c r="AI15" s="517">
        <v>3155</v>
      </c>
      <c r="AJ15" s="517">
        <v>3</v>
      </c>
      <c r="AK15" s="517">
        <f t="shared" ref="AK15:AK17" si="15">SUM(AH15:AJ15)</f>
        <v>63449.19</v>
      </c>
      <c r="AL15" s="518">
        <v>5.5057999999999998</v>
      </c>
      <c r="AM15" s="519">
        <f t="shared" si="1"/>
        <v>349338.55030200002</v>
      </c>
      <c r="AN15" s="519">
        <v>0</v>
      </c>
      <c r="AO15" s="510">
        <v>3</v>
      </c>
      <c r="AP15" s="519">
        <v>1095.77</v>
      </c>
      <c r="AQ15" s="519">
        <v>35168.17</v>
      </c>
      <c r="AR15" s="519">
        <v>7336.11</v>
      </c>
      <c r="AS15" s="519">
        <v>33711.17</v>
      </c>
      <c r="AT15" s="519">
        <v>86942</v>
      </c>
      <c r="AU15" s="519">
        <v>4363.8900000000003</v>
      </c>
      <c r="AV15" s="519">
        <v>223.64</v>
      </c>
      <c r="AW15" s="510" t="s">
        <v>3139</v>
      </c>
      <c r="AX15" s="520">
        <f t="shared" si="2"/>
        <v>44587</v>
      </c>
      <c r="AY15" s="519">
        <v>2716.22</v>
      </c>
      <c r="AZ15" s="519">
        <f t="shared" si="3"/>
        <v>524007.82545300003</v>
      </c>
      <c r="BA15" s="521">
        <f t="shared" si="4"/>
        <v>1</v>
      </c>
      <c r="BB15" s="519">
        <f t="shared" si="5"/>
        <v>524007.82545300003</v>
      </c>
      <c r="BC15" s="519">
        <v>4943.68</v>
      </c>
      <c r="BD15" s="519">
        <f t="shared" si="6"/>
        <v>-70</v>
      </c>
      <c r="BE15" s="519">
        <f t="shared" si="7"/>
        <v>4873.68</v>
      </c>
      <c r="BF15" s="513" t="s">
        <v>1771</v>
      </c>
      <c r="BG15" s="514" t="s">
        <v>1771</v>
      </c>
      <c r="BH15" s="510" t="s">
        <v>1771</v>
      </c>
      <c r="BI15" s="628"/>
    </row>
    <row r="16" spans="1:61" s="523" customFormat="1" ht="120">
      <c r="A16" s="538" t="s">
        <v>5307</v>
      </c>
      <c r="B16" s="507" t="s">
        <v>3042</v>
      </c>
      <c r="C16" s="507" t="s">
        <v>3774</v>
      </c>
      <c r="D16" s="508" t="s">
        <v>4743</v>
      </c>
      <c r="E16" s="505" t="s">
        <v>4751</v>
      </c>
      <c r="F16" s="505" t="s">
        <v>4752</v>
      </c>
      <c r="G16" s="509" t="s">
        <v>4753</v>
      </c>
      <c r="H16" s="507" t="s">
        <v>4747</v>
      </c>
      <c r="I16" s="510" t="s">
        <v>1771</v>
      </c>
      <c r="J16" s="510">
        <v>1</v>
      </c>
      <c r="K16" s="507">
        <f>9+15+10</f>
        <v>34</v>
      </c>
      <c r="L16" s="507">
        <f>560.5+2081+1734</f>
        <v>4375.5</v>
      </c>
      <c r="M16" s="511">
        <v>44537</v>
      </c>
      <c r="N16" s="511">
        <v>44537</v>
      </c>
      <c r="O16" s="511">
        <v>44537</v>
      </c>
      <c r="P16" s="511">
        <v>44574</v>
      </c>
      <c r="Q16" s="511">
        <v>44587</v>
      </c>
      <c r="R16" s="512" t="s">
        <v>4940</v>
      </c>
      <c r="S16" s="515" t="s">
        <v>3752</v>
      </c>
      <c r="T16" s="510" t="s">
        <v>4574</v>
      </c>
      <c r="U16" s="516" t="s">
        <v>3031</v>
      </c>
      <c r="V16" s="359">
        <v>44551</v>
      </c>
      <c r="W16" s="510" t="s">
        <v>3337</v>
      </c>
      <c r="X16" s="510" t="s">
        <v>3406</v>
      </c>
      <c r="Y16" s="511">
        <v>44578</v>
      </c>
      <c r="Z16" s="510" t="s">
        <v>3298</v>
      </c>
      <c r="AA16" s="510" t="s">
        <v>3982</v>
      </c>
      <c r="AB16" s="510" t="s">
        <v>4902</v>
      </c>
      <c r="AC16" s="510" t="s">
        <v>2146</v>
      </c>
      <c r="AD16" s="511">
        <v>44579</v>
      </c>
      <c r="AE16" s="515">
        <v>2824.1966000000002</v>
      </c>
      <c r="AF16" s="507" t="s">
        <v>3359</v>
      </c>
      <c r="AG16" s="510" t="s">
        <v>3108</v>
      </c>
      <c r="AH16" s="517">
        <v>24353.31</v>
      </c>
      <c r="AI16" s="517">
        <v>3429</v>
      </c>
      <c r="AJ16" s="517">
        <v>3</v>
      </c>
      <c r="AK16" s="517">
        <f t="shared" si="15"/>
        <v>27785.31</v>
      </c>
      <c r="AL16" s="518">
        <v>5.5057999999999998</v>
      </c>
      <c r="AM16" s="519">
        <f t="shared" si="1"/>
        <v>152980.35979799999</v>
      </c>
      <c r="AN16" s="519">
        <v>0</v>
      </c>
      <c r="AO16" s="510">
        <v>2</v>
      </c>
      <c r="AP16" s="519">
        <v>11613.17</v>
      </c>
      <c r="AQ16" s="519">
        <v>16934.89</v>
      </c>
      <c r="AR16" s="519">
        <v>3212.59</v>
      </c>
      <c r="AS16" s="519">
        <v>14762.6</v>
      </c>
      <c r="AT16" s="519">
        <v>41164.559999999998</v>
      </c>
      <c r="AU16" s="519">
        <v>4765.99</v>
      </c>
      <c r="AV16" s="519">
        <v>192.79</v>
      </c>
      <c r="AW16" s="510" t="s">
        <v>3139</v>
      </c>
      <c r="AX16" s="520">
        <f t="shared" si="2"/>
        <v>44587</v>
      </c>
      <c r="AY16" s="519">
        <v>3134.62</v>
      </c>
      <c r="AZ16" s="519">
        <f t="shared" si="3"/>
        <v>229470.539697</v>
      </c>
      <c r="BA16" s="521">
        <f t="shared" si="4"/>
        <v>1</v>
      </c>
      <c r="BB16" s="519">
        <f t="shared" si="5"/>
        <v>229470.539697</v>
      </c>
      <c r="BC16" s="519">
        <v>5345.78</v>
      </c>
      <c r="BD16" s="519">
        <f t="shared" si="6"/>
        <v>-80</v>
      </c>
      <c r="BE16" s="519">
        <f t="shared" si="7"/>
        <v>5265.78</v>
      </c>
      <c r="BF16" s="513" t="s">
        <v>1771</v>
      </c>
      <c r="BG16" s="514" t="s">
        <v>1771</v>
      </c>
      <c r="BH16" s="510" t="s">
        <v>1771</v>
      </c>
      <c r="BI16" s="628"/>
    </row>
    <row r="17" spans="1:61" s="523" customFormat="1" ht="132">
      <c r="A17" s="538" t="s">
        <v>5308</v>
      </c>
      <c r="B17" s="507" t="s">
        <v>3042</v>
      </c>
      <c r="C17" s="507" t="s">
        <v>3774</v>
      </c>
      <c r="D17" s="508" t="s">
        <v>4730</v>
      </c>
      <c r="E17" s="505" t="s">
        <v>4775</v>
      </c>
      <c r="F17" s="505" t="s">
        <v>4776</v>
      </c>
      <c r="G17" s="509" t="s">
        <v>4778</v>
      </c>
      <c r="H17" s="507" t="s">
        <v>4747</v>
      </c>
      <c r="I17" s="510" t="s">
        <v>1771</v>
      </c>
      <c r="J17" s="510">
        <v>1</v>
      </c>
      <c r="K17" s="507">
        <f>10+15+5+7</f>
        <v>37</v>
      </c>
      <c r="L17" s="507">
        <f>1753+2104+1139+1168.5</f>
        <v>6164.5</v>
      </c>
      <c r="M17" s="511">
        <v>44538</v>
      </c>
      <c r="N17" s="511">
        <v>44539</v>
      </c>
      <c r="O17" s="511">
        <v>44539</v>
      </c>
      <c r="P17" s="511">
        <v>44574</v>
      </c>
      <c r="Q17" s="511">
        <v>44587</v>
      </c>
      <c r="R17" s="512" t="s">
        <v>4941</v>
      </c>
      <c r="S17" s="515" t="s">
        <v>3752</v>
      </c>
      <c r="T17" s="510" t="s">
        <v>4574</v>
      </c>
      <c r="U17" s="516" t="s">
        <v>3031</v>
      </c>
      <c r="V17" s="359">
        <v>44551</v>
      </c>
      <c r="W17" s="510" t="s">
        <v>3337</v>
      </c>
      <c r="X17" s="510" t="s">
        <v>3406</v>
      </c>
      <c r="Y17" s="511">
        <v>44575</v>
      </c>
      <c r="Z17" s="510" t="s">
        <v>3252</v>
      </c>
      <c r="AA17" s="510" t="s">
        <v>3982</v>
      </c>
      <c r="AB17" s="510" t="s">
        <v>4903</v>
      </c>
      <c r="AC17" s="510" t="s">
        <v>2146</v>
      </c>
      <c r="AD17" s="511">
        <v>44579</v>
      </c>
      <c r="AE17" s="515">
        <v>4236.6075000000001</v>
      </c>
      <c r="AF17" s="507" t="s">
        <v>3238</v>
      </c>
      <c r="AG17" s="510" t="s">
        <v>3108</v>
      </c>
      <c r="AH17" s="517">
        <v>93114.33</v>
      </c>
      <c r="AI17" s="517">
        <v>3429</v>
      </c>
      <c r="AJ17" s="517">
        <v>4</v>
      </c>
      <c r="AK17" s="517">
        <f t="shared" si="15"/>
        <v>96547.33</v>
      </c>
      <c r="AL17" s="518">
        <v>5.5057999999999998</v>
      </c>
      <c r="AM17" s="519">
        <f t="shared" si="1"/>
        <v>531570.28951399995</v>
      </c>
      <c r="AN17" s="519">
        <v>0</v>
      </c>
      <c r="AO17" s="510">
        <v>2</v>
      </c>
      <c r="AP17" s="519">
        <v>18083.759999999998</v>
      </c>
      <c r="AQ17" s="519">
        <v>54965.4</v>
      </c>
      <c r="AR17" s="519">
        <v>11162.98</v>
      </c>
      <c r="AS17" s="519">
        <v>51296.53</v>
      </c>
      <c r="AT17" s="519">
        <v>135454.91</v>
      </c>
      <c r="AU17" s="519">
        <v>4765.99</v>
      </c>
      <c r="AV17" s="519">
        <v>192.79</v>
      </c>
      <c r="AW17" s="510" t="s">
        <v>3139</v>
      </c>
      <c r="AX17" s="520">
        <f t="shared" si="2"/>
        <v>44587</v>
      </c>
      <c r="AY17" s="519">
        <v>2716.22</v>
      </c>
      <c r="AZ17" s="519">
        <f t="shared" si="3"/>
        <v>797355.43427099986</v>
      </c>
      <c r="BA17" s="521">
        <f t="shared" si="4"/>
        <v>1</v>
      </c>
      <c r="BB17" s="519">
        <f t="shared" si="5"/>
        <v>797355.43427099986</v>
      </c>
      <c r="BC17" s="519">
        <v>5345.78</v>
      </c>
      <c r="BD17" s="519">
        <f t="shared" si="6"/>
        <v>-80</v>
      </c>
      <c r="BE17" s="519">
        <f t="shared" si="7"/>
        <v>5265.78</v>
      </c>
      <c r="BF17" s="513" t="s">
        <v>1771</v>
      </c>
      <c r="BG17" s="514" t="s">
        <v>1771</v>
      </c>
      <c r="BH17" s="510" t="s">
        <v>1771</v>
      </c>
      <c r="BI17" s="628"/>
    </row>
    <row r="18" spans="1:61" s="523" customFormat="1" ht="132">
      <c r="A18" s="538" t="s">
        <v>5309</v>
      </c>
      <c r="B18" s="507" t="s">
        <v>3042</v>
      </c>
      <c r="C18" s="507" t="s">
        <v>3774</v>
      </c>
      <c r="D18" s="508" t="s">
        <v>4825</v>
      </c>
      <c r="E18" s="505" t="s">
        <v>4822</v>
      </c>
      <c r="F18" s="505" t="s">
        <v>4823</v>
      </c>
      <c r="G18" s="509" t="s">
        <v>4824</v>
      </c>
      <c r="H18" s="507" t="s">
        <v>4815</v>
      </c>
      <c r="I18" s="510" t="s">
        <v>1771</v>
      </c>
      <c r="J18" s="510">
        <v>1</v>
      </c>
      <c r="K18" s="507">
        <f>6+10+15+15+2</f>
        <v>48</v>
      </c>
      <c r="L18" s="507">
        <f>703.29+1741.5+2121.5+2103+127.4</f>
        <v>6796.69</v>
      </c>
      <c r="M18" s="511">
        <v>44551</v>
      </c>
      <c r="N18" s="511">
        <v>44552</v>
      </c>
      <c r="O18" s="511">
        <v>44552</v>
      </c>
      <c r="P18" s="511">
        <v>44584</v>
      </c>
      <c r="Q18" s="511">
        <v>44592</v>
      </c>
      <c r="R18" s="512" t="s">
        <v>4956</v>
      </c>
      <c r="S18" s="515" t="s">
        <v>3752</v>
      </c>
      <c r="T18" s="510" t="s">
        <v>4574</v>
      </c>
      <c r="U18" s="516" t="s">
        <v>3031</v>
      </c>
      <c r="V18" s="359">
        <v>44582</v>
      </c>
      <c r="W18" s="510" t="s">
        <v>3337</v>
      </c>
      <c r="X18" s="510" t="s">
        <v>3406</v>
      </c>
      <c r="Y18" s="511">
        <v>44585</v>
      </c>
      <c r="Z18" s="510" t="s">
        <v>3252</v>
      </c>
      <c r="AA18" s="510" t="s">
        <v>3982</v>
      </c>
      <c r="AB18" s="510" t="s">
        <v>4920</v>
      </c>
      <c r="AC18" s="510" t="s">
        <v>2146</v>
      </c>
      <c r="AD18" s="511">
        <v>44585</v>
      </c>
      <c r="AE18" s="515">
        <v>4415.8226000000004</v>
      </c>
      <c r="AF18" s="507" t="s">
        <v>4409</v>
      </c>
      <c r="AG18" s="510" t="s">
        <v>3108</v>
      </c>
      <c r="AH18" s="517">
        <v>382144.04</v>
      </c>
      <c r="AI18" s="517">
        <v>3429</v>
      </c>
      <c r="AJ18" s="517">
        <v>5</v>
      </c>
      <c r="AK18" s="517">
        <f t="shared" ref="AK18:AK19" si="16">SUM(AH18:AJ18)</f>
        <v>385578.04</v>
      </c>
      <c r="AL18" s="518">
        <v>5.4401000000000002</v>
      </c>
      <c r="AM18" s="519">
        <f t="shared" si="1"/>
        <v>2097583.095404</v>
      </c>
      <c r="AN18" s="519">
        <v>0</v>
      </c>
      <c r="AO18" s="510">
        <v>4</v>
      </c>
      <c r="AP18" s="519">
        <v>281477.90999999997</v>
      </c>
      <c r="AQ18" s="519">
        <v>341542.88</v>
      </c>
      <c r="AR18" s="519">
        <v>44049.25</v>
      </c>
      <c r="AS18" s="519">
        <v>202416.77</v>
      </c>
      <c r="AT18" s="519">
        <v>577419.42000000004</v>
      </c>
      <c r="AU18" s="519">
        <v>4684.72</v>
      </c>
      <c r="AV18" s="519">
        <v>254.49</v>
      </c>
      <c r="AW18" s="510" t="s">
        <v>3139</v>
      </c>
      <c r="AX18" s="520">
        <f t="shared" si="2"/>
        <v>44592</v>
      </c>
      <c r="AY18" s="519">
        <v>4105.99</v>
      </c>
      <c r="AZ18" s="519">
        <f t="shared" si="3"/>
        <v>3146374.643106</v>
      </c>
      <c r="BA18" s="521">
        <f t="shared" si="4"/>
        <v>1</v>
      </c>
      <c r="BB18" s="519">
        <f t="shared" si="5"/>
        <v>3146374.643106</v>
      </c>
      <c r="BC18" s="519">
        <v>5264.51</v>
      </c>
      <c r="BD18" s="519">
        <f t="shared" si="6"/>
        <v>-60</v>
      </c>
      <c r="BE18" s="519">
        <f t="shared" si="7"/>
        <v>5204.51</v>
      </c>
      <c r="BF18" s="513" t="s">
        <v>1771</v>
      </c>
      <c r="BG18" s="514" t="s">
        <v>1771</v>
      </c>
      <c r="BH18" s="510" t="s">
        <v>1771</v>
      </c>
      <c r="BI18" s="628"/>
    </row>
    <row r="19" spans="1:61" s="523" customFormat="1" ht="132">
      <c r="A19" s="538" t="s">
        <v>5310</v>
      </c>
      <c r="B19" s="507" t="s">
        <v>3042</v>
      </c>
      <c r="C19" s="507" t="s">
        <v>3774</v>
      </c>
      <c r="D19" s="508" t="s">
        <v>4834</v>
      </c>
      <c r="E19" s="505" t="s">
        <v>4826</v>
      </c>
      <c r="F19" s="505" t="s">
        <v>4827</v>
      </c>
      <c r="G19" s="509" t="s">
        <v>4835</v>
      </c>
      <c r="H19" s="507" t="s">
        <v>4815</v>
      </c>
      <c r="I19" s="510" t="s">
        <v>1771</v>
      </c>
      <c r="J19" s="510">
        <v>1</v>
      </c>
      <c r="K19" s="507">
        <f>7+1+3+6+1+15+15+2</f>
        <v>50</v>
      </c>
      <c r="L19" s="507">
        <f>1201.5+180+331.47+641.83+105+2127+2098.5+87.21</f>
        <v>6772.51</v>
      </c>
      <c r="M19" s="511">
        <v>44552</v>
      </c>
      <c r="N19" s="511">
        <v>44553</v>
      </c>
      <c r="O19" s="511">
        <v>44553</v>
      </c>
      <c r="P19" s="511">
        <v>44584</v>
      </c>
      <c r="Q19" s="511">
        <v>44592</v>
      </c>
      <c r="R19" s="512" t="s">
        <v>4957</v>
      </c>
      <c r="S19" s="515" t="s">
        <v>3752</v>
      </c>
      <c r="T19" s="510" t="s">
        <v>4574</v>
      </c>
      <c r="U19" s="516" t="s">
        <v>3031</v>
      </c>
      <c r="V19" s="359">
        <v>44582</v>
      </c>
      <c r="W19" s="510" t="s">
        <v>3337</v>
      </c>
      <c r="X19" s="510" t="s">
        <v>3406</v>
      </c>
      <c r="Y19" s="511">
        <v>44585</v>
      </c>
      <c r="Z19" s="510" t="s">
        <v>3252</v>
      </c>
      <c r="AA19" s="510" t="s">
        <v>3982</v>
      </c>
      <c r="AB19" s="510" t="s">
        <v>4921</v>
      </c>
      <c r="AC19" s="510" t="s">
        <v>2146</v>
      </c>
      <c r="AD19" s="511">
        <v>44585</v>
      </c>
      <c r="AE19" s="515">
        <v>4466.2150000000001</v>
      </c>
      <c r="AF19" s="507" t="s">
        <v>4409</v>
      </c>
      <c r="AG19" s="510" t="s">
        <v>3108</v>
      </c>
      <c r="AH19" s="517">
        <v>330826.09999999998</v>
      </c>
      <c r="AI19" s="517">
        <v>3429</v>
      </c>
      <c r="AJ19" s="517">
        <v>8</v>
      </c>
      <c r="AK19" s="517">
        <f t="shared" si="16"/>
        <v>334263.09999999998</v>
      </c>
      <c r="AL19" s="518">
        <v>5.4401000000000002</v>
      </c>
      <c r="AM19" s="519">
        <f t="shared" si="1"/>
        <v>1818424.69031</v>
      </c>
      <c r="AN19" s="519">
        <v>0</v>
      </c>
      <c r="AO19" s="510">
        <v>6</v>
      </c>
      <c r="AP19" s="519">
        <v>221030.23</v>
      </c>
      <c r="AQ19" s="519">
        <v>285229.21999999997</v>
      </c>
      <c r="AR19" s="519">
        <v>38186.910000000003</v>
      </c>
      <c r="AS19" s="519">
        <v>175477.96</v>
      </c>
      <c r="AT19" s="519">
        <v>494654.95</v>
      </c>
      <c r="AU19" s="519">
        <v>4684.72</v>
      </c>
      <c r="AV19" s="519">
        <v>308.48</v>
      </c>
      <c r="AW19" s="510" t="s">
        <v>3139</v>
      </c>
      <c r="AX19" s="520">
        <f t="shared" si="2"/>
        <v>44592</v>
      </c>
      <c r="AY19" s="519">
        <v>3617.74</v>
      </c>
      <c r="AZ19" s="519">
        <f t="shared" si="3"/>
        <v>2727637.0354650002</v>
      </c>
      <c r="BA19" s="521">
        <f t="shared" si="4"/>
        <v>1</v>
      </c>
      <c r="BB19" s="519">
        <f t="shared" si="5"/>
        <v>2727637.0354650002</v>
      </c>
      <c r="BC19" s="519">
        <v>5264.51</v>
      </c>
      <c r="BD19" s="519">
        <f t="shared" si="6"/>
        <v>-40</v>
      </c>
      <c r="BE19" s="519">
        <f t="shared" si="7"/>
        <v>5224.51</v>
      </c>
      <c r="BF19" s="513" t="s">
        <v>1771</v>
      </c>
      <c r="BG19" s="514" t="s">
        <v>1771</v>
      </c>
      <c r="BH19" s="510" t="s">
        <v>1771</v>
      </c>
      <c r="BI19" s="628"/>
    </row>
    <row r="20" spans="1:61" s="523" customFormat="1" ht="144">
      <c r="A20" s="538" t="s">
        <v>5311</v>
      </c>
      <c r="B20" s="507" t="s">
        <v>3042</v>
      </c>
      <c r="C20" s="507" t="s">
        <v>3774</v>
      </c>
      <c r="D20" s="508" t="s">
        <v>4814</v>
      </c>
      <c r="E20" s="505" t="s">
        <v>4812</v>
      </c>
      <c r="F20" s="505" t="s">
        <v>4813</v>
      </c>
      <c r="G20" s="509" t="s">
        <v>4816</v>
      </c>
      <c r="H20" s="507" t="s">
        <v>4815</v>
      </c>
      <c r="I20" s="510" t="s">
        <v>1771</v>
      </c>
      <c r="J20" s="510">
        <v>1</v>
      </c>
      <c r="K20" s="507">
        <f>15+7+10+15</f>
        <v>47</v>
      </c>
      <c r="L20" s="507">
        <f>2063+519+1263+1992.5</f>
        <v>5837.5</v>
      </c>
      <c r="M20" s="511">
        <v>44550</v>
      </c>
      <c r="N20" s="511">
        <v>44551</v>
      </c>
      <c r="O20" s="511">
        <v>44551</v>
      </c>
      <c r="P20" s="511">
        <v>44584</v>
      </c>
      <c r="Q20" s="511">
        <v>44594</v>
      </c>
      <c r="R20" s="512" t="s">
        <v>4975</v>
      </c>
      <c r="S20" s="515" t="s">
        <v>3752</v>
      </c>
      <c r="T20" s="510" t="s">
        <v>4574</v>
      </c>
      <c r="U20" s="516" t="s">
        <v>3031</v>
      </c>
      <c r="V20" s="359">
        <v>44582</v>
      </c>
      <c r="W20" s="510" t="s">
        <v>3337</v>
      </c>
      <c r="X20" s="510" t="s">
        <v>3406</v>
      </c>
      <c r="Y20" s="511">
        <v>44585</v>
      </c>
      <c r="Z20" s="510" t="s">
        <v>3252</v>
      </c>
      <c r="AA20" s="510" t="s">
        <v>3982</v>
      </c>
      <c r="AB20" s="510" t="s">
        <v>4950</v>
      </c>
      <c r="AC20" s="510" t="s">
        <v>2146</v>
      </c>
      <c r="AD20" s="511">
        <v>44589</v>
      </c>
      <c r="AE20" s="515">
        <v>3629.5563000000002</v>
      </c>
      <c r="AF20" s="507" t="s">
        <v>3359</v>
      </c>
      <c r="AG20" s="510" t="s">
        <v>3108</v>
      </c>
      <c r="AH20" s="517">
        <v>50233.09</v>
      </c>
      <c r="AI20" s="517">
        <v>3429</v>
      </c>
      <c r="AJ20" s="517">
        <v>4</v>
      </c>
      <c r="AK20" s="517">
        <f t="shared" ref="AK20:AK21" si="17">SUM(AH20:AJ20)</f>
        <v>53666.09</v>
      </c>
      <c r="AL20" s="518">
        <v>5.3811999999999998</v>
      </c>
      <c r="AM20" s="519">
        <f t="shared" si="1"/>
        <v>288787.96350799996</v>
      </c>
      <c r="AN20" s="519">
        <v>0</v>
      </c>
      <c r="AO20" s="510">
        <v>7</v>
      </c>
      <c r="AP20" s="519">
        <v>20792.740000000002</v>
      </c>
      <c r="AQ20" s="519">
        <v>30958.03</v>
      </c>
      <c r="AR20" s="519">
        <v>6064.54</v>
      </c>
      <c r="AS20" s="519">
        <v>27868.03</v>
      </c>
      <c r="AT20" s="519">
        <v>76516.09</v>
      </c>
      <c r="AU20" s="519">
        <v>4728.3500000000004</v>
      </c>
      <c r="AV20" s="519">
        <v>331.62</v>
      </c>
      <c r="AW20" s="510" t="s">
        <v>3139</v>
      </c>
      <c r="AX20" s="520">
        <f t="shared" si="2"/>
        <v>44594</v>
      </c>
      <c r="AY20" s="519">
        <v>1576.77</v>
      </c>
      <c r="AZ20" s="519">
        <f t="shared" si="3"/>
        <v>433181.94526199996</v>
      </c>
      <c r="BA20" s="521">
        <f t="shared" si="4"/>
        <v>1</v>
      </c>
      <c r="BB20" s="519">
        <f t="shared" si="5"/>
        <v>433181.94526199996</v>
      </c>
      <c r="BC20" s="519">
        <v>5308.14</v>
      </c>
      <c r="BD20" s="519">
        <f t="shared" si="6"/>
        <v>-30</v>
      </c>
      <c r="BE20" s="519">
        <f t="shared" si="7"/>
        <v>5278.14</v>
      </c>
      <c r="BF20" s="513" t="s">
        <v>1771</v>
      </c>
      <c r="BG20" s="514" t="s">
        <v>1771</v>
      </c>
      <c r="BH20" s="510" t="s">
        <v>1771</v>
      </c>
      <c r="BI20" s="628"/>
    </row>
    <row r="21" spans="1:61" s="523" customFormat="1" ht="144">
      <c r="A21" s="538" t="s">
        <v>5312</v>
      </c>
      <c r="B21" s="507" t="s">
        <v>3042</v>
      </c>
      <c r="C21" s="507" t="s">
        <v>3774</v>
      </c>
      <c r="D21" s="508" t="s">
        <v>4819</v>
      </c>
      <c r="E21" s="505" t="s">
        <v>4817</v>
      </c>
      <c r="F21" s="505" t="s">
        <v>4818</v>
      </c>
      <c r="G21" s="509" t="s">
        <v>4820</v>
      </c>
      <c r="H21" s="507" t="s">
        <v>4815</v>
      </c>
      <c r="I21" s="510" t="s">
        <v>1771</v>
      </c>
      <c r="J21" s="510">
        <v>1</v>
      </c>
      <c r="K21" s="507">
        <f>1+9+9+9</f>
        <v>28</v>
      </c>
      <c r="L21" s="507">
        <f>1.34+613.5+564.5+548</f>
        <v>1727.3400000000001</v>
      </c>
      <c r="M21" s="511">
        <v>44550</v>
      </c>
      <c r="N21" s="511">
        <v>44551</v>
      </c>
      <c r="O21" s="511">
        <v>44551</v>
      </c>
      <c r="P21" s="511">
        <v>44584</v>
      </c>
      <c r="Q21" s="511">
        <v>44594</v>
      </c>
      <c r="R21" s="512" t="s">
        <v>4974</v>
      </c>
      <c r="S21" s="515" t="s">
        <v>3752</v>
      </c>
      <c r="T21" s="510" t="s">
        <v>4574</v>
      </c>
      <c r="U21" s="516" t="s">
        <v>3031</v>
      </c>
      <c r="V21" s="359">
        <v>44582</v>
      </c>
      <c r="W21" s="510" t="s">
        <v>3337</v>
      </c>
      <c r="X21" s="510" t="s">
        <v>3406</v>
      </c>
      <c r="Y21" s="511">
        <v>44585</v>
      </c>
      <c r="Z21" s="510" t="s">
        <v>3252</v>
      </c>
      <c r="AA21" s="510" t="s">
        <v>3982</v>
      </c>
      <c r="AB21" s="510" t="s">
        <v>4951</v>
      </c>
      <c r="AC21" s="510" t="s">
        <v>2146</v>
      </c>
      <c r="AD21" s="511">
        <v>44589</v>
      </c>
      <c r="AE21" s="515">
        <v>1009.1292999999999</v>
      </c>
      <c r="AF21" s="507" t="s">
        <v>3256</v>
      </c>
      <c r="AG21" s="510" t="s">
        <v>3108</v>
      </c>
      <c r="AH21" s="517">
        <v>6394.08</v>
      </c>
      <c r="AI21" s="517">
        <v>3429</v>
      </c>
      <c r="AJ21" s="517">
        <v>4</v>
      </c>
      <c r="AK21" s="517">
        <f t="shared" si="17"/>
        <v>9827.08</v>
      </c>
      <c r="AL21" s="518">
        <v>5.3811999999999998</v>
      </c>
      <c r="AM21" s="519">
        <f t="shared" si="1"/>
        <v>52881.482895999994</v>
      </c>
      <c r="AN21" s="519">
        <v>0</v>
      </c>
      <c r="AO21" s="510">
        <v>3</v>
      </c>
      <c r="AP21" s="519">
        <v>5141.46</v>
      </c>
      <c r="AQ21" s="519">
        <v>6821.38</v>
      </c>
      <c r="AR21" s="519">
        <v>1110.51</v>
      </c>
      <c r="AS21" s="519">
        <v>5103.05</v>
      </c>
      <c r="AT21" s="519">
        <v>15187.7</v>
      </c>
      <c r="AU21" s="519">
        <v>4728.3500000000004</v>
      </c>
      <c r="AV21" s="519">
        <v>223.64</v>
      </c>
      <c r="AW21" s="510" t="s">
        <v>3139</v>
      </c>
      <c r="AX21" s="520">
        <f t="shared" si="2"/>
        <v>44594</v>
      </c>
      <c r="AY21" s="519">
        <v>1576.77</v>
      </c>
      <c r="AZ21" s="519">
        <f t="shared" si="3"/>
        <v>79322.224343999987</v>
      </c>
      <c r="BA21" s="521">
        <f t="shared" si="4"/>
        <v>1</v>
      </c>
      <c r="BB21" s="519">
        <f t="shared" si="5"/>
        <v>79322.224343999987</v>
      </c>
      <c r="BC21" s="519">
        <v>5308.14</v>
      </c>
      <c r="BD21" s="519">
        <f t="shared" si="6"/>
        <v>-70</v>
      </c>
      <c r="BE21" s="519">
        <f t="shared" si="7"/>
        <v>5238.1400000000003</v>
      </c>
      <c r="BF21" s="513" t="s">
        <v>1771</v>
      </c>
      <c r="BG21" s="514" t="s">
        <v>1771</v>
      </c>
      <c r="BH21" s="510" t="s">
        <v>1771</v>
      </c>
      <c r="BI21" s="628"/>
    </row>
    <row r="22" spans="1:61" s="523" customFormat="1" ht="144">
      <c r="A22" s="538" t="s">
        <v>5333</v>
      </c>
      <c r="B22" s="507" t="s">
        <v>3042</v>
      </c>
      <c r="C22" s="507" t="s">
        <v>3774</v>
      </c>
      <c r="D22" s="508" t="s">
        <v>4841</v>
      </c>
      <c r="E22" s="505" t="s">
        <v>4838</v>
      </c>
      <c r="F22" s="505" t="s">
        <v>4839</v>
      </c>
      <c r="G22" s="509" t="s">
        <v>4843</v>
      </c>
      <c r="H22" s="507" t="s">
        <v>4842</v>
      </c>
      <c r="I22" s="510">
        <v>1</v>
      </c>
      <c r="J22" s="510">
        <v>1</v>
      </c>
      <c r="K22" s="507">
        <f>7+9+9+5+9</f>
        <v>39</v>
      </c>
      <c r="L22" s="507">
        <f>399.72+552+578.5+681.5+584</f>
        <v>2795.7200000000003</v>
      </c>
      <c r="M22" s="511"/>
      <c r="N22" s="511"/>
      <c r="O22" s="511"/>
      <c r="P22" s="511">
        <v>44588</v>
      </c>
      <c r="Q22" s="511">
        <v>44600</v>
      </c>
      <c r="R22" s="512" t="s">
        <v>4976</v>
      </c>
      <c r="S22" s="515" t="s">
        <v>3752</v>
      </c>
      <c r="T22" s="510" t="s">
        <v>3128</v>
      </c>
      <c r="U22" s="516" t="s">
        <v>3031</v>
      </c>
      <c r="V22" s="359">
        <v>44582</v>
      </c>
      <c r="W22" s="510" t="s">
        <v>3337</v>
      </c>
      <c r="X22" s="510" t="s">
        <v>3406</v>
      </c>
      <c r="Y22" s="511">
        <v>44592</v>
      </c>
      <c r="Z22" s="510" t="s">
        <v>3252</v>
      </c>
      <c r="AA22" s="510" t="s">
        <v>3982</v>
      </c>
      <c r="AB22" s="510" t="s">
        <v>4964</v>
      </c>
      <c r="AC22" s="510" t="s">
        <v>2146</v>
      </c>
      <c r="AD22" s="511">
        <v>44594</v>
      </c>
      <c r="AE22" s="515">
        <v>1799.0590999999999</v>
      </c>
      <c r="AF22" s="507" t="s">
        <v>4840</v>
      </c>
      <c r="AG22" s="510" t="s">
        <v>3108</v>
      </c>
      <c r="AH22" s="517">
        <v>8100.26</v>
      </c>
      <c r="AI22" s="517">
        <v>6584</v>
      </c>
      <c r="AJ22" s="517">
        <v>5</v>
      </c>
      <c r="AK22" s="517">
        <f t="shared" ref="AK22:AK26" si="18">SUM(AH22:AJ22)</f>
        <v>14689.26</v>
      </c>
      <c r="AL22" s="518">
        <v>5.2809999999999997</v>
      </c>
      <c r="AM22" s="519">
        <f t="shared" ref="AM22:AM26" si="19">AK22*AL22</f>
        <v>77573.982059999995</v>
      </c>
      <c r="AN22" s="519">
        <v>0</v>
      </c>
      <c r="AO22" s="510">
        <v>10</v>
      </c>
      <c r="AP22" s="519">
        <v>7818.17</v>
      </c>
      <c r="AQ22" s="519">
        <v>9907.5400000000009</v>
      </c>
      <c r="AR22" s="519">
        <v>1629.06</v>
      </c>
      <c r="AS22" s="519">
        <v>7485.87</v>
      </c>
      <c r="AT22" s="519">
        <v>22787.54</v>
      </c>
      <c r="AU22" s="519">
        <v>8902.02</v>
      </c>
      <c r="AV22" s="519">
        <v>401.04</v>
      </c>
      <c r="AW22" s="510" t="s">
        <v>3139</v>
      </c>
      <c r="AX22" s="520">
        <f t="shared" ref="AX22:AX26" si="20">Q22</f>
        <v>44600</v>
      </c>
      <c r="AY22" s="519">
        <v>3153.54</v>
      </c>
      <c r="AZ22" s="519">
        <f t="shared" ref="AZ22:AZ26" si="21">(AM22*50%)+AM22</f>
        <v>116360.97308999998</v>
      </c>
      <c r="BA22" s="521">
        <f t="shared" ref="BA22:BA26" si="22">SUM(I22:J22)</f>
        <v>2</v>
      </c>
      <c r="BB22" s="519">
        <f t="shared" ref="BB22:BB26" si="23">AZ22/BA22</f>
        <v>58180.486544999992</v>
      </c>
      <c r="BC22" s="519">
        <v>9481.81</v>
      </c>
      <c r="BD22" s="519">
        <f t="shared" ref="BD22:BD26" si="24">(AO22-10)*10</f>
        <v>0</v>
      </c>
      <c r="BE22" s="519">
        <f t="shared" si="7"/>
        <v>9481.81</v>
      </c>
      <c r="BF22" s="513" t="s">
        <v>1771</v>
      </c>
      <c r="BG22" s="514" t="s">
        <v>1771</v>
      </c>
      <c r="BH22" s="510" t="s">
        <v>1771</v>
      </c>
      <c r="BI22" s="628"/>
    </row>
    <row r="23" spans="1:61" s="523" customFormat="1" ht="132">
      <c r="A23" s="538" t="s">
        <v>5518</v>
      </c>
      <c r="B23" s="507" t="s">
        <v>3042</v>
      </c>
      <c r="C23" s="507" t="s">
        <v>3774</v>
      </c>
      <c r="D23" s="508" t="s">
        <v>4848</v>
      </c>
      <c r="E23" s="505" t="s">
        <v>4846</v>
      </c>
      <c r="F23" s="505" t="s">
        <v>4847</v>
      </c>
      <c r="G23" s="509" t="s">
        <v>4849</v>
      </c>
      <c r="H23" s="507" t="s">
        <v>4842</v>
      </c>
      <c r="I23" s="510" t="s">
        <v>1771</v>
      </c>
      <c r="J23" s="510">
        <v>1</v>
      </c>
      <c r="K23" s="507">
        <f>2+9+2+15+1</f>
        <v>29</v>
      </c>
      <c r="L23" s="507">
        <f>310.5+607.5+129+2107+0.92</f>
        <v>3154.92</v>
      </c>
      <c r="M23" s="511">
        <v>44565</v>
      </c>
      <c r="N23" s="511">
        <v>44557</v>
      </c>
      <c r="O23" s="511">
        <v>44557</v>
      </c>
      <c r="P23" s="511">
        <v>44588</v>
      </c>
      <c r="Q23" s="511">
        <v>44600</v>
      </c>
      <c r="R23" s="512" t="s">
        <v>4977</v>
      </c>
      <c r="S23" s="515" t="s">
        <v>3752</v>
      </c>
      <c r="T23" s="510" t="s">
        <v>3128</v>
      </c>
      <c r="U23" s="516" t="s">
        <v>3031</v>
      </c>
      <c r="V23" s="359">
        <v>44589</v>
      </c>
      <c r="W23" s="510" t="s">
        <v>3337</v>
      </c>
      <c r="X23" s="510" t="s">
        <v>3406</v>
      </c>
      <c r="Y23" s="511">
        <v>44592</v>
      </c>
      <c r="Z23" s="510" t="s">
        <v>3252</v>
      </c>
      <c r="AA23" s="510" t="s">
        <v>3982</v>
      </c>
      <c r="AB23" s="510" t="s">
        <v>4969</v>
      </c>
      <c r="AC23" s="510" t="s">
        <v>2146</v>
      </c>
      <c r="AD23" s="511">
        <v>44595</v>
      </c>
      <c r="AE23" s="515">
        <v>1976.3757000000001</v>
      </c>
      <c r="AF23" s="507" t="s">
        <v>4556</v>
      </c>
      <c r="AG23" s="510" t="s">
        <v>3108</v>
      </c>
      <c r="AH23" s="517">
        <v>15074.04</v>
      </c>
      <c r="AI23" s="517">
        <v>3429</v>
      </c>
      <c r="AJ23" s="517">
        <v>5</v>
      </c>
      <c r="AK23" s="517">
        <f t="shared" si="18"/>
        <v>18508.04</v>
      </c>
      <c r="AL23" s="518">
        <v>5.2956000000000003</v>
      </c>
      <c r="AM23" s="519">
        <f t="shared" si="19"/>
        <v>98011.176624000014</v>
      </c>
      <c r="AN23" s="519">
        <v>0</v>
      </c>
      <c r="AO23" s="510">
        <v>5</v>
      </c>
      <c r="AP23" s="519">
        <v>7833.62</v>
      </c>
      <c r="AQ23" s="519">
        <v>11217.2</v>
      </c>
      <c r="AR23" s="519">
        <v>2058.2199999999998</v>
      </c>
      <c r="AS23" s="519">
        <v>9458.07</v>
      </c>
      <c r="AT23" s="519">
        <v>26776.78</v>
      </c>
      <c r="AU23" s="519">
        <v>4560.8500000000004</v>
      </c>
      <c r="AV23" s="519">
        <v>285.33999999999997</v>
      </c>
      <c r="AW23" s="510" t="s">
        <v>3139</v>
      </c>
      <c r="AX23" s="520">
        <f t="shared" si="20"/>
        <v>44600</v>
      </c>
      <c r="AY23" s="519">
        <v>1576.77</v>
      </c>
      <c r="AZ23" s="519">
        <f t="shared" si="21"/>
        <v>147016.76493600002</v>
      </c>
      <c r="BA23" s="521">
        <f t="shared" si="22"/>
        <v>1</v>
      </c>
      <c r="BB23" s="519">
        <f t="shared" si="23"/>
        <v>147016.76493600002</v>
      </c>
      <c r="BC23" s="519">
        <v>5140.6400000000003</v>
      </c>
      <c r="BD23" s="519">
        <f t="shared" si="24"/>
        <v>-50</v>
      </c>
      <c r="BE23" s="519">
        <f t="shared" si="7"/>
        <v>5090.6400000000003</v>
      </c>
      <c r="BF23" s="513" t="s">
        <v>1771</v>
      </c>
      <c r="BG23" s="514" t="s">
        <v>1771</v>
      </c>
      <c r="BH23" s="510" t="s">
        <v>1771</v>
      </c>
      <c r="BI23" s="628"/>
    </row>
    <row r="24" spans="1:61" s="523" customFormat="1" ht="144">
      <c r="A24" s="538" t="s">
        <v>5334</v>
      </c>
      <c r="B24" s="507" t="s">
        <v>3042</v>
      </c>
      <c r="C24" s="507" t="s">
        <v>3774</v>
      </c>
      <c r="D24" s="508" t="s">
        <v>4856</v>
      </c>
      <c r="E24" s="505" t="s">
        <v>4854</v>
      </c>
      <c r="F24" s="505" t="s">
        <v>4855</v>
      </c>
      <c r="G24" s="509" t="s">
        <v>4857</v>
      </c>
      <c r="H24" s="507" t="s">
        <v>4842</v>
      </c>
      <c r="I24" s="510" t="s">
        <v>1771</v>
      </c>
      <c r="J24" s="510">
        <v>1</v>
      </c>
      <c r="K24" s="507">
        <f>5+2+14+12+28+2</f>
        <v>63</v>
      </c>
      <c r="L24" s="507">
        <f>647+126.5+863.08+280.39+592.39+8.04</f>
        <v>2517.3999999999996</v>
      </c>
      <c r="M24" s="511">
        <v>44565</v>
      </c>
      <c r="N24" s="511">
        <v>44560</v>
      </c>
      <c r="O24" s="511">
        <v>44560</v>
      </c>
      <c r="P24" s="511">
        <v>44588</v>
      </c>
      <c r="Q24" s="511">
        <v>44600</v>
      </c>
      <c r="R24" s="512" t="s">
        <v>4978</v>
      </c>
      <c r="S24" s="515" t="s">
        <v>3752</v>
      </c>
      <c r="T24" s="510" t="s">
        <v>3128</v>
      </c>
      <c r="U24" s="516" t="s">
        <v>3031</v>
      </c>
      <c r="V24" s="359">
        <v>44589</v>
      </c>
      <c r="W24" s="510" t="s">
        <v>3337</v>
      </c>
      <c r="X24" s="510" t="s">
        <v>3406</v>
      </c>
      <c r="Y24" s="511">
        <v>44592</v>
      </c>
      <c r="Z24" s="510" t="s">
        <v>3252</v>
      </c>
      <c r="AA24" s="510" t="s">
        <v>3982</v>
      </c>
      <c r="AB24" s="510" t="s">
        <v>4970</v>
      </c>
      <c r="AC24" s="510" t="s">
        <v>2146</v>
      </c>
      <c r="AD24" s="511">
        <v>44595</v>
      </c>
      <c r="AE24" s="515">
        <v>1401.8932</v>
      </c>
      <c r="AF24" s="507" t="s">
        <v>4409</v>
      </c>
      <c r="AG24" s="510" t="s">
        <v>3108</v>
      </c>
      <c r="AH24" s="517">
        <v>111393.24</v>
      </c>
      <c r="AI24" s="517">
        <v>3429</v>
      </c>
      <c r="AJ24" s="517">
        <v>6</v>
      </c>
      <c r="AK24" s="517">
        <f t="shared" si="18"/>
        <v>114828.24</v>
      </c>
      <c r="AL24" s="518">
        <v>5.2956000000000003</v>
      </c>
      <c r="AM24" s="519">
        <f t="shared" si="19"/>
        <v>608084.4277440001</v>
      </c>
      <c r="AN24" s="519">
        <v>0</v>
      </c>
      <c r="AO24" s="510">
        <v>17</v>
      </c>
      <c r="AP24" s="519">
        <v>51351.78</v>
      </c>
      <c r="AQ24" s="519">
        <v>87057.58</v>
      </c>
      <c r="AR24" s="519">
        <v>12769.75</v>
      </c>
      <c r="AS24" s="519">
        <v>58680.13</v>
      </c>
      <c r="AT24" s="519">
        <v>137948.93</v>
      </c>
      <c r="AU24" s="519">
        <v>4560.8500000000004</v>
      </c>
      <c r="AV24" s="519">
        <v>508.98</v>
      </c>
      <c r="AW24" s="510" t="s">
        <v>3139</v>
      </c>
      <c r="AX24" s="520">
        <f t="shared" si="20"/>
        <v>44600</v>
      </c>
      <c r="AY24" s="519">
        <v>1836.85</v>
      </c>
      <c r="AZ24" s="519">
        <f t="shared" si="21"/>
        <v>912126.6416160001</v>
      </c>
      <c r="BA24" s="521">
        <f t="shared" si="22"/>
        <v>1</v>
      </c>
      <c r="BB24" s="519">
        <f t="shared" si="23"/>
        <v>912126.6416160001</v>
      </c>
      <c r="BC24" s="519">
        <v>5236.54</v>
      </c>
      <c r="BD24" s="519">
        <f t="shared" si="24"/>
        <v>70</v>
      </c>
      <c r="BE24" s="519">
        <f t="shared" si="7"/>
        <v>5306.54</v>
      </c>
      <c r="BF24" s="513" t="s">
        <v>1771</v>
      </c>
      <c r="BG24" s="514" t="s">
        <v>1771</v>
      </c>
      <c r="BH24" s="510" t="s">
        <v>1771</v>
      </c>
      <c r="BI24" s="628"/>
    </row>
    <row r="25" spans="1:61" s="523" customFormat="1" ht="144">
      <c r="A25" s="538" t="s">
        <v>5335</v>
      </c>
      <c r="B25" s="507" t="s">
        <v>3042</v>
      </c>
      <c r="C25" s="507" t="s">
        <v>3774</v>
      </c>
      <c r="D25" s="508" t="s">
        <v>4852</v>
      </c>
      <c r="E25" s="505" t="s">
        <v>4850</v>
      </c>
      <c r="F25" s="505" t="s">
        <v>4851</v>
      </c>
      <c r="G25" s="509" t="s">
        <v>4853</v>
      </c>
      <c r="H25" s="507" t="s">
        <v>4842</v>
      </c>
      <c r="I25" s="510" t="s">
        <v>1771</v>
      </c>
      <c r="J25" s="510">
        <v>1</v>
      </c>
      <c r="K25" s="507">
        <f>1+1+5+9+9</f>
        <v>25</v>
      </c>
      <c r="L25" s="507">
        <f>64.5+29.2+1039+557.5+580</f>
        <v>2270.1999999999998</v>
      </c>
      <c r="M25" s="511">
        <v>44565</v>
      </c>
      <c r="N25" s="511">
        <v>44555</v>
      </c>
      <c r="O25" s="511">
        <v>44555</v>
      </c>
      <c r="P25" s="511">
        <v>44588</v>
      </c>
      <c r="Q25" s="511">
        <v>44601</v>
      </c>
      <c r="R25" s="512" t="s">
        <v>4982</v>
      </c>
      <c r="S25" s="515" t="s">
        <v>3752</v>
      </c>
      <c r="T25" s="510" t="s">
        <v>3128</v>
      </c>
      <c r="U25" s="516" t="s">
        <v>3031</v>
      </c>
      <c r="V25" s="359">
        <v>44589</v>
      </c>
      <c r="W25" s="510" t="s">
        <v>3337</v>
      </c>
      <c r="X25" s="510" t="s">
        <v>3406</v>
      </c>
      <c r="Y25" s="511">
        <v>44592</v>
      </c>
      <c r="Z25" s="510" t="s">
        <v>3252</v>
      </c>
      <c r="AA25" s="510" t="s">
        <v>3982</v>
      </c>
      <c r="AB25" s="510" t="s">
        <v>4965</v>
      </c>
      <c r="AC25" s="510" t="s">
        <v>2146</v>
      </c>
      <c r="AD25" s="511">
        <v>44594</v>
      </c>
      <c r="AE25" s="515">
        <v>1600.8</v>
      </c>
      <c r="AF25" s="507" t="s">
        <v>3359</v>
      </c>
      <c r="AG25" s="510" t="s">
        <v>3108</v>
      </c>
      <c r="AH25" s="517">
        <v>24849.64</v>
      </c>
      <c r="AI25" s="517">
        <v>3429</v>
      </c>
      <c r="AJ25" s="517">
        <v>5</v>
      </c>
      <c r="AK25" s="517">
        <f t="shared" si="18"/>
        <v>28283.64</v>
      </c>
      <c r="AL25" s="518">
        <v>5.2809999999999997</v>
      </c>
      <c r="AM25" s="519">
        <f t="shared" si="19"/>
        <v>149365.90284</v>
      </c>
      <c r="AN25" s="519">
        <v>0</v>
      </c>
      <c r="AO25" s="510">
        <v>5</v>
      </c>
      <c r="AP25" s="519">
        <v>2728.94</v>
      </c>
      <c r="AQ25" s="519">
        <v>16193.06</v>
      </c>
      <c r="AR25" s="519">
        <v>3136.68</v>
      </c>
      <c r="AS25" s="519">
        <v>14413.8</v>
      </c>
      <c r="AT25" s="519">
        <v>38321.79</v>
      </c>
      <c r="AU25" s="519">
        <v>4646.3999999999996</v>
      </c>
      <c r="AV25" s="519">
        <v>285.33999999999997</v>
      </c>
      <c r="AW25" s="510" t="s">
        <v>3139</v>
      </c>
      <c r="AX25" s="520">
        <f t="shared" si="20"/>
        <v>44601</v>
      </c>
      <c r="AY25" s="519">
        <v>1576.77</v>
      </c>
      <c r="AZ25" s="519">
        <f t="shared" si="21"/>
        <v>224048.85425999999</v>
      </c>
      <c r="BA25" s="521">
        <f t="shared" si="22"/>
        <v>1</v>
      </c>
      <c r="BB25" s="519">
        <f t="shared" si="23"/>
        <v>224048.85425999999</v>
      </c>
      <c r="BC25" s="519">
        <v>5226.1899999999996</v>
      </c>
      <c r="BD25" s="519">
        <f t="shared" si="24"/>
        <v>-50</v>
      </c>
      <c r="BE25" s="519">
        <f t="shared" si="7"/>
        <v>5176.1899999999996</v>
      </c>
      <c r="BF25" s="513" t="s">
        <v>1771</v>
      </c>
      <c r="BG25" s="514" t="s">
        <v>1771</v>
      </c>
      <c r="BH25" s="510" t="s">
        <v>1771</v>
      </c>
      <c r="BI25" s="628"/>
    </row>
    <row r="26" spans="1:61" s="523" customFormat="1" ht="156">
      <c r="A26" s="538" t="s">
        <v>5336</v>
      </c>
      <c r="B26" s="507" t="s">
        <v>3042</v>
      </c>
      <c r="C26" s="507" t="s">
        <v>3774</v>
      </c>
      <c r="D26" s="508" t="s">
        <v>4861</v>
      </c>
      <c r="E26" s="505" t="s">
        <v>4858</v>
      </c>
      <c r="F26" s="505" t="s">
        <v>4859</v>
      </c>
      <c r="G26" s="509" t="s">
        <v>4862</v>
      </c>
      <c r="H26" s="507" t="s">
        <v>4842</v>
      </c>
      <c r="I26" s="510" t="s">
        <v>1771</v>
      </c>
      <c r="J26" s="510">
        <v>2</v>
      </c>
      <c r="K26" s="507">
        <f>6+6+1+6+6+9+9+2</f>
        <v>45</v>
      </c>
      <c r="L26" s="507">
        <f>365+363.5+35.5+365+381+595+579+72.38</f>
        <v>2756.38</v>
      </c>
      <c r="M26" s="511">
        <v>44565</v>
      </c>
      <c r="N26" s="511">
        <v>44559</v>
      </c>
      <c r="O26" s="511">
        <v>44559</v>
      </c>
      <c r="P26" s="511">
        <v>44588</v>
      </c>
      <c r="Q26" s="511">
        <v>44601</v>
      </c>
      <c r="R26" s="512" t="s">
        <v>4983</v>
      </c>
      <c r="S26" s="515" t="s">
        <v>3752</v>
      </c>
      <c r="T26" s="510" t="s">
        <v>3128</v>
      </c>
      <c r="U26" s="516" t="s">
        <v>3031</v>
      </c>
      <c r="V26" s="359">
        <v>44589</v>
      </c>
      <c r="W26" s="510" t="s">
        <v>3337</v>
      </c>
      <c r="X26" s="510" t="s">
        <v>3406</v>
      </c>
      <c r="Y26" s="511">
        <v>44592</v>
      </c>
      <c r="Z26" s="510" t="s">
        <v>3252</v>
      </c>
      <c r="AA26" s="510" t="s">
        <v>3982</v>
      </c>
      <c r="AB26" s="510" t="s">
        <v>4971</v>
      </c>
      <c r="AC26" s="510" t="s">
        <v>2146</v>
      </c>
      <c r="AD26" s="511">
        <v>44595</v>
      </c>
      <c r="AE26" s="515">
        <v>1683.61</v>
      </c>
      <c r="AF26" s="507" t="s">
        <v>4860</v>
      </c>
      <c r="AG26" s="510" t="s">
        <v>3108</v>
      </c>
      <c r="AH26" s="517">
        <v>5595.63</v>
      </c>
      <c r="AI26" s="517">
        <v>6858</v>
      </c>
      <c r="AJ26" s="517">
        <v>8</v>
      </c>
      <c r="AK26" s="517">
        <f t="shared" si="18"/>
        <v>12461.630000000001</v>
      </c>
      <c r="AL26" s="518">
        <v>5.2956000000000003</v>
      </c>
      <c r="AM26" s="519">
        <f t="shared" si="19"/>
        <v>65991.807828000005</v>
      </c>
      <c r="AN26" s="519">
        <v>0</v>
      </c>
      <c r="AO26" s="510">
        <v>4</v>
      </c>
      <c r="AP26" s="519">
        <v>8971.74</v>
      </c>
      <c r="AQ26" s="519">
        <v>11168.84</v>
      </c>
      <c r="AR26" s="519">
        <v>1385.82</v>
      </c>
      <c r="AS26" s="519">
        <v>6368.22</v>
      </c>
      <c r="AT26" s="519">
        <v>17675.12</v>
      </c>
      <c r="AU26" s="519">
        <v>9100.5</v>
      </c>
      <c r="AV26" s="519">
        <v>254.49</v>
      </c>
      <c r="AW26" s="510" t="s">
        <v>3139</v>
      </c>
      <c r="AX26" s="520">
        <f t="shared" si="20"/>
        <v>44601</v>
      </c>
      <c r="AY26" s="519">
        <v>4553.07</v>
      </c>
      <c r="AZ26" s="519">
        <f t="shared" si="21"/>
        <v>98987.711742000014</v>
      </c>
      <c r="BA26" s="521">
        <f t="shared" si="22"/>
        <v>2</v>
      </c>
      <c r="BB26" s="519">
        <f t="shared" si="23"/>
        <v>49493.855871000007</v>
      </c>
      <c r="BC26" s="519">
        <v>9680.2900000000009</v>
      </c>
      <c r="BD26" s="519">
        <f t="shared" si="24"/>
        <v>-60</v>
      </c>
      <c r="BE26" s="519">
        <f t="shared" si="7"/>
        <v>9620.2900000000009</v>
      </c>
      <c r="BF26" s="513" t="s">
        <v>1771</v>
      </c>
      <c r="BG26" s="514" t="s">
        <v>1771</v>
      </c>
      <c r="BH26" s="510" t="s">
        <v>1771</v>
      </c>
      <c r="BI26" s="628"/>
    </row>
    <row r="27" spans="1:61" s="523" customFormat="1" ht="156">
      <c r="A27" s="538" t="s">
        <v>5313</v>
      </c>
      <c r="B27" s="507" t="s">
        <v>3042</v>
      </c>
      <c r="C27" s="507" t="s">
        <v>3774</v>
      </c>
      <c r="D27" s="508" t="s">
        <v>4880</v>
      </c>
      <c r="E27" s="505" t="s">
        <v>4878</v>
      </c>
      <c r="F27" s="505" t="s">
        <v>4879</v>
      </c>
      <c r="G27" s="509" t="s">
        <v>4881</v>
      </c>
      <c r="H27" s="507" t="s">
        <v>4842</v>
      </c>
      <c r="I27" s="510" t="s">
        <v>1771</v>
      </c>
      <c r="J27" s="510">
        <v>1</v>
      </c>
      <c r="K27" s="507">
        <v>38</v>
      </c>
      <c r="L27" s="507">
        <v>3270.2</v>
      </c>
      <c r="M27" s="511">
        <v>44553</v>
      </c>
      <c r="N27" s="511">
        <v>44554</v>
      </c>
      <c r="O27" s="511">
        <v>44554</v>
      </c>
      <c r="P27" s="511">
        <v>44588</v>
      </c>
      <c r="Q27" s="511">
        <v>44601</v>
      </c>
      <c r="R27" s="512" t="s">
        <v>4984</v>
      </c>
      <c r="S27" s="515" t="s">
        <v>3752</v>
      </c>
      <c r="T27" s="510" t="s">
        <v>3128</v>
      </c>
      <c r="U27" s="516" t="s">
        <v>3031</v>
      </c>
      <c r="V27" s="359">
        <v>44582</v>
      </c>
      <c r="W27" s="510" t="s">
        <v>3337</v>
      </c>
      <c r="X27" s="510" t="s">
        <v>3406</v>
      </c>
      <c r="Y27" s="511">
        <v>44591</v>
      </c>
      <c r="Z27" s="510" t="s">
        <v>3252</v>
      </c>
      <c r="AA27" s="510" t="s">
        <v>3982</v>
      </c>
      <c r="AB27" s="510" t="s">
        <v>4966</v>
      </c>
      <c r="AC27" s="510" t="s">
        <v>2146</v>
      </c>
      <c r="AD27" s="511">
        <v>44594</v>
      </c>
      <c r="AE27" s="515">
        <v>2097.1008000000002</v>
      </c>
      <c r="AF27" s="507" t="s">
        <v>3359</v>
      </c>
      <c r="AG27" s="510" t="s">
        <v>3108</v>
      </c>
      <c r="AH27" s="517">
        <v>18202.759999999998</v>
      </c>
      <c r="AI27" s="517">
        <v>3429</v>
      </c>
      <c r="AJ27" s="517">
        <v>5</v>
      </c>
      <c r="AK27" s="517">
        <v>21636.76</v>
      </c>
      <c r="AL27" s="518">
        <v>5.2809999999999997</v>
      </c>
      <c r="AM27" s="519">
        <v>114263.72955999998</v>
      </c>
      <c r="AN27" s="519">
        <v>0</v>
      </c>
      <c r="AO27" s="510">
        <v>9</v>
      </c>
      <c r="AP27" s="519">
        <v>9361.15</v>
      </c>
      <c r="AQ27" s="519">
        <v>13246.54</v>
      </c>
      <c r="AR27" s="519">
        <v>2399.54</v>
      </c>
      <c r="AS27" s="519">
        <v>11026.43</v>
      </c>
      <c r="AT27" s="519">
        <v>31187.19</v>
      </c>
      <c r="AU27" s="519">
        <v>4646.3999999999996</v>
      </c>
      <c r="AV27" s="519">
        <v>377.9</v>
      </c>
      <c r="AW27" s="510" t="s">
        <v>3139</v>
      </c>
      <c r="AX27" s="520">
        <v>44601</v>
      </c>
      <c r="AY27" s="519">
        <v>1576.77</v>
      </c>
      <c r="AZ27" s="519">
        <v>171395.59433999995</v>
      </c>
      <c r="BA27" s="521">
        <v>1</v>
      </c>
      <c r="BB27" s="519">
        <v>171395.59433999995</v>
      </c>
      <c r="BC27" s="519">
        <v>5226.1899999999996</v>
      </c>
      <c r="BD27" s="519">
        <v>-10</v>
      </c>
      <c r="BE27" s="519">
        <f t="shared" si="7"/>
        <v>5216.1899999999996</v>
      </c>
      <c r="BF27" s="513" t="s">
        <v>1771</v>
      </c>
      <c r="BG27" s="514" t="s">
        <v>1771</v>
      </c>
      <c r="BH27" s="510" t="s">
        <v>1771</v>
      </c>
      <c r="BI27" s="628"/>
    </row>
    <row r="28" spans="1:61" s="523" customFormat="1" ht="264">
      <c r="A28" s="538" t="s">
        <v>5332</v>
      </c>
      <c r="B28" s="507" t="s">
        <v>3042</v>
      </c>
      <c r="C28" s="507" t="s">
        <v>3774</v>
      </c>
      <c r="D28" s="508" t="s">
        <v>4876</v>
      </c>
      <c r="E28" s="505" t="s">
        <v>4874</v>
      </c>
      <c r="F28" s="505" t="s">
        <v>4875</v>
      </c>
      <c r="G28" s="509" t="s">
        <v>4877</v>
      </c>
      <c r="H28" s="507" t="s">
        <v>4873</v>
      </c>
      <c r="I28" s="510" t="s">
        <v>1771</v>
      </c>
      <c r="J28" s="510">
        <v>2</v>
      </c>
      <c r="K28" s="507">
        <v>106</v>
      </c>
      <c r="L28" s="507">
        <v>10261.009999999998</v>
      </c>
      <c r="M28" s="511">
        <v>44567</v>
      </c>
      <c r="N28" s="511">
        <v>44568</v>
      </c>
      <c r="O28" s="511">
        <v>44568</v>
      </c>
      <c r="P28" s="511">
        <v>44601</v>
      </c>
      <c r="Q28" s="511">
        <v>44603</v>
      </c>
      <c r="R28" s="512" t="s">
        <v>4985</v>
      </c>
      <c r="S28" s="515" t="s">
        <v>3752</v>
      </c>
      <c r="T28" s="510" t="s">
        <v>3128</v>
      </c>
      <c r="U28" s="516" t="s">
        <v>3031</v>
      </c>
      <c r="V28" s="359">
        <v>44589</v>
      </c>
      <c r="W28" s="510" t="s">
        <v>3337</v>
      </c>
      <c r="X28" s="510" t="s">
        <v>3406</v>
      </c>
      <c r="Y28" s="511">
        <v>44601</v>
      </c>
      <c r="Z28" s="510" t="s">
        <v>3252</v>
      </c>
      <c r="AA28" s="510" t="s">
        <v>3982</v>
      </c>
      <c r="AB28" s="510" t="s">
        <v>4979</v>
      </c>
      <c r="AC28" s="510" t="s">
        <v>2146</v>
      </c>
      <c r="AD28" s="511">
        <v>44601</v>
      </c>
      <c r="AE28" s="515">
        <v>6264.43</v>
      </c>
      <c r="AF28" s="507" t="s">
        <v>3835</v>
      </c>
      <c r="AG28" s="510" t="s">
        <v>3108</v>
      </c>
      <c r="AH28" s="517">
        <v>340132.33</v>
      </c>
      <c r="AI28" s="517">
        <v>22058</v>
      </c>
      <c r="AJ28" s="517">
        <v>22</v>
      </c>
      <c r="AK28" s="517">
        <v>362212.33</v>
      </c>
      <c r="AL28" s="518">
        <v>5.2698999999999998</v>
      </c>
      <c r="AM28" s="519">
        <v>1908822.7578670001</v>
      </c>
      <c r="AN28" s="519">
        <v>0</v>
      </c>
      <c r="AO28" s="510">
        <v>9</v>
      </c>
      <c r="AP28" s="519">
        <v>18497.78</v>
      </c>
      <c r="AQ28" s="519">
        <v>201440.22</v>
      </c>
      <c r="AR28" s="519">
        <v>40085.279999999999</v>
      </c>
      <c r="AS28" s="519">
        <v>184201.39</v>
      </c>
      <c r="AT28" s="519">
        <v>465876.02</v>
      </c>
      <c r="AU28" s="519">
        <v>29082.06</v>
      </c>
      <c r="AV28" s="519">
        <v>377.9</v>
      </c>
      <c r="AW28" s="510" t="s">
        <v>3139</v>
      </c>
      <c r="AX28" s="520">
        <v>44603</v>
      </c>
      <c r="AY28" s="519">
        <v>4213.18</v>
      </c>
      <c r="AZ28" s="519">
        <v>2863234.1368005001</v>
      </c>
      <c r="BA28" s="521">
        <v>2</v>
      </c>
      <c r="BB28" s="519">
        <v>1431617.06840025</v>
      </c>
      <c r="BC28" s="519"/>
      <c r="BD28" s="519">
        <v>-10</v>
      </c>
      <c r="BE28" s="519">
        <f t="shared" si="7"/>
        <v>-10</v>
      </c>
      <c r="BF28" s="513" t="s">
        <v>1771</v>
      </c>
      <c r="BG28" s="514" t="s">
        <v>1771</v>
      </c>
      <c r="BH28" s="510" t="s">
        <v>1771</v>
      </c>
      <c r="BI28" s="628"/>
    </row>
    <row r="29" spans="1:61" s="523" customFormat="1" ht="144">
      <c r="A29" s="538" t="s">
        <v>5331</v>
      </c>
      <c r="B29" s="507" t="s">
        <v>3042</v>
      </c>
      <c r="C29" s="507" t="s">
        <v>3774</v>
      </c>
      <c r="D29" s="508">
        <v>4800016535</v>
      </c>
      <c r="E29" s="505" t="s">
        <v>4870</v>
      </c>
      <c r="F29" s="505" t="s">
        <v>4871</v>
      </c>
      <c r="G29" s="509" t="s">
        <v>4872</v>
      </c>
      <c r="H29" s="507" t="s">
        <v>4873</v>
      </c>
      <c r="I29" s="510" t="s">
        <v>1771</v>
      </c>
      <c r="J29" s="510">
        <v>1</v>
      </c>
      <c r="K29" s="507">
        <f>15+15+15</f>
        <v>45</v>
      </c>
      <c r="L29" s="507">
        <f>1937+1952.5+1927</f>
        <v>5816.5</v>
      </c>
      <c r="M29" s="511">
        <v>44566</v>
      </c>
      <c r="N29" s="511">
        <v>44565</v>
      </c>
      <c r="O29" s="511">
        <v>44565</v>
      </c>
      <c r="P29" s="511">
        <v>44601</v>
      </c>
      <c r="Q29" s="511">
        <v>44606</v>
      </c>
      <c r="R29" s="512" t="s">
        <v>4997</v>
      </c>
      <c r="S29" s="515" t="s">
        <v>3752</v>
      </c>
      <c r="T29" s="510" t="s">
        <v>3128</v>
      </c>
      <c r="U29" s="516" t="s">
        <v>3031</v>
      </c>
      <c r="V29" s="359">
        <v>44589</v>
      </c>
      <c r="W29" s="510" t="s">
        <v>3337</v>
      </c>
      <c r="X29" s="510" t="s">
        <v>3406</v>
      </c>
      <c r="Y29" s="511">
        <v>44601</v>
      </c>
      <c r="Z29" s="510" t="s">
        <v>3252</v>
      </c>
      <c r="AA29" s="510" t="s">
        <v>3982</v>
      </c>
      <c r="AB29" s="510" t="s">
        <v>4980</v>
      </c>
      <c r="AC29" s="510" t="s">
        <v>2146</v>
      </c>
      <c r="AD29" s="511">
        <v>44601</v>
      </c>
      <c r="AE29" s="515">
        <v>3600</v>
      </c>
      <c r="AF29" s="507" t="s">
        <v>3238</v>
      </c>
      <c r="AG29" s="510" t="s">
        <v>3108</v>
      </c>
      <c r="AH29" s="517">
        <v>185300.18</v>
      </c>
      <c r="AI29" s="517">
        <v>11029</v>
      </c>
      <c r="AJ29" s="517">
        <v>3</v>
      </c>
      <c r="AK29" s="517">
        <f t="shared" ref="AK29:AK31" si="25">SUM(AH29:AJ29)</f>
        <v>196332.18</v>
      </c>
      <c r="AL29" s="518">
        <v>5.2698999999999998</v>
      </c>
      <c r="AM29" s="519">
        <f t="shared" ref="AM29:AM88" si="26">AK29*AL29</f>
        <v>1034650.955382</v>
      </c>
      <c r="AN29" s="519">
        <v>0</v>
      </c>
      <c r="AO29" s="510">
        <v>1</v>
      </c>
      <c r="AP29" s="519">
        <v>0</v>
      </c>
      <c r="AQ29" s="519">
        <v>103465.09</v>
      </c>
      <c r="AR29" s="519">
        <v>21727.67</v>
      </c>
      <c r="AS29" s="519">
        <v>99843.82</v>
      </c>
      <c r="AT29" s="519">
        <v>257033.04</v>
      </c>
      <c r="AU29" s="519">
        <v>14551.63</v>
      </c>
      <c r="AV29" s="519">
        <v>154.22999999999999</v>
      </c>
      <c r="AW29" s="510" t="s">
        <v>3139</v>
      </c>
      <c r="AX29" s="520">
        <f t="shared" ref="AX29:AX88" si="27">Q29</f>
        <v>44606</v>
      </c>
      <c r="AY29" s="510"/>
      <c r="AZ29" s="519">
        <f t="shared" ref="AZ29:AZ88" si="28">(AM29*50%)+AM29</f>
        <v>1551976.4330730001</v>
      </c>
      <c r="BA29" s="521">
        <f t="shared" ref="BA29:BA88" si="29">SUM(I29:J29)</f>
        <v>1</v>
      </c>
      <c r="BB29" s="519">
        <f t="shared" ref="BB29:BB88" si="30">AZ29/BA29</f>
        <v>1551976.4330730001</v>
      </c>
      <c r="BC29" s="519"/>
      <c r="BD29" s="519">
        <f t="shared" ref="BD29:BD88" si="31">(AO29-10)*10</f>
        <v>-90</v>
      </c>
      <c r="BE29" s="519">
        <f t="shared" si="7"/>
        <v>-90</v>
      </c>
      <c r="BF29" s="513" t="s">
        <v>1771</v>
      </c>
      <c r="BG29" s="514" t="s">
        <v>1771</v>
      </c>
      <c r="BH29" s="510" t="s">
        <v>1771</v>
      </c>
      <c r="BI29" s="628"/>
    </row>
    <row r="30" spans="1:61" s="523" customFormat="1" ht="144">
      <c r="A30" s="538" t="s">
        <v>5314</v>
      </c>
      <c r="B30" s="507" t="s">
        <v>3042</v>
      </c>
      <c r="C30" s="507" t="s">
        <v>3774</v>
      </c>
      <c r="D30" s="508" t="s">
        <v>4885</v>
      </c>
      <c r="E30" s="505" t="s">
        <v>4883</v>
      </c>
      <c r="F30" s="505" t="s">
        <v>4884</v>
      </c>
      <c r="G30" s="509" t="s">
        <v>4886</v>
      </c>
      <c r="H30" s="507" t="s">
        <v>4887</v>
      </c>
      <c r="I30" s="510">
        <v>1</v>
      </c>
      <c r="J30" s="510" t="s">
        <v>1771</v>
      </c>
      <c r="K30" s="507">
        <f>2+20+1+1+1+1+1+2+1+1</f>
        <v>31</v>
      </c>
      <c r="L30" s="507">
        <f>344.5+3099+39.4+41.4+41+41.2+41.2+8.88+9.74+9.75</f>
        <v>3676.0699999999997</v>
      </c>
      <c r="M30" s="511">
        <v>44572</v>
      </c>
      <c r="N30" s="511">
        <v>44573</v>
      </c>
      <c r="O30" s="511">
        <v>44573</v>
      </c>
      <c r="P30" s="511">
        <v>44604</v>
      </c>
      <c r="Q30" s="511">
        <v>44607</v>
      </c>
      <c r="R30" s="512" t="s">
        <v>4999</v>
      </c>
      <c r="S30" s="515" t="s">
        <v>3752</v>
      </c>
      <c r="T30" s="510" t="s">
        <v>3681</v>
      </c>
      <c r="U30" s="516" t="s">
        <v>3031</v>
      </c>
      <c r="V30" s="359">
        <v>44589</v>
      </c>
      <c r="W30" s="510" t="s">
        <v>3147</v>
      </c>
      <c r="X30" s="510" t="s">
        <v>3147</v>
      </c>
      <c r="Y30" s="511">
        <v>44605</v>
      </c>
      <c r="Z30" s="510" t="s">
        <v>3252</v>
      </c>
      <c r="AA30" s="510" t="s">
        <v>3982</v>
      </c>
      <c r="AB30" s="510" t="s">
        <v>4996</v>
      </c>
      <c r="AC30" s="510" t="s">
        <v>2146</v>
      </c>
      <c r="AD30" s="511">
        <v>44606</v>
      </c>
      <c r="AE30" s="515">
        <v>2515.6007</v>
      </c>
      <c r="AF30" s="507" t="s">
        <v>3857</v>
      </c>
      <c r="AG30" s="510" t="s">
        <v>3108</v>
      </c>
      <c r="AH30" s="517">
        <v>24872.82</v>
      </c>
      <c r="AI30" s="517">
        <v>10370</v>
      </c>
      <c r="AJ30" s="517">
        <v>10</v>
      </c>
      <c r="AK30" s="517">
        <f t="shared" si="25"/>
        <v>35252.82</v>
      </c>
      <c r="AL30" s="518">
        <v>5.1986999999999997</v>
      </c>
      <c r="AM30" s="519">
        <f t="shared" si="26"/>
        <v>183268.83533399997</v>
      </c>
      <c r="AN30" s="519">
        <v>0</v>
      </c>
      <c r="AO30" s="510">
        <v>9</v>
      </c>
      <c r="AP30" s="519">
        <v>13818.15</v>
      </c>
      <c r="AQ30" s="519">
        <v>20205.37</v>
      </c>
      <c r="AR30" s="519">
        <v>3848.65</v>
      </c>
      <c r="AS30" s="519">
        <v>17685.400000000001</v>
      </c>
      <c r="AT30" s="519">
        <v>50266.15</v>
      </c>
      <c r="AU30" s="519">
        <v>13498.82</v>
      </c>
      <c r="AV30" s="519">
        <v>377.9</v>
      </c>
      <c r="AW30" s="510" t="s">
        <v>3139</v>
      </c>
      <c r="AX30" s="520">
        <f t="shared" si="27"/>
        <v>44607</v>
      </c>
      <c r="AY30" s="510"/>
      <c r="AZ30" s="519">
        <f t="shared" si="28"/>
        <v>274903.25300099998</v>
      </c>
      <c r="BA30" s="521">
        <f t="shared" si="29"/>
        <v>1</v>
      </c>
      <c r="BB30" s="519">
        <f t="shared" si="30"/>
        <v>274903.25300099998</v>
      </c>
      <c r="BC30" s="519"/>
      <c r="BD30" s="519">
        <f t="shared" si="31"/>
        <v>-10</v>
      </c>
      <c r="BE30" s="519">
        <f t="shared" si="7"/>
        <v>-10</v>
      </c>
      <c r="BF30" s="513" t="s">
        <v>1771</v>
      </c>
      <c r="BG30" s="514" t="s">
        <v>1771</v>
      </c>
      <c r="BH30" s="510" t="s">
        <v>1771</v>
      </c>
      <c r="BI30" s="628"/>
    </row>
    <row r="31" spans="1:61" s="523" customFormat="1" ht="144">
      <c r="A31" s="538" t="s">
        <v>5315</v>
      </c>
      <c r="B31" s="507" t="s">
        <v>3042</v>
      </c>
      <c r="C31" s="507" t="s">
        <v>3774</v>
      </c>
      <c r="D31" s="508" t="s">
        <v>4890</v>
      </c>
      <c r="E31" s="505" t="s">
        <v>4888</v>
      </c>
      <c r="F31" s="505" t="s">
        <v>4889</v>
      </c>
      <c r="G31" s="509" t="s">
        <v>4891</v>
      </c>
      <c r="H31" s="507" t="s">
        <v>4873</v>
      </c>
      <c r="I31" s="510">
        <v>1</v>
      </c>
      <c r="J31" s="510" t="s">
        <v>1771</v>
      </c>
      <c r="K31" s="507">
        <f>25+1+1+1+1+2+2+2+1+1+1</f>
        <v>38</v>
      </c>
      <c r="L31" s="507">
        <f>3776+41.2+41+41.6+41.6+67.6+67.6+66.6+2.02+2.05+41.2</f>
        <v>4188.47</v>
      </c>
      <c r="M31" s="511">
        <v>44572</v>
      </c>
      <c r="N31" s="511">
        <v>44570</v>
      </c>
      <c r="O31" s="511">
        <v>44570</v>
      </c>
      <c r="P31" s="511">
        <v>44601</v>
      </c>
      <c r="Q31" s="511">
        <v>44606</v>
      </c>
      <c r="R31" s="512" t="s">
        <v>4998</v>
      </c>
      <c r="S31" s="515" t="s">
        <v>3752</v>
      </c>
      <c r="T31" s="510" t="s">
        <v>3128</v>
      </c>
      <c r="U31" s="516" t="s">
        <v>3031</v>
      </c>
      <c r="V31" s="359">
        <v>44589</v>
      </c>
      <c r="W31" s="510" t="s">
        <v>3337</v>
      </c>
      <c r="X31" s="510" t="s">
        <v>3406</v>
      </c>
      <c r="Y31" s="511">
        <v>44601</v>
      </c>
      <c r="Z31" s="510" t="s">
        <v>3252</v>
      </c>
      <c r="AA31" s="510" t="s">
        <v>3982</v>
      </c>
      <c r="AB31" s="510" t="s">
        <v>4981</v>
      </c>
      <c r="AC31" s="510" t="s">
        <v>2146</v>
      </c>
      <c r="AD31" s="511">
        <v>44601</v>
      </c>
      <c r="AE31" s="515">
        <v>3158.886</v>
      </c>
      <c r="AF31" s="507" t="s">
        <v>3460</v>
      </c>
      <c r="AG31" s="510" t="s">
        <v>3108</v>
      </c>
      <c r="AH31" s="517">
        <v>15159.46</v>
      </c>
      <c r="AI31" s="517">
        <v>10370</v>
      </c>
      <c r="AJ31" s="517">
        <v>11</v>
      </c>
      <c r="AK31" s="517">
        <f t="shared" si="25"/>
        <v>25540.46</v>
      </c>
      <c r="AL31" s="518">
        <v>5.2698999999999998</v>
      </c>
      <c r="AM31" s="519">
        <f t="shared" si="26"/>
        <v>134595.67015399999</v>
      </c>
      <c r="AN31" s="519">
        <v>0</v>
      </c>
      <c r="AO31" s="510">
        <v>4</v>
      </c>
      <c r="AP31" s="519">
        <v>10129.09</v>
      </c>
      <c r="AQ31" s="519">
        <v>14601.09</v>
      </c>
      <c r="AR31" s="519">
        <v>2826.5</v>
      </c>
      <c r="AS31" s="519">
        <v>12988.49</v>
      </c>
      <c r="AT31" s="519">
        <v>38095.96</v>
      </c>
      <c r="AU31" s="519">
        <v>13683.41</v>
      </c>
      <c r="AV31" s="519">
        <v>254.49</v>
      </c>
      <c r="AW31" s="510" t="s">
        <v>3139</v>
      </c>
      <c r="AX31" s="520">
        <f t="shared" si="27"/>
        <v>44606</v>
      </c>
      <c r="AY31" s="510"/>
      <c r="AZ31" s="519">
        <f t="shared" si="28"/>
        <v>201893.50523099999</v>
      </c>
      <c r="BA31" s="521">
        <f t="shared" si="29"/>
        <v>1</v>
      </c>
      <c r="BB31" s="519">
        <f t="shared" si="30"/>
        <v>201893.50523099999</v>
      </c>
      <c r="BC31" s="519"/>
      <c r="BD31" s="519">
        <f t="shared" si="31"/>
        <v>-60</v>
      </c>
      <c r="BE31" s="519">
        <f t="shared" si="7"/>
        <v>-60</v>
      </c>
      <c r="BF31" s="513" t="s">
        <v>1771</v>
      </c>
      <c r="BG31" s="514" t="s">
        <v>1771</v>
      </c>
      <c r="BH31" s="510" t="s">
        <v>1771</v>
      </c>
      <c r="BI31" s="628"/>
    </row>
    <row r="32" spans="1:61" s="523" customFormat="1" ht="409.5">
      <c r="A32" s="538" t="s">
        <v>5316</v>
      </c>
      <c r="B32" s="507" t="s">
        <v>3042</v>
      </c>
      <c r="C32" s="507" t="s">
        <v>3774</v>
      </c>
      <c r="D32" s="508" t="s">
        <v>4908</v>
      </c>
      <c r="E32" s="505" t="s">
        <v>4905</v>
      </c>
      <c r="F32" s="505" t="s">
        <v>4906</v>
      </c>
      <c r="G32" s="509" t="s">
        <v>4909</v>
      </c>
      <c r="H32" s="507" t="s">
        <v>4907</v>
      </c>
      <c r="I32" s="510" t="s">
        <v>1771</v>
      </c>
      <c r="J32" s="510">
        <v>1</v>
      </c>
      <c r="K32" s="507">
        <f>1+1+10+10+10+4+4+4+4+4+4+4+2+2+2+2+2+1+1+1+1+1+2+2+1+1+8+2+2+2+2+2+2+2+14</f>
        <v>117</v>
      </c>
      <c r="L32" s="507">
        <f>9.73+9.73+123.5+124.15+123.91+17.38+17.56+17.73+17.85+17.42+17.62+17.75+8.79+8.84+8.82+8.9+8.82+9.82+9.6+9.65+9.64+9.55+8.81+124+12.5+19.72+152.62+68+8.75+8.7+8.67+8.58+8.58+8.52+841.5</f>
        <v>1885.71</v>
      </c>
      <c r="M32" s="511">
        <v>44578</v>
      </c>
      <c r="N32" s="511">
        <v>44580</v>
      </c>
      <c r="O32" s="511">
        <v>44580</v>
      </c>
      <c r="P32" s="511">
        <v>44614</v>
      </c>
      <c r="Q32" s="511">
        <v>44623</v>
      </c>
      <c r="R32" s="512" t="s">
        <v>5023</v>
      </c>
      <c r="S32" s="515" t="s">
        <v>3752</v>
      </c>
      <c r="T32" s="510" t="s">
        <v>3128</v>
      </c>
      <c r="U32" s="516" t="s">
        <v>3031</v>
      </c>
      <c r="V32" s="359">
        <v>44610</v>
      </c>
      <c r="W32" s="510" t="s">
        <v>3337</v>
      </c>
      <c r="X32" s="510" t="s">
        <v>3406</v>
      </c>
      <c r="Y32" s="511">
        <v>44614</v>
      </c>
      <c r="Z32" s="510" t="s">
        <v>3252</v>
      </c>
      <c r="AA32" s="510" t="s">
        <v>3982</v>
      </c>
      <c r="AB32" s="510" t="s">
        <v>5003</v>
      </c>
      <c r="AC32" s="510" t="s">
        <v>2146</v>
      </c>
      <c r="AD32" s="511">
        <v>44616</v>
      </c>
      <c r="AE32" s="515">
        <v>1119.3879999999999</v>
      </c>
      <c r="AF32" s="507" t="s">
        <v>3460</v>
      </c>
      <c r="AG32" s="510" t="s">
        <v>3108</v>
      </c>
      <c r="AH32" s="517">
        <v>151727.71</v>
      </c>
      <c r="AI32" s="517">
        <v>11029</v>
      </c>
      <c r="AJ32" s="517">
        <v>35</v>
      </c>
      <c r="AK32" s="517">
        <f t="shared" ref="AK32:AK40" si="32">SUM(AH32:AJ32)</f>
        <v>162791.71</v>
      </c>
      <c r="AL32" s="518">
        <v>5.0143000000000004</v>
      </c>
      <c r="AM32" s="519">
        <f t="shared" si="26"/>
        <v>816286.47145299998</v>
      </c>
      <c r="AN32" s="519">
        <v>0</v>
      </c>
      <c r="AO32" s="510">
        <v>8</v>
      </c>
      <c r="AP32" s="519">
        <v>89234.5</v>
      </c>
      <c r="AQ32" s="519">
        <v>135641.18</v>
      </c>
      <c r="AR32" s="519">
        <v>17142.009999999998</v>
      </c>
      <c r="AS32" s="519">
        <v>78771.63</v>
      </c>
      <c r="AT32" s="519">
        <v>157289.01999999999</v>
      </c>
      <c r="AU32" s="519">
        <v>13975.91</v>
      </c>
      <c r="AV32" s="519">
        <v>354.76</v>
      </c>
      <c r="AW32" s="510" t="s">
        <v>3139</v>
      </c>
      <c r="AX32" s="520">
        <f t="shared" si="27"/>
        <v>44623</v>
      </c>
      <c r="AY32" s="510"/>
      <c r="AZ32" s="519">
        <f t="shared" si="28"/>
        <v>1224429.7071795</v>
      </c>
      <c r="BA32" s="521">
        <f t="shared" si="29"/>
        <v>1</v>
      </c>
      <c r="BB32" s="519">
        <f t="shared" si="30"/>
        <v>1224429.7071795</v>
      </c>
      <c r="BC32" s="519"/>
      <c r="BD32" s="519">
        <f t="shared" si="31"/>
        <v>-20</v>
      </c>
      <c r="BE32" s="519">
        <f t="shared" si="7"/>
        <v>-20</v>
      </c>
      <c r="BF32" s="513" t="s">
        <v>1771</v>
      </c>
      <c r="BG32" s="514" t="s">
        <v>1771</v>
      </c>
      <c r="BH32" s="510" t="s">
        <v>1771</v>
      </c>
      <c r="BI32" s="628"/>
    </row>
    <row r="33" spans="1:61" s="523" customFormat="1" ht="192">
      <c r="A33" s="538" t="s">
        <v>5317</v>
      </c>
      <c r="B33" s="507" t="s">
        <v>3042</v>
      </c>
      <c r="C33" s="507" t="s">
        <v>3774</v>
      </c>
      <c r="D33" s="508" t="s">
        <v>4915</v>
      </c>
      <c r="E33" s="505" t="s">
        <v>4912</v>
      </c>
      <c r="F33" s="505" t="s">
        <v>4913</v>
      </c>
      <c r="G33" s="509" t="s">
        <v>4914</v>
      </c>
      <c r="H33" s="507" t="s">
        <v>4907</v>
      </c>
      <c r="I33" s="510">
        <v>1</v>
      </c>
      <c r="J33" s="510" t="s">
        <v>1771</v>
      </c>
      <c r="K33" s="507">
        <f>2+2+1+1+1+1+2+2+2+32+4+12+2+2+2+2</f>
        <v>70</v>
      </c>
      <c r="L33" s="507">
        <f>8.63+8.74+9.63+9.54+9.44+9.4+8.76+8.81+8.83+1099.32+74.62+91.5+67.8+8.84+8.63+8.7</f>
        <v>1441.1899999999998</v>
      </c>
      <c r="M33" s="511">
        <v>44582</v>
      </c>
      <c r="N33" s="511">
        <v>44583</v>
      </c>
      <c r="O33" s="511">
        <v>44583</v>
      </c>
      <c r="P33" s="511">
        <v>44614</v>
      </c>
      <c r="Q33" s="511">
        <v>44623</v>
      </c>
      <c r="R33" s="512" t="s">
        <v>5024</v>
      </c>
      <c r="S33" s="515" t="s">
        <v>3752</v>
      </c>
      <c r="T33" s="510" t="s">
        <v>3128</v>
      </c>
      <c r="U33" s="516" t="s">
        <v>3031</v>
      </c>
      <c r="V33" s="359">
        <v>44610</v>
      </c>
      <c r="W33" s="510" t="s">
        <v>3337</v>
      </c>
      <c r="X33" s="510" t="s">
        <v>3406</v>
      </c>
      <c r="Y33" s="511">
        <v>44614</v>
      </c>
      <c r="Z33" s="510" t="s">
        <v>3252</v>
      </c>
      <c r="AA33" s="510" t="s">
        <v>3982</v>
      </c>
      <c r="AB33" s="510" t="s">
        <v>5004</v>
      </c>
      <c r="AC33" s="510" t="s">
        <v>2146</v>
      </c>
      <c r="AD33" s="511">
        <v>44616</v>
      </c>
      <c r="AE33" s="510">
        <v>889.12400000000002</v>
      </c>
      <c r="AF33" s="507" t="s">
        <v>3460</v>
      </c>
      <c r="AG33" s="510" t="s">
        <v>3108</v>
      </c>
      <c r="AH33" s="517">
        <v>449100.84</v>
      </c>
      <c r="AI33" s="517">
        <v>10370</v>
      </c>
      <c r="AJ33" s="517">
        <v>16</v>
      </c>
      <c r="AK33" s="517">
        <f t="shared" si="32"/>
        <v>459486.84</v>
      </c>
      <c r="AL33" s="518">
        <v>5.0143000000000004</v>
      </c>
      <c r="AM33" s="519">
        <f t="shared" si="26"/>
        <v>2304004.8618120002</v>
      </c>
      <c r="AN33" s="519">
        <v>0</v>
      </c>
      <c r="AO33" s="510">
        <v>10</v>
      </c>
      <c r="AP33" s="519">
        <v>297304.17</v>
      </c>
      <c r="AQ33" s="519">
        <v>387822.22</v>
      </c>
      <c r="AR33" s="519">
        <v>48384.11</v>
      </c>
      <c r="AS33" s="519">
        <v>222336.47</v>
      </c>
      <c r="AT33" s="519">
        <v>560723.42000000004</v>
      </c>
      <c r="AU33" s="519">
        <v>13142.1</v>
      </c>
      <c r="AV33" s="519">
        <v>401.04</v>
      </c>
      <c r="AW33" s="510" t="s">
        <v>3139</v>
      </c>
      <c r="AX33" s="520">
        <f t="shared" si="27"/>
        <v>44623</v>
      </c>
      <c r="AY33" s="510"/>
      <c r="AZ33" s="519">
        <f t="shared" si="28"/>
        <v>3456007.2927180002</v>
      </c>
      <c r="BA33" s="521">
        <f t="shared" si="29"/>
        <v>1</v>
      </c>
      <c r="BB33" s="519">
        <f t="shared" si="30"/>
        <v>3456007.2927180002</v>
      </c>
      <c r="BC33" s="519"/>
      <c r="BD33" s="519">
        <f t="shared" si="31"/>
        <v>0</v>
      </c>
      <c r="BE33" s="519">
        <f t="shared" si="7"/>
        <v>0</v>
      </c>
      <c r="BF33" s="513" t="s">
        <v>1771</v>
      </c>
      <c r="BG33" s="514" t="s">
        <v>1771</v>
      </c>
      <c r="BH33" s="510" t="s">
        <v>1771</v>
      </c>
      <c r="BI33" s="628"/>
    </row>
    <row r="34" spans="1:61" s="523" customFormat="1" ht="132">
      <c r="A34" s="538" t="s">
        <v>5318</v>
      </c>
      <c r="B34" s="507" t="s">
        <v>3042</v>
      </c>
      <c r="C34" s="507" t="s">
        <v>3774</v>
      </c>
      <c r="D34" s="508" t="s">
        <v>4918</v>
      </c>
      <c r="E34" s="505" t="s">
        <v>4916</v>
      </c>
      <c r="F34" s="505" t="s">
        <v>4917</v>
      </c>
      <c r="G34" s="509" t="s">
        <v>4919</v>
      </c>
      <c r="H34" s="507" t="s">
        <v>4907</v>
      </c>
      <c r="I34" s="510" t="s">
        <v>1771</v>
      </c>
      <c r="J34" s="510">
        <v>1</v>
      </c>
      <c r="K34" s="507">
        <f>10+15</f>
        <v>25</v>
      </c>
      <c r="L34" s="507">
        <f>222.54+2111.5</f>
        <v>2334.04</v>
      </c>
      <c r="M34" s="511">
        <v>44585</v>
      </c>
      <c r="N34" s="511">
        <v>44585</v>
      </c>
      <c r="O34" s="511">
        <v>44585</v>
      </c>
      <c r="P34" s="511">
        <v>44614</v>
      </c>
      <c r="Q34" s="511">
        <v>44623</v>
      </c>
      <c r="R34" s="512" t="s">
        <v>5025</v>
      </c>
      <c r="S34" s="515" t="s">
        <v>3752</v>
      </c>
      <c r="T34" s="510" t="s">
        <v>3128</v>
      </c>
      <c r="U34" s="516" t="s">
        <v>3031</v>
      </c>
      <c r="V34" s="359">
        <v>44610</v>
      </c>
      <c r="W34" s="510" t="s">
        <v>3337</v>
      </c>
      <c r="X34" s="510" t="s">
        <v>3406</v>
      </c>
      <c r="Y34" s="511">
        <v>44614</v>
      </c>
      <c r="Z34" s="510" t="s">
        <v>3252</v>
      </c>
      <c r="AA34" s="510" t="s">
        <v>3982</v>
      </c>
      <c r="AB34" s="510" t="s">
        <v>5005</v>
      </c>
      <c r="AC34" s="510" t="s">
        <v>2146</v>
      </c>
      <c r="AD34" s="511">
        <v>44616</v>
      </c>
      <c r="AE34" s="515">
        <v>1491.9475</v>
      </c>
      <c r="AF34" s="507" t="s">
        <v>4409</v>
      </c>
      <c r="AG34" s="510" t="s">
        <v>3108</v>
      </c>
      <c r="AH34" s="517">
        <v>300982.96999999997</v>
      </c>
      <c r="AI34" s="517">
        <v>11029</v>
      </c>
      <c r="AJ34" s="517">
        <v>2</v>
      </c>
      <c r="AK34" s="517">
        <f t="shared" si="32"/>
        <v>312013.96999999997</v>
      </c>
      <c r="AL34" s="518">
        <v>5.0143000000000004</v>
      </c>
      <c r="AM34" s="519">
        <f t="shared" si="26"/>
        <v>1564531.649771</v>
      </c>
      <c r="AN34" s="519">
        <v>0</v>
      </c>
      <c r="AO34" s="510">
        <v>10</v>
      </c>
      <c r="AP34" s="519">
        <v>215110.62</v>
      </c>
      <c r="AQ34" s="519">
        <v>261947.74</v>
      </c>
      <c r="AR34" s="519">
        <v>32855.15</v>
      </c>
      <c r="AS34" s="519">
        <v>150977.28</v>
      </c>
      <c r="AT34" s="519">
        <v>430715.96</v>
      </c>
      <c r="AU34" s="519">
        <v>13975.91</v>
      </c>
      <c r="AV34" s="519">
        <v>401.04</v>
      </c>
      <c r="AW34" s="510" t="s">
        <v>3139</v>
      </c>
      <c r="AX34" s="520">
        <f t="shared" si="27"/>
        <v>44623</v>
      </c>
      <c r="AY34" s="510"/>
      <c r="AZ34" s="519">
        <f t="shared" si="28"/>
        <v>2346797.4746564999</v>
      </c>
      <c r="BA34" s="521">
        <f t="shared" si="29"/>
        <v>1</v>
      </c>
      <c r="BB34" s="519">
        <f t="shared" si="30"/>
        <v>2346797.4746564999</v>
      </c>
      <c r="BC34" s="519"/>
      <c r="BD34" s="519">
        <f t="shared" si="31"/>
        <v>0</v>
      </c>
      <c r="BE34" s="519">
        <f t="shared" si="7"/>
        <v>0</v>
      </c>
      <c r="BF34" s="513" t="s">
        <v>1771</v>
      </c>
      <c r="BG34" s="514" t="s">
        <v>1771</v>
      </c>
      <c r="BH34" s="510" t="s">
        <v>1771</v>
      </c>
      <c r="BI34" s="628"/>
    </row>
    <row r="35" spans="1:61" s="523" customFormat="1" ht="132">
      <c r="A35" s="538" t="s">
        <v>5319</v>
      </c>
      <c r="B35" s="507" t="s">
        <v>3042</v>
      </c>
      <c r="C35" s="507" t="s">
        <v>3774</v>
      </c>
      <c r="D35" s="508" t="s">
        <v>4927</v>
      </c>
      <c r="E35" s="505" t="s">
        <v>4924</v>
      </c>
      <c r="F35" s="505" t="s">
        <v>4925</v>
      </c>
      <c r="G35" s="509" t="s">
        <v>4926</v>
      </c>
      <c r="H35" s="507" t="s">
        <v>4907</v>
      </c>
      <c r="I35" s="510">
        <v>1</v>
      </c>
      <c r="J35" s="510" t="s">
        <v>1771</v>
      </c>
      <c r="K35" s="507">
        <f>11+11+13</f>
        <v>35</v>
      </c>
      <c r="L35" s="507">
        <f>181.22+126.08+228.2</f>
        <v>535.5</v>
      </c>
      <c r="M35" s="511">
        <v>44585</v>
      </c>
      <c r="N35" s="511">
        <v>44585</v>
      </c>
      <c r="O35" s="511">
        <v>44585</v>
      </c>
      <c r="P35" s="511">
        <v>44614</v>
      </c>
      <c r="Q35" s="511">
        <v>44623</v>
      </c>
      <c r="R35" s="512" t="s">
        <v>5026</v>
      </c>
      <c r="S35" s="515" t="s">
        <v>3752</v>
      </c>
      <c r="T35" s="510" t="s">
        <v>3128</v>
      </c>
      <c r="U35" s="516" t="s">
        <v>3031</v>
      </c>
      <c r="V35" s="359">
        <v>44617</v>
      </c>
      <c r="W35" s="510" t="s">
        <v>3337</v>
      </c>
      <c r="X35" s="510" t="s">
        <v>3406</v>
      </c>
      <c r="Y35" s="511">
        <v>44614</v>
      </c>
      <c r="Z35" s="510" t="s">
        <v>3252</v>
      </c>
      <c r="AA35" s="510" t="s">
        <v>3982</v>
      </c>
      <c r="AB35" s="510" t="s">
        <v>5006</v>
      </c>
      <c r="AC35" s="510" t="s">
        <v>2146</v>
      </c>
      <c r="AD35" s="511">
        <v>44616</v>
      </c>
      <c r="AE35" s="510">
        <v>334.14001999999999</v>
      </c>
      <c r="AF35" s="507" t="s">
        <v>3460</v>
      </c>
      <c r="AG35" s="510" t="s">
        <v>3108</v>
      </c>
      <c r="AH35" s="517">
        <v>349723.77</v>
      </c>
      <c r="AI35" s="517">
        <v>10370</v>
      </c>
      <c r="AJ35" s="517">
        <v>3</v>
      </c>
      <c r="AK35" s="517">
        <f t="shared" si="32"/>
        <v>360096.77</v>
      </c>
      <c r="AL35" s="518">
        <v>5.0143000000000004</v>
      </c>
      <c r="AM35" s="519">
        <f t="shared" si="26"/>
        <v>1805633.2338110004</v>
      </c>
      <c r="AN35" s="519">
        <v>0</v>
      </c>
      <c r="AO35" s="510">
        <v>15</v>
      </c>
      <c r="AP35" s="519">
        <v>255515.15</v>
      </c>
      <c r="AQ35" s="519">
        <v>306890.43</v>
      </c>
      <c r="AR35" s="519">
        <v>37918.300000000003</v>
      </c>
      <c r="AS35" s="519">
        <v>174243.56</v>
      </c>
      <c r="AT35" s="519">
        <v>496737.05</v>
      </c>
      <c r="AU35" s="519">
        <v>13142.1</v>
      </c>
      <c r="AV35" s="519">
        <v>478.14</v>
      </c>
      <c r="AW35" s="510" t="s">
        <v>3139</v>
      </c>
      <c r="AX35" s="520">
        <f t="shared" si="27"/>
        <v>44623</v>
      </c>
      <c r="AY35" s="510"/>
      <c r="AZ35" s="519">
        <f t="shared" si="28"/>
        <v>2708449.8507165005</v>
      </c>
      <c r="BA35" s="521">
        <f t="shared" si="29"/>
        <v>1</v>
      </c>
      <c r="BB35" s="519">
        <f t="shared" si="30"/>
        <v>2708449.8507165005</v>
      </c>
      <c r="BC35" s="519"/>
      <c r="BD35" s="519">
        <f t="shared" si="31"/>
        <v>50</v>
      </c>
      <c r="BE35" s="519">
        <f t="shared" si="7"/>
        <v>50</v>
      </c>
      <c r="BF35" s="513" t="s">
        <v>1771</v>
      </c>
      <c r="BG35" s="514" t="s">
        <v>1771</v>
      </c>
      <c r="BH35" s="510" t="s">
        <v>1771</v>
      </c>
      <c r="BI35" s="628"/>
    </row>
    <row r="36" spans="1:61" s="523" customFormat="1" ht="132">
      <c r="A36" s="538" t="s">
        <v>5320</v>
      </c>
      <c r="B36" s="507" t="s">
        <v>3042</v>
      </c>
      <c r="C36" s="507" t="s">
        <v>3774</v>
      </c>
      <c r="D36" s="508">
        <v>4800016670</v>
      </c>
      <c r="E36" s="505" t="s">
        <v>4928</v>
      </c>
      <c r="F36" s="505" t="s">
        <v>4929</v>
      </c>
      <c r="G36" s="509" t="s">
        <v>4930</v>
      </c>
      <c r="H36" s="507" t="s">
        <v>4907</v>
      </c>
      <c r="I36" s="510">
        <v>1</v>
      </c>
      <c r="J36" s="510" t="s">
        <v>1771</v>
      </c>
      <c r="K36" s="507">
        <v>32</v>
      </c>
      <c r="L36" s="507">
        <v>1203.47</v>
      </c>
      <c r="M36" s="511">
        <v>44585</v>
      </c>
      <c r="N36" s="511">
        <v>44585</v>
      </c>
      <c r="O36" s="511">
        <v>44585</v>
      </c>
      <c r="P36" s="511">
        <v>44614</v>
      </c>
      <c r="Q36" s="511">
        <v>44622</v>
      </c>
      <c r="R36" s="512" t="s">
        <v>5027</v>
      </c>
      <c r="S36" s="515" t="s">
        <v>3752</v>
      </c>
      <c r="T36" s="510" t="s">
        <v>3128</v>
      </c>
      <c r="U36" s="516" t="s">
        <v>3031</v>
      </c>
      <c r="V36" s="359">
        <v>44617</v>
      </c>
      <c r="W36" s="510" t="s">
        <v>3337</v>
      </c>
      <c r="X36" s="510" t="s">
        <v>3406</v>
      </c>
      <c r="Y36" s="511">
        <v>44614</v>
      </c>
      <c r="Z36" s="510" t="s">
        <v>3252</v>
      </c>
      <c r="AA36" s="510" t="s">
        <v>3982</v>
      </c>
      <c r="AB36" s="510" t="s">
        <v>5007</v>
      </c>
      <c r="AC36" s="510" t="s">
        <v>2146</v>
      </c>
      <c r="AD36" s="511">
        <v>44616</v>
      </c>
      <c r="AE36" s="510">
        <v>785.51</v>
      </c>
      <c r="AF36" s="507" t="s">
        <v>3460</v>
      </c>
      <c r="AG36" s="510" t="s">
        <v>3108</v>
      </c>
      <c r="AH36" s="517">
        <v>505995.91</v>
      </c>
      <c r="AI36" s="517">
        <v>10370</v>
      </c>
      <c r="AJ36" s="517">
        <v>1</v>
      </c>
      <c r="AK36" s="517">
        <f t="shared" si="32"/>
        <v>516366.91</v>
      </c>
      <c r="AL36" s="518">
        <v>5.0143000000000004</v>
      </c>
      <c r="AM36" s="519">
        <f t="shared" si="26"/>
        <v>2589218.5968130003</v>
      </c>
      <c r="AN36" s="519">
        <v>0</v>
      </c>
      <c r="AO36" s="510">
        <v>6</v>
      </c>
      <c r="AP36" s="519">
        <v>381278.54</v>
      </c>
      <c r="AQ36" s="519">
        <v>443082.33</v>
      </c>
      <c r="AR36" s="519">
        <v>54373.58</v>
      </c>
      <c r="AS36" s="519">
        <v>249859.57</v>
      </c>
      <c r="AT36" s="519">
        <v>712314.11</v>
      </c>
      <c r="AU36" s="519">
        <v>13142.1</v>
      </c>
      <c r="AV36" s="519">
        <v>308.48</v>
      </c>
      <c r="AW36" s="510" t="s">
        <v>3139</v>
      </c>
      <c r="AX36" s="520">
        <f t="shared" si="27"/>
        <v>44622</v>
      </c>
      <c r="AY36" s="510"/>
      <c r="AZ36" s="519">
        <f t="shared" si="28"/>
        <v>3883827.8952195002</v>
      </c>
      <c r="BA36" s="521">
        <f t="shared" si="29"/>
        <v>1</v>
      </c>
      <c r="BB36" s="519">
        <f t="shared" si="30"/>
        <v>3883827.8952195002</v>
      </c>
      <c r="BC36" s="519"/>
      <c r="BD36" s="519">
        <f t="shared" si="31"/>
        <v>-40</v>
      </c>
      <c r="BE36" s="519">
        <f t="shared" si="7"/>
        <v>-40</v>
      </c>
      <c r="BF36" s="513" t="s">
        <v>1771</v>
      </c>
      <c r="BG36" s="514" t="s">
        <v>1771</v>
      </c>
      <c r="BH36" s="510" t="s">
        <v>1771</v>
      </c>
      <c r="BI36" s="628"/>
    </row>
    <row r="37" spans="1:61" s="523" customFormat="1" ht="156">
      <c r="A37" s="538" t="s">
        <v>5321</v>
      </c>
      <c r="B37" s="507" t="s">
        <v>3042</v>
      </c>
      <c r="C37" s="507" t="s">
        <v>3774</v>
      </c>
      <c r="D37" s="508" t="s">
        <v>4931</v>
      </c>
      <c r="E37" s="505" t="s">
        <v>4932</v>
      </c>
      <c r="F37" s="505" t="s">
        <v>4933</v>
      </c>
      <c r="G37" s="509" t="s">
        <v>4934</v>
      </c>
      <c r="H37" s="507" t="s">
        <v>4907</v>
      </c>
      <c r="I37" s="510">
        <v>1</v>
      </c>
      <c r="J37" s="510" t="s">
        <v>1771</v>
      </c>
      <c r="K37" s="507">
        <f>3+1+1+2+10+2+2+2+2+2+2+2+1</f>
        <v>32</v>
      </c>
      <c r="L37" s="507">
        <f>327.5+14.23+8.74+160.4+145.88+67+68.6+69.6+68.8+8.79+8.79+8.72+9.7</f>
        <v>966.75</v>
      </c>
      <c r="M37" s="511">
        <v>44585</v>
      </c>
      <c r="N37" s="511">
        <v>44585</v>
      </c>
      <c r="O37" s="511">
        <v>44585</v>
      </c>
      <c r="P37" s="511">
        <v>44614</v>
      </c>
      <c r="Q37" s="511">
        <v>44622</v>
      </c>
      <c r="R37" s="512" t="s">
        <v>5028</v>
      </c>
      <c r="S37" s="515" t="s">
        <v>3752</v>
      </c>
      <c r="T37" s="510" t="s">
        <v>3128</v>
      </c>
      <c r="U37" s="516" t="s">
        <v>3031</v>
      </c>
      <c r="V37" s="359">
        <v>44617</v>
      </c>
      <c r="W37" s="510" t="s">
        <v>3337</v>
      </c>
      <c r="X37" s="510" t="s">
        <v>3406</v>
      </c>
      <c r="Y37" s="511">
        <v>44614</v>
      </c>
      <c r="Z37" s="510" t="s">
        <v>3252</v>
      </c>
      <c r="AA37" s="510" t="s">
        <v>3982</v>
      </c>
      <c r="AB37" s="510" t="s">
        <v>5008</v>
      </c>
      <c r="AC37" s="510" t="s">
        <v>2146</v>
      </c>
      <c r="AD37" s="511">
        <v>44616</v>
      </c>
      <c r="AE37" s="510">
        <v>638.85109999999997</v>
      </c>
      <c r="AF37" s="507" t="s">
        <v>4409</v>
      </c>
      <c r="AG37" s="510" t="s">
        <v>3108</v>
      </c>
      <c r="AH37" s="517">
        <v>460243.53</v>
      </c>
      <c r="AI37" s="517">
        <v>10370</v>
      </c>
      <c r="AJ37" s="517">
        <v>13</v>
      </c>
      <c r="AK37" s="517">
        <f t="shared" si="32"/>
        <v>470626.53</v>
      </c>
      <c r="AL37" s="518">
        <v>5.0143000000000004</v>
      </c>
      <c r="AM37" s="519">
        <f t="shared" si="26"/>
        <v>2359862.6093790005</v>
      </c>
      <c r="AN37" s="519">
        <v>0</v>
      </c>
      <c r="AO37" s="510">
        <v>14</v>
      </c>
      <c r="AP37" s="519">
        <v>335730.91</v>
      </c>
      <c r="AQ37" s="519">
        <v>400573.41</v>
      </c>
      <c r="AR37" s="519">
        <v>49557.120000000003</v>
      </c>
      <c r="AS37" s="519">
        <v>227726.69</v>
      </c>
      <c r="AT37" s="519">
        <v>652587.17000000004</v>
      </c>
      <c r="AU37" s="519">
        <v>13142.1</v>
      </c>
      <c r="AV37" s="519">
        <v>462.72</v>
      </c>
      <c r="AW37" s="510" t="s">
        <v>3139</v>
      </c>
      <c r="AX37" s="520">
        <f t="shared" si="27"/>
        <v>44622</v>
      </c>
      <c r="AY37" s="510"/>
      <c r="AZ37" s="519">
        <f t="shared" si="28"/>
        <v>3539793.9140685005</v>
      </c>
      <c r="BA37" s="521">
        <f t="shared" si="29"/>
        <v>1</v>
      </c>
      <c r="BB37" s="519">
        <f t="shared" si="30"/>
        <v>3539793.9140685005</v>
      </c>
      <c r="BC37" s="519"/>
      <c r="BD37" s="519">
        <f t="shared" si="31"/>
        <v>40</v>
      </c>
      <c r="BE37" s="519">
        <f t="shared" si="7"/>
        <v>40</v>
      </c>
      <c r="BF37" s="513" t="s">
        <v>1771</v>
      </c>
      <c r="BG37" s="514" t="s">
        <v>1771</v>
      </c>
      <c r="BH37" s="510" t="s">
        <v>1771</v>
      </c>
      <c r="BI37" s="628"/>
    </row>
    <row r="38" spans="1:61" s="523" customFormat="1" ht="132">
      <c r="A38" s="538" t="s">
        <v>5322</v>
      </c>
      <c r="B38" s="507" t="s">
        <v>3042</v>
      </c>
      <c r="C38" s="507" t="s">
        <v>3774</v>
      </c>
      <c r="D38" s="508" t="s">
        <v>4938</v>
      </c>
      <c r="E38" s="505" t="s">
        <v>4935</v>
      </c>
      <c r="F38" s="505" t="s">
        <v>4936</v>
      </c>
      <c r="G38" s="509" t="s">
        <v>4937</v>
      </c>
      <c r="H38" s="507" t="s">
        <v>4907</v>
      </c>
      <c r="I38" s="510" t="s">
        <v>1771</v>
      </c>
      <c r="J38" s="510">
        <v>1</v>
      </c>
      <c r="K38" s="507">
        <f>4+2+1+17+8</f>
        <v>32</v>
      </c>
      <c r="L38" s="507">
        <f>295.5+171.5+1.98+197.58+551</f>
        <v>1217.56</v>
      </c>
      <c r="M38" s="511">
        <v>44585</v>
      </c>
      <c r="N38" s="511">
        <v>44586</v>
      </c>
      <c r="O38" s="511">
        <v>44586</v>
      </c>
      <c r="P38" s="511">
        <v>44614</v>
      </c>
      <c r="Q38" s="511">
        <v>44623</v>
      </c>
      <c r="R38" s="512" t="s">
        <v>5029</v>
      </c>
      <c r="S38" s="515" t="s">
        <v>3752</v>
      </c>
      <c r="T38" s="510" t="s">
        <v>3128</v>
      </c>
      <c r="U38" s="516" t="s">
        <v>3031</v>
      </c>
      <c r="V38" s="359">
        <v>44610</v>
      </c>
      <c r="W38" s="510" t="s">
        <v>3337</v>
      </c>
      <c r="X38" s="510" t="s">
        <v>3406</v>
      </c>
      <c r="Y38" s="511">
        <v>44614</v>
      </c>
      <c r="Z38" s="510" t="s">
        <v>3252</v>
      </c>
      <c r="AA38" s="510" t="s">
        <v>3982</v>
      </c>
      <c r="AB38" s="510" t="s">
        <v>5009</v>
      </c>
      <c r="AC38" s="510" t="s">
        <v>2146</v>
      </c>
      <c r="AD38" s="511">
        <v>44616</v>
      </c>
      <c r="AE38" s="510">
        <v>862.97001</v>
      </c>
      <c r="AF38" s="507" t="s">
        <v>4860</v>
      </c>
      <c r="AG38" s="510" t="s">
        <v>3108</v>
      </c>
      <c r="AH38" s="517">
        <v>292473.21999999997</v>
      </c>
      <c r="AI38" s="517">
        <v>11029</v>
      </c>
      <c r="AJ38" s="517">
        <v>5</v>
      </c>
      <c r="AK38" s="517">
        <f t="shared" si="32"/>
        <v>303507.21999999997</v>
      </c>
      <c r="AL38" s="518">
        <v>5.0143000000000004</v>
      </c>
      <c r="AM38" s="519">
        <f t="shared" si="26"/>
        <v>1521876.253246</v>
      </c>
      <c r="AN38" s="519">
        <v>0</v>
      </c>
      <c r="AO38" s="510">
        <v>12</v>
      </c>
      <c r="AP38" s="519">
        <v>217191.14</v>
      </c>
      <c r="AQ38" s="519">
        <v>259688.35</v>
      </c>
      <c r="AR38" s="519">
        <v>31959.4</v>
      </c>
      <c r="AS38" s="519">
        <v>146861.03</v>
      </c>
      <c r="AT38" s="519">
        <v>422735.54</v>
      </c>
      <c r="AU38" s="519">
        <v>13975.1</v>
      </c>
      <c r="AV38" s="519">
        <v>431.88</v>
      </c>
      <c r="AW38" s="510" t="s">
        <v>3139</v>
      </c>
      <c r="AX38" s="520">
        <f t="shared" si="27"/>
        <v>44623</v>
      </c>
      <c r="AY38" s="510"/>
      <c r="AZ38" s="519">
        <f t="shared" si="28"/>
        <v>2282814.3798690001</v>
      </c>
      <c r="BA38" s="521">
        <f t="shared" si="29"/>
        <v>1</v>
      </c>
      <c r="BB38" s="519">
        <f t="shared" si="30"/>
        <v>2282814.3798690001</v>
      </c>
      <c r="BC38" s="519"/>
      <c r="BD38" s="519">
        <f t="shared" si="31"/>
        <v>20</v>
      </c>
      <c r="BE38" s="519">
        <f t="shared" si="7"/>
        <v>20</v>
      </c>
      <c r="BF38" s="513" t="s">
        <v>1771</v>
      </c>
      <c r="BG38" s="514" t="s">
        <v>1771</v>
      </c>
      <c r="BH38" s="510" t="s">
        <v>1771</v>
      </c>
      <c r="BI38" s="628"/>
    </row>
    <row r="39" spans="1:61" s="523" customFormat="1" ht="132">
      <c r="A39" s="538" t="s">
        <v>5323</v>
      </c>
      <c r="B39" s="507" t="s">
        <v>3042</v>
      </c>
      <c r="C39" s="507" t="s">
        <v>3774</v>
      </c>
      <c r="D39" s="508" t="s">
        <v>4944</v>
      </c>
      <c r="E39" s="505" t="s">
        <v>4942</v>
      </c>
      <c r="F39" s="505" t="s">
        <v>4943</v>
      </c>
      <c r="G39" s="509" t="s">
        <v>4945</v>
      </c>
      <c r="H39" s="507" t="s">
        <v>4907</v>
      </c>
      <c r="I39" s="510" t="s">
        <v>1771</v>
      </c>
      <c r="J39" s="510">
        <v>1</v>
      </c>
      <c r="K39" s="507">
        <f>2+16+14+15</f>
        <v>47</v>
      </c>
      <c r="L39" s="507">
        <f>126.4+306.89+278.08+1910.5</f>
        <v>2621.87</v>
      </c>
      <c r="M39" s="511">
        <v>44585</v>
      </c>
      <c r="N39" s="511">
        <v>44585</v>
      </c>
      <c r="O39" s="511">
        <v>44585</v>
      </c>
      <c r="P39" s="511">
        <v>44614</v>
      </c>
      <c r="Q39" s="511">
        <v>44622</v>
      </c>
      <c r="R39" s="512" t="s">
        <v>5030</v>
      </c>
      <c r="S39" s="515" t="s">
        <v>3752</v>
      </c>
      <c r="T39" s="510" t="s">
        <v>3128</v>
      </c>
      <c r="U39" s="516" t="s">
        <v>3031</v>
      </c>
      <c r="V39" s="359">
        <v>44617</v>
      </c>
      <c r="W39" s="510" t="s">
        <v>3337</v>
      </c>
      <c r="X39" s="510" t="s">
        <v>3406</v>
      </c>
      <c r="Y39" s="511">
        <v>44614</v>
      </c>
      <c r="Z39" s="510" t="s">
        <v>3252</v>
      </c>
      <c r="AA39" s="510" t="s">
        <v>3982</v>
      </c>
      <c r="AB39" s="510" t="s">
        <v>5010</v>
      </c>
      <c r="AC39" s="510" t="s">
        <v>2146</v>
      </c>
      <c r="AD39" s="511">
        <v>44616</v>
      </c>
      <c r="AE39" s="515">
        <v>1632.32</v>
      </c>
      <c r="AF39" s="507" t="s">
        <v>4409</v>
      </c>
      <c r="AG39" s="510" t="s">
        <v>3108</v>
      </c>
      <c r="AH39" s="517">
        <v>340928.91</v>
      </c>
      <c r="AI39" s="517">
        <v>11029</v>
      </c>
      <c r="AJ39" s="517">
        <v>4</v>
      </c>
      <c r="AK39" s="517">
        <f t="shared" si="32"/>
        <v>351961.91</v>
      </c>
      <c r="AL39" s="518">
        <v>5.0143000000000004</v>
      </c>
      <c r="AM39" s="519">
        <f t="shared" si="26"/>
        <v>1764842.605313</v>
      </c>
      <c r="AN39" s="519">
        <v>0</v>
      </c>
      <c r="AO39" s="510">
        <v>8</v>
      </c>
      <c r="AP39" s="519">
        <v>193644.69</v>
      </c>
      <c r="AQ39" s="519">
        <v>275258.11</v>
      </c>
      <c r="AR39" s="519">
        <v>37061.69</v>
      </c>
      <c r="AS39" s="519">
        <v>170307.3</v>
      </c>
      <c r="AT39" s="519">
        <v>456515.96</v>
      </c>
      <c r="AU39" s="519">
        <v>13975.91</v>
      </c>
      <c r="AV39" s="519">
        <v>354.76</v>
      </c>
      <c r="AW39" s="510" t="s">
        <v>3139</v>
      </c>
      <c r="AX39" s="520">
        <f t="shared" si="27"/>
        <v>44622</v>
      </c>
      <c r="AY39" s="510"/>
      <c r="AZ39" s="519">
        <f t="shared" si="28"/>
        <v>2647263.9079694999</v>
      </c>
      <c r="BA39" s="521">
        <f t="shared" si="29"/>
        <v>1</v>
      </c>
      <c r="BB39" s="519">
        <f t="shared" si="30"/>
        <v>2647263.9079694999</v>
      </c>
      <c r="BC39" s="519"/>
      <c r="BD39" s="519">
        <f t="shared" si="31"/>
        <v>-20</v>
      </c>
      <c r="BE39" s="519">
        <f t="shared" si="7"/>
        <v>-20</v>
      </c>
      <c r="BF39" s="513" t="s">
        <v>1771</v>
      </c>
      <c r="BG39" s="514" t="s">
        <v>1771</v>
      </c>
      <c r="BH39" s="510" t="s">
        <v>1771</v>
      </c>
      <c r="BI39" s="628"/>
    </row>
    <row r="40" spans="1:61" s="523" customFormat="1" ht="132">
      <c r="A40" s="538" t="s">
        <v>5324</v>
      </c>
      <c r="B40" s="507" t="s">
        <v>3042</v>
      </c>
      <c r="C40" s="507" t="s">
        <v>3774</v>
      </c>
      <c r="D40" s="508" t="s">
        <v>4949</v>
      </c>
      <c r="E40" s="505" t="s">
        <v>4946</v>
      </c>
      <c r="F40" s="505" t="s">
        <v>4947</v>
      </c>
      <c r="G40" s="509" t="s">
        <v>4948</v>
      </c>
      <c r="H40" s="507" t="s">
        <v>4907</v>
      </c>
      <c r="I40" s="510" t="s">
        <v>1771</v>
      </c>
      <c r="J40" s="510">
        <v>1</v>
      </c>
      <c r="K40" s="507">
        <f>1+15+10+1+2</f>
        <v>29</v>
      </c>
      <c r="L40" s="507">
        <f>4.36+2088+376.49+2.01+8.72</f>
        <v>2479.5800000000004</v>
      </c>
      <c r="M40" s="511">
        <v>44585</v>
      </c>
      <c r="N40" s="511">
        <v>44585</v>
      </c>
      <c r="O40" s="511">
        <v>44585</v>
      </c>
      <c r="P40" s="511">
        <v>44614</v>
      </c>
      <c r="Q40" s="511">
        <v>44622</v>
      </c>
      <c r="R40" s="512" t="s">
        <v>5031</v>
      </c>
      <c r="S40" s="515" t="s">
        <v>3752</v>
      </c>
      <c r="T40" s="510" t="s">
        <v>3128</v>
      </c>
      <c r="U40" s="516" t="s">
        <v>3031</v>
      </c>
      <c r="V40" s="359">
        <v>44603</v>
      </c>
      <c r="W40" s="510" t="s">
        <v>3337</v>
      </c>
      <c r="X40" s="510" t="s">
        <v>3406</v>
      </c>
      <c r="Y40" s="511">
        <v>44614</v>
      </c>
      <c r="Z40" s="510" t="s">
        <v>3252</v>
      </c>
      <c r="AA40" s="510" t="s">
        <v>3982</v>
      </c>
      <c r="AB40" s="510" t="s">
        <v>5011</v>
      </c>
      <c r="AC40" s="510" t="s">
        <v>2146</v>
      </c>
      <c r="AD40" s="511">
        <v>44616</v>
      </c>
      <c r="AE40" s="515">
        <v>1573.7777000000001</v>
      </c>
      <c r="AF40" s="507" t="s">
        <v>4409</v>
      </c>
      <c r="AG40" s="510" t="s">
        <v>3108</v>
      </c>
      <c r="AH40" s="517">
        <v>419185.24</v>
      </c>
      <c r="AI40" s="517">
        <v>11029</v>
      </c>
      <c r="AJ40" s="517">
        <v>5</v>
      </c>
      <c r="AK40" s="517">
        <f t="shared" si="32"/>
        <v>430219.24</v>
      </c>
      <c r="AL40" s="518">
        <v>5.0143000000000004</v>
      </c>
      <c r="AM40" s="519">
        <f t="shared" si="26"/>
        <v>2157248.335132</v>
      </c>
      <c r="AN40" s="519">
        <v>0</v>
      </c>
      <c r="AO40" s="510">
        <v>11</v>
      </c>
      <c r="AP40" s="519">
        <v>297992.05</v>
      </c>
      <c r="AQ40" s="519">
        <v>362236.69</v>
      </c>
      <c r="AR40" s="519">
        <v>45302.2</v>
      </c>
      <c r="AS40" s="519">
        <v>208174.46</v>
      </c>
      <c r="AT40" s="519">
        <v>594952.84</v>
      </c>
      <c r="AU40" s="519">
        <v>13975.91</v>
      </c>
      <c r="AV40" s="519">
        <v>416.46</v>
      </c>
      <c r="AW40" s="510" t="s">
        <v>3139</v>
      </c>
      <c r="AX40" s="520">
        <f t="shared" si="27"/>
        <v>44622</v>
      </c>
      <c r="AY40" s="510"/>
      <c r="AZ40" s="519">
        <f t="shared" si="28"/>
        <v>3235872.5026980001</v>
      </c>
      <c r="BA40" s="521">
        <f t="shared" si="29"/>
        <v>1</v>
      </c>
      <c r="BB40" s="519">
        <f t="shared" si="30"/>
        <v>3235872.5026980001</v>
      </c>
      <c r="BC40" s="519"/>
      <c r="BD40" s="519">
        <f t="shared" si="31"/>
        <v>10</v>
      </c>
      <c r="BE40" s="519">
        <f t="shared" si="7"/>
        <v>10</v>
      </c>
      <c r="BF40" s="513" t="s">
        <v>1771</v>
      </c>
      <c r="BG40" s="514" t="s">
        <v>1771</v>
      </c>
      <c r="BH40" s="510" t="s">
        <v>1771</v>
      </c>
      <c r="BI40" s="628"/>
    </row>
    <row r="41" spans="1:61" s="523" customFormat="1" ht="132">
      <c r="A41" s="538" t="s">
        <v>5325</v>
      </c>
      <c r="B41" s="507" t="s">
        <v>3042</v>
      </c>
      <c r="C41" s="507" t="s">
        <v>3774</v>
      </c>
      <c r="D41" s="508" t="s">
        <v>4961</v>
      </c>
      <c r="E41" s="505" t="s">
        <v>4958</v>
      </c>
      <c r="F41" s="505" t="s">
        <v>4959</v>
      </c>
      <c r="G41" s="509" t="s">
        <v>4960</v>
      </c>
      <c r="H41" s="507" t="s">
        <v>4962</v>
      </c>
      <c r="I41" s="510">
        <v>1</v>
      </c>
      <c r="J41" s="510" t="s">
        <v>1771</v>
      </c>
      <c r="K41" s="507">
        <f>1+2+2+15</f>
        <v>20</v>
      </c>
      <c r="L41" s="507">
        <f>78.4+127.2+124.4+1934.5</f>
        <v>2264.5</v>
      </c>
      <c r="M41" s="511">
        <v>44592</v>
      </c>
      <c r="N41" s="511">
        <v>44591</v>
      </c>
      <c r="O41" s="511">
        <v>30</v>
      </c>
      <c r="P41" s="511">
        <v>44624</v>
      </c>
      <c r="Q41" s="511">
        <v>44628</v>
      </c>
      <c r="R41" s="512" t="s">
        <v>5034</v>
      </c>
      <c r="S41" s="515" t="s">
        <v>3752</v>
      </c>
      <c r="T41" s="510" t="s">
        <v>3681</v>
      </c>
      <c r="U41" s="516" t="s">
        <v>3031</v>
      </c>
      <c r="V41" s="359">
        <v>44614</v>
      </c>
      <c r="W41" s="510" t="s">
        <v>3147</v>
      </c>
      <c r="X41" s="510" t="s">
        <v>3147</v>
      </c>
      <c r="Y41" s="511">
        <v>44627</v>
      </c>
      <c r="Z41" s="510" t="s">
        <v>3252</v>
      </c>
      <c r="AA41" s="510" t="s">
        <v>3982</v>
      </c>
      <c r="AB41" s="510" t="s">
        <v>5035</v>
      </c>
      <c r="AC41" s="510" t="s">
        <v>2146</v>
      </c>
      <c r="AD41" s="511">
        <v>44627</v>
      </c>
      <c r="AE41" s="515">
        <v>1380.08</v>
      </c>
      <c r="AF41" s="507" t="s">
        <v>4409</v>
      </c>
      <c r="AG41" s="510" t="s">
        <v>3108</v>
      </c>
      <c r="AH41" s="517">
        <v>72509.06</v>
      </c>
      <c r="AI41" s="517">
        <v>10370</v>
      </c>
      <c r="AJ41" s="517">
        <v>4</v>
      </c>
      <c r="AK41" s="517">
        <f t="shared" ref="AK41:AK42" si="33">SUM(AH41:AJ41)</f>
        <v>82883.06</v>
      </c>
      <c r="AL41" s="518">
        <v>5.0758000000000001</v>
      </c>
      <c r="AM41" s="519">
        <f t="shared" si="26"/>
        <v>420697.83594800002</v>
      </c>
      <c r="AN41" s="519">
        <v>0</v>
      </c>
      <c r="AO41" s="510">
        <v>3</v>
      </c>
      <c r="AP41" s="519">
        <v>8898.58</v>
      </c>
      <c r="AQ41" s="519">
        <v>34371.230000000003</v>
      </c>
      <c r="AR41" s="519">
        <v>8834.65</v>
      </c>
      <c r="AS41" s="519">
        <v>40597.33</v>
      </c>
      <c r="AT41" s="519">
        <v>103790.59</v>
      </c>
      <c r="AU41" s="519">
        <v>13180.21</v>
      </c>
      <c r="AV41" s="519">
        <v>223.64</v>
      </c>
      <c r="AW41" s="510" t="s">
        <v>3139</v>
      </c>
      <c r="AX41" s="520">
        <f t="shared" si="27"/>
        <v>44628</v>
      </c>
      <c r="AY41" s="510"/>
      <c r="AZ41" s="519">
        <f t="shared" si="28"/>
        <v>631046.75392200006</v>
      </c>
      <c r="BA41" s="521">
        <f t="shared" si="29"/>
        <v>1</v>
      </c>
      <c r="BB41" s="519">
        <f t="shared" si="30"/>
        <v>631046.75392200006</v>
      </c>
      <c r="BC41" s="519"/>
      <c r="BD41" s="519">
        <f t="shared" si="31"/>
        <v>-70</v>
      </c>
      <c r="BE41" s="519">
        <f t="shared" si="7"/>
        <v>-70</v>
      </c>
      <c r="BF41" s="513" t="s">
        <v>1771</v>
      </c>
      <c r="BG41" s="514" t="s">
        <v>1771</v>
      </c>
      <c r="BH41" s="510" t="s">
        <v>1771</v>
      </c>
      <c r="BI41" s="628"/>
    </row>
    <row r="42" spans="1:61" s="523" customFormat="1" ht="141" customHeight="1">
      <c r="A42" s="538" t="s">
        <v>5326</v>
      </c>
      <c r="B42" s="507" t="s">
        <v>3042</v>
      </c>
      <c r="C42" s="507" t="s">
        <v>3774</v>
      </c>
      <c r="D42" s="508" t="s">
        <v>4973</v>
      </c>
      <c r="E42" s="505" t="s">
        <v>4967</v>
      </c>
      <c r="F42" s="505" t="s">
        <v>4968</v>
      </c>
      <c r="G42" s="509" t="s">
        <v>4972</v>
      </c>
      <c r="H42" s="507" t="s">
        <v>4962</v>
      </c>
      <c r="I42" s="510" t="s">
        <v>1771</v>
      </c>
      <c r="J42" s="510">
        <v>1</v>
      </c>
      <c r="K42" s="507">
        <f>10+8+8+1+1+1+1+2+2+2+1</f>
        <v>37</v>
      </c>
      <c r="L42" s="507">
        <f>68.76+524.5+557+80.2+78+80.4+1.98+126.2+126.8+125.6+80.4</f>
        <v>1849.8400000000001</v>
      </c>
      <c r="M42" s="511">
        <v>44589</v>
      </c>
      <c r="N42" s="511">
        <v>44590</v>
      </c>
      <c r="O42" s="511">
        <v>44590</v>
      </c>
      <c r="P42" s="511">
        <v>44624</v>
      </c>
      <c r="Q42" s="511">
        <v>44628</v>
      </c>
      <c r="R42" s="512" t="s">
        <v>5033</v>
      </c>
      <c r="S42" s="515" t="s">
        <v>3752</v>
      </c>
      <c r="T42" s="510" t="s">
        <v>3681</v>
      </c>
      <c r="U42" s="516" t="s">
        <v>3031</v>
      </c>
      <c r="V42" s="359">
        <v>44624</v>
      </c>
      <c r="W42" s="510" t="s">
        <v>3147</v>
      </c>
      <c r="X42" s="510" t="s">
        <v>3147</v>
      </c>
      <c r="Y42" s="511">
        <v>44627</v>
      </c>
      <c r="Z42" s="510" t="s">
        <v>3252</v>
      </c>
      <c r="AA42" s="510" t="s">
        <v>3982</v>
      </c>
      <c r="AB42" s="510" t="s">
        <v>5032</v>
      </c>
      <c r="AC42" s="510" t="s">
        <v>2146</v>
      </c>
      <c r="AD42" s="511">
        <v>44627</v>
      </c>
      <c r="AE42" s="515">
        <v>1207.4670000000001</v>
      </c>
      <c r="AF42" s="507" t="s">
        <v>4860</v>
      </c>
      <c r="AG42" s="510" t="s">
        <v>3108</v>
      </c>
      <c r="AH42" s="517">
        <v>199577.78</v>
      </c>
      <c r="AI42" s="517">
        <v>11029</v>
      </c>
      <c r="AJ42" s="517">
        <v>11</v>
      </c>
      <c r="AK42" s="517">
        <f t="shared" si="33"/>
        <v>210617.78</v>
      </c>
      <c r="AL42" s="518">
        <v>5.0758000000000001</v>
      </c>
      <c r="AM42" s="519">
        <f t="shared" si="26"/>
        <v>1069053.7277240001</v>
      </c>
      <c r="AN42" s="519">
        <v>0</v>
      </c>
      <c r="AO42" s="510">
        <v>9</v>
      </c>
      <c r="AP42" s="519">
        <v>143716.65</v>
      </c>
      <c r="AQ42" s="519">
        <v>133649.97</v>
      </c>
      <c r="AR42" s="519">
        <v>22450.13</v>
      </c>
      <c r="AS42" s="519">
        <v>103163.67</v>
      </c>
      <c r="AT42" s="519">
        <v>284135.84000000003</v>
      </c>
      <c r="AU42" s="519">
        <v>14016.44</v>
      </c>
      <c r="AV42" s="519">
        <v>377.9</v>
      </c>
      <c r="AW42" s="510" t="s">
        <v>3139</v>
      </c>
      <c r="AX42" s="520">
        <f t="shared" si="27"/>
        <v>44628</v>
      </c>
      <c r="AY42" s="510"/>
      <c r="AZ42" s="519">
        <f t="shared" si="28"/>
        <v>1603580.5915860003</v>
      </c>
      <c r="BA42" s="521">
        <f t="shared" si="29"/>
        <v>1</v>
      </c>
      <c r="BB42" s="519">
        <f t="shared" si="30"/>
        <v>1603580.5915860003</v>
      </c>
      <c r="BC42" s="519"/>
      <c r="BD42" s="519">
        <f t="shared" si="31"/>
        <v>-10</v>
      </c>
      <c r="BE42" s="519">
        <f t="shared" si="7"/>
        <v>-10</v>
      </c>
      <c r="BF42" s="513" t="s">
        <v>1771</v>
      </c>
      <c r="BG42" s="514" t="s">
        <v>1771</v>
      </c>
      <c r="BH42" s="510" t="s">
        <v>1771</v>
      </c>
      <c r="BI42" s="628"/>
    </row>
    <row r="43" spans="1:61" s="523" customFormat="1" ht="132">
      <c r="A43" s="538" t="s">
        <v>5327</v>
      </c>
      <c r="B43" s="507" t="s">
        <v>3042</v>
      </c>
      <c r="C43" s="507" t="s">
        <v>3774</v>
      </c>
      <c r="D43" s="508" t="s">
        <v>4986</v>
      </c>
      <c r="E43" s="505" t="s">
        <v>4952</v>
      </c>
      <c r="F43" s="505" t="s">
        <v>4953</v>
      </c>
      <c r="G43" s="509" t="s">
        <v>4963</v>
      </c>
      <c r="H43" s="507" t="s">
        <v>4962</v>
      </c>
      <c r="I43" s="510" t="s">
        <v>1771</v>
      </c>
      <c r="J43" s="510">
        <v>1</v>
      </c>
      <c r="K43" s="507">
        <f>8+26+1+1+1+1+1+18</f>
        <v>57</v>
      </c>
      <c r="L43" s="507">
        <f>551+3041.06+1.97+1.98+1.95+78.4+1.99+843.13</f>
        <v>4521.4799999999996</v>
      </c>
      <c r="M43" s="511">
        <v>44589</v>
      </c>
      <c r="N43" s="511">
        <v>44590</v>
      </c>
      <c r="O43" s="511">
        <v>44590</v>
      </c>
      <c r="P43" s="511">
        <v>44624</v>
      </c>
      <c r="Q43" s="511">
        <v>44628</v>
      </c>
      <c r="R43" s="512" t="s">
        <v>5039</v>
      </c>
      <c r="S43" s="515" t="s">
        <v>3752</v>
      </c>
      <c r="T43" s="510" t="s">
        <v>3681</v>
      </c>
      <c r="U43" s="516" t="s">
        <v>3031</v>
      </c>
      <c r="V43" s="359">
        <v>4.3</v>
      </c>
      <c r="W43" s="510" t="s">
        <v>3147</v>
      </c>
      <c r="X43" s="510" t="s">
        <v>3147</v>
      </c>
      <c r="Y43" s="511">
        <v>44627</v>
      </c>
      <c r="Z43" s="510" t="s">
        <v>3252</v>
      </c>
      <c r="AA43" s="510" t="s">
        <v>3982</v>
      </c>
      <c r="AB43" s="510" t="s">
        <v>5066</v>
      </c>
      <c r="AC43" s="510" t="s">
        <v>2146</v>
      </c>
      <c r="AD43" s="511">
        <v>44627</v>
      </c>
      <c r="AE43" s="515">
        <v>2861.4591999999998</v>
      </c>
      <c r="AF43" s="507"/>
      <c r="AG43" s="510" t="s">
        <v>3108</v>
      </c>
      <c r="AH43" s="517">
        <v>362098.37</v>
      </c>
      <c r="AI43" s="517">
        <v>11029</v>
      </c>
      <c r="AJ43" s="517">
        <v>8</v>
      </c>
      <c r="AK43" s="517">
        <f t="shared" ref="AK43:AK44" si="34">SUM(AH43:AJ43)</f>
        <v>373135.37</v>
      </c>
      <c r="AL43" s="518">
        <v>5.0758000000000001</v>
      </c>
      <c r="AM43" s="519">
        <f t="shared" si="26"/>
        <v>1893960.5110460001</v>
      </c>
      <c r="AN43" s="519">
        <v>0</v>
      </c>
      <c r="AO43" s="510">
        <v>11</v>
      </c>
      <c r="AP43" s="519">
        <v>250059.72</v>
      </c>
      <c r="AQ43" s="519">
        <v>234530.67</v>
      </c>
      <c r="AR43" s="519">
        <v>39773.17</v>
      </c>
      <c r="AS43" s="519">
        <v>182767.16</v>
      </c>
      <c r="AT43" s="519">
        <v>495983.63</v>
      </c>
      <c r="AU43" s="519">
        <v>14016.44</v>
      </c>
      <c r="AV43" s="519">
        <v>416.46</v>
      </c>
      <c r="AW43" s="510" t="s">
        <v>3139</v>
      </c>
      <c r="AX43" s="520">
        <f t="shared" si="27"/>
        <v>44628</v>
      </c>
      <c r="AY43" s="510"/>
      <c r="AZ43" s="519">
        <f t="shared" si="28"/>
        <v>2840940.7665690002</v>
      </c>
      <c r="BA43" s="521">
        <f t="shared" si="29"/>
        <v>1</v>
      </c>
      <c r="BB43" s="519">
        <f t="shared" si="30"/>
        <v>2840940.7665690002</v>
      </c>
      <c r="BC43" s="519"/>
      <c r="BD43" s="519">
        <f t="shared" si="31"/>
        <v>10</v>
      </c>
      <c r="BE43" s="519">
        <f t="shared" si="7"/>
        <v>10</v>
      </c>
      <c r="BF43" s="513" t="s">
        <v>1771</v>
      </c>
      <c r="BG43" s="514" t="s">
        <v>1771</v>
      </c>
      <c r="BH43" s="510" t="s">
        <v>1771</v>
      </c>
      <c r="BI43" s="628"/>
    </row>
    <row r="44" spans="1:61" s="523" customFormat="1" ht="132">
      <c r="A44" s="538" t="s">
        <v>5328</v>
      </c>
      <c r="B44" s="507" t="s">
        <v>3042</v>
      </c>
      <c r="C44" s="507" t="s">
        <v>3774</v>
      </c>
      <c r="D44" s="508" t="s">
        <v>4987</v>
      </c>
      <c r="E44" s="505" t="s">
        <v>4954</v>
      </c>
      <c r="F44" s="505" t="s">
        <v>4955</v>
      </c>
      <c r="G44" s="509" t="s">
        <v>4988</v>
      </c>
      <c r="H44" s="507" t="s">
        <v>4962</v>
      </c>
      <c r="I44" s="510">
        <v>1</v>
      </c>
      <c r="J44" s="510" t="s">
        <v>1771</v>
      </c>
      <c r="K44" s="507">
        <f>15+2+1+1+1+2+1+2+9</f>
        <v>34</v>
      </c>
      <c r="L44" s="507">
        <f>1938+3.02+78.2+81.2+79.8+66+79.2+73.2+58.98</f>
        <v>2457.6</v>
      </c>
      <c r="M44" s="511">
        <v>44589</v>
      </c>
      <c r="N44" s="511">
        <v>44591</v>
      </c>
      <c r="O44" s="511">
        <v>44591</v>
      </c>
      <c r="P44" s="511">
        <v>44624</v>
      </c>
      <c r="Q44" s="511">
        <v>44628</v>
      </c>
      <c r="R44" s="512" t="s">
        <v>5040</v>
      </c>
      <c r="S44" s="515" t="s">
        <v>3752</v>
      </c>
      <c r="T44" s="510" t="s">
        <v>3681</v>
      </c>
      <c r="U44" s="516" t="s">
        <v>3031</v>
      </c>
      <c r="V44" s="359">
        <v>44624</v>
      </c>
      <c r="W44" s="510" t="s">
        <v>3147</v>
      </c>
      <c r="X44" s="510" t="s">
        <v>3147</v>
      </c>
      <c r="Y44" s="511">
        <v>44627</v>
      </c>
      <c r="Z44" s="510" t="s">
        <v>3252</v>
      </c>
      <c r="AA44" s="510" t="s">
        <v>3982</v>
      </c>
      <c r="AB44" s="510" t="s">
        <v>5067</v>
      </c>
      <c r="AC44" s="510" t="s">
        <v>2146</v>
      </c>
      <c r="AD44" s="511">
        <v>44627</v>
      </c>
      <c r="AE44" s="515">
        <v>1517.3669</v>
      </c>
      <c r="AF44" s="507" t="s">
        <v>3857</v>
      </c>
      <c r="AG44" s="510" t="s">
        <v>3108</v>
      </c>
      <c r="AH44" s="517">
        <v>151542.39000000001</v>
      </c>
      <c r="AI44" s="517">
        <v>10370</v>
      </c>
      <c r="AJ44" s="517">
        <v>9</v>
      </c>
      <c r="AK44" s="517">
        <f t="shared" si="34"/>
        <v>161921.39000000001</v>
      </c>
      <c r="AL44" s="518">
        <v>5.0758000000000001</v>
      </c>
      <c r="AM44" s="519">
        <f t="shared" si="26"/>
        <v>821880.59136200009</v>
      </c>
      <c r="AN44" s="519">
        <v>0</v>
      </c>
      <c r="AO44" s="510">
        <v>11</v>
      </c>
      <c r="AP44" s="519">
        <v>59642.75</v>
      </c>
      <c r="AQ44" s="519">
        <v>86103.92</v>
      </c>
      <c r="AR44" s="519">
        <v>17259.46</v>
      </c>
      <c r="AS44" s="519">
        <v>79311.429999999993</v>
      </c>
      <c r="AT44" s="519">
        <v>194509.65</v>
      </c>
      <c r="AU44" s="519">
        <v>13180.21</v>
      </c>
      <c r="AV44" s="519">
        <v>416.46</v>
      </c>
      <c r="AW44" s="510" t="s">
        <v>3139</v>
      </c>
      <c r="AX44" s="520">
        <f t="shared" si="27"/>
        <v>44628</v>
      </c>
      <c r="AY44" s="510"/>
      <c r="AZ44" s="519">
        <f t="shared" si="28"/>
        <v>1232820.8870430002</v>
      </c>
      <c r="BA44" s="521">
        <f t="shared" si="29"/>
        <v>1</v>
      </c>
      <c r="BB44" s="519">
        <f t="shared" si="30"/>
        <v>1232820.8870430002</v>
      </c>
      <c r="BC44" s="519"/>
      <c r="BD44" s="519">
        <f t="shared" si="31"/>
        <v>10</v>
      </c>
      <c r="BE44" s="519">
        <f t="shared" si="7"/>
        <v>10</v>
      </c>
      <c r="BF44" s="513" t="s">
        <v>1771</v>
      </c>
      <c r="BG44" s="514" t="s">
        <v>1771</v>
      </c>
      <c r="BH44" s="510" t="s">
        <v>1771</v>
      </c>
      <c r="BI44" s="628"/>
    </row>
    <row r="45" spans="1:61" s="523" customFormat="1" ht="96">
      <c r="A45" s="538" t="s">
        <v>5329</v>
      </c>
      <c r="B45" s="507" t="s">
        <v>3042</v>
      </c>
      <c r="C45" s="507" t="s">
        <v>4989</v>
      </c>
      <c r="D45" s="508" t="s">
        <v>5000</v>
      </c>
      <c r="E45" s="505" t="s">
        <v>4994</v>
      </c>
      <c r="F45" s="505" t="s">
        <v>4995</v>
      </c>
      <c r="G45" s="509" t="s">
        <v>5002</v>
      </c>
      <c r="H45" s="507" t="s">
        <v>5001</v>
      </c>
      <c r="I45" s="510">
        <v>1</v>
      </c>
      <c r="J45" s="510" t="s">
        <v>1771</v>
      </c>
      <c r="K45" s="507">
        <f>15+2+2</f>
        <v>19</v>
      </c>
      <c r="L45" s="507">
        <f>1929.5+127.2+127</f>
        <v>2183.6999999999998</v>
      </c>
      <c r="M45" s="511">
        <v>44592</v>
      </c>
      <c r="N45" s="511">
        <v>44597</v>
      </c>
      <c r="O45" s="511">
        <v>44597</v>
      </c>
      <c r="P45" s="511">
        <v>44636</v>
      </c>
      <c r="Q45" s="511">
        <v>44638</v>
      </c>
      <c r="R45" s="512" t="s">
        <v>5068</v>
      </c>
      <c r="S45" s="515" t="s">
        <v>3752</v>
      </c>
      <c r="T45" s="510" t="s">
        <v>3681</v>
      </c>
      <c r="U45" s="516" t="s">
        <v>3031</v>
      </c>
      <c r="V45" s="359">
        <v>44631</v>
      </c>
      <c r="W45" s="510" t="s">
        <v>3147</v>
      </c>
      <c r="X45" s="510" t="s">
        <v>3147</v>
      </c>
      <c r="Y45" s="511">
        <v>44631</v>
      </c>
      <c r="Z45" s="510" t="s">
        <v>3252</v>
      </c>
      <c r="AA45" s="510" t="s">
        <v>3982</v>
      </c>
      <c r="AB45" s="510" t="s">
        <v>5065</v>
      </c>
      <c r="AC45" s="510" t="s">
        <v>2146</v>
      </c>
      <c r="AD45" s="511">
        <v>44635</v>
      </c>
      <c r="AE45" s="515">
        <v>1335.28</v>
      </c>
      <c r="AF45" s="507" t="s">
        <v>4409</v>
      </c>
      <c r="AG45" s="510" t="s">
        <v>3108</v>
      </c>
      <c r="AH45" s="517">
        <v>62803.05</v>
      </c>
      <c r="AI45" s="517">
        <v>10370</v>
      </c>
      <c r="AJ45" s="517">
        <v>3</v>
      </c>
      <c r="AK45" s="517">
        <f t="shared" ref="AK45" si="35">SUM(AH45:AJ45)</f>
        <v>73176.05</v>
      </c>
      <c r="AL45" s="518">
        <v>5.0647000000000002</v>
      </c>
      <c r="AM45" s="519">
        <f t="shared" si="26"/>
        <v>370614.74043500004</v>
      </c>
      <c r="AN45" s="519">
        <v>0</v>
      </c>
      <c r="AO45" s="510">
        <v>2</v>
      </c>
      <c r="AP45" s="519">
        <v>3524.41</v>
      </c>
      <c r="AQ45" s="519">
        <v>28060.42</v>
      </c>
      <c r="AR45" s="519">
        <v>7782.91</v>
      </c>
      <c r="AS45" s="519">
        <v>35764.32</v>
      </c>
      <c r="AT45" s="519">
        <v>94616.46</v>
      </c>
      <c r="AU45" s="519">
        <v>13151.43</v>
      </c>
      <c r="AV45" s="519">
        <v>192.79</v>
      </c>
      <c r="AW45" s="510" t="s">
        <v>3139</v>
      </c>
      <c r="AX45" s="520">
        <f t="shared" si="27"/>
        <v>44638</v>
      </c>
      <c r="AY45" s="510"/>
      <c r="AZ45" s="519">
        <f t="shared" si="28"/>
        <v>555922.11065250007</v>
      </c>
      <c r="BA45" s="521">
        <f t="shared" si="29"/>
        <v>1</v>
      </c>
      <c r="BB45" s="519">
        <f t="shared" si="30"/>
        <v>555922.11065250007</v>
      </c>
      <c r="BC45" s="519"/>
      <c r="BD45" s="519">
        <f t="shared" si="31"/>
        <v>-80</v>
      </c>
      <c r="BE45" s="519">
        <f t="shared" si="7"/>
        <v>-80</v>
      </c>
      <c r="BF45" s="513" t="s">
        <v>1771</v>
      </c>
      <c r="BG45" s="514" t="s">
        <v>1771</v>
      </c>
      <c r="BH45" s="510" t="s">
        <v>1771</v>
      </c>
      <c r="BI45" s="628"/>
    </row>
    <row r="46" spans="1:61" s="523" customFormat="1" ht="132">
      <c r="A46" s="538" t="s">
        <v>5337</v>
      </c>
      <c r="B46" s="507" t="s">
        <v>3042</v>
      </c>
      <c r="C46" s="507" t="s">
        <v>4989</v>
      </c>
      <c r="D46" s="508">
        <v>4800016701</v>
      </c>
      <c r="E46" s="505" t="s">
        <v>4990</v>
      </c>
      <c r="F46" s="505" t="s">
        <v>4991</v>
      </c>
      <c r="G46" s="509" t="s">
        <v>4992</v>
      </c>
      <c r="H46" s="507" t="s">
        <v>4993</v>
      </c>
      <c r="I46" s="510" t="s">
        <v>1771</v>
      </c>
      <c r="J46" s="510">
        <v>1</v>
      </c>
      <c r="K46" s="507">
        <f>15+15+15</f>
        <v>45</v>
      </c>
      <c r="L46" s="507">
        <f>2094+2129+2077</f>
        <v>6300</v>
      </c>
      <c r="M46" s="511">
        <v>44592</v>
      </c>
      <c r="N46" s="511">
        <v>44601</v>
      </c>
      <c r="O46" s="511">
        <v>44601</v>
      </c>
      <c r="P46" s="511">
        <v>44636</v>
      </c>
      <c r="Q46" s="511">
        <v>44649</v>
      </c>
      <c r="R46" s="512" t="s">
        <v>5081</v>
      </c>
      <c r="S46" s="515" t="s">
        <v>3752</v>
      </c>
      <c r="T46" s="510" t="s">
        <v>3681</v>
      </c>
      <c r="U46" s="516" t="s">
        <v>3031</v>
      </c>
      <c r="V46" s="359">
        <v>44628</v>
      </c>
      <c r="W46" s="510" t="s">
        <v>3337</v>
      </c>
      <c r="X46" s="510" t="s">
        <v>3341</v>
      </c>
      <c r="Y46" s="511">
        <v>44638</v>
      </c>
      <c r="Z46" s="510" t="s">
        <v>3298</v>
      </c>
      <c r="AA46" s="510" t="s">
        <v>3982</v>
      </c>
      <c r="AB46" s="510" t="s">
        <v>5082</v>
      </c>
      <c r="AC46" s="510" t="s">
        <v>2146</v>
      </c>
      <c r="AD46" s="511">
        <v>44645</v>
      </c>
      <c r="AE46" s="515">
        <v>3961.8227000000002</v>
      </c>
      <c r="AF46" s="507" t="s">
        <v>3238</v>
      </c>
      <c r="AG46" s="510" t="s">
        <v>3108</v>
      </c>
      <c r="AH46" s="517">
        <v>32298.93</v>
      </c>
      <c r="AI46" s="517">
        <v>11029</v>
      </c>
      <c r="AJ46" s="517">
        <v>3</v>
      </c>
      <c r="AK46" s="517">
        <f t="shared" ref="AK46" si="36">SUM(AH46:AJ46)</f>
        <v>43330.93</v>
      </c>
      <c r="AL46" s="518">
        <v>4.8067000000000002</v>
      </c>
      <c r="AM46" s="519">
        <f t="shared" si="26"/>
        <v>208278.781231</v>
      </c>
      <c r="AN46" s="519">
        <v>0</v>
      </c>
      <c r="AO46" s="510">
        <v>2</v>
      </c>
      <c r="AP46" s="519">
        <v>14996.07</v>
      </c>
      <c r="AQ46" s="519">
        <v>16745.59</v>
      </c>
      <c r="AR46" s="519">
        <v>4373.8500000000004</v>
      </c>
      <c r="AS46" s="519">
        <v>20098.900000000001</v>
      </c>
      <c r="AT46" s="519">
        <v>57503.07</v>
      </c>
      <c r="AU46" s="519">
        <v>14018.1</v>
      </c>
      <c r="AV46" s="519">
        <v>192.79</v>
      </c>
      <c r="AW46" s="510" t="s">
        <v>3139</v>
      </c>
      <c r="AX46" s="520">
        <f t="shared" si="27"/>
        <v>44649</v>
      </c>
      <c r="AY46" s="510"/>
      <c r="AZ46" s="519">
        <f t="shared" si="28"/>
        <v>312418.17184650002</v>
      </c>
      <c r="BA46" s="521">
        <f t="shared" si="29"/>
        <v>1</v>
      </c>
      <c r="BB46" s="519">
        <f t="shared" si="30"/>
        <v>312418.17184650002</v>
      </c>
      <c r="BC46" s="519"/>
      <c r="BD46" s="519">
        <f t="shared" si="31"/>
        <v>-80</v>
      </c>
      <c r="BE46" s="519">
        <f t="shared" si="7"/>
        <v>-80</v>
      </c>
      <c r="BF46" s="513" t="s">
        <v>1771</v>
      </c>
      <c r="BG46" s="514" t="s">
        <v>1771</v>
      </c>
      <c r="BH46" s="510" t="s">
        <v>1771</v>
      </c>
      <c r="BI46" s="628"/>
    </row>
    <row r="47" spans="1:61" s="523" customFormat="1" ht="144">
      <c r="A47" s="538" t="s">
        <v>5330</v>
      </c>
      <c r="B47" s="507" t="s">
        <v>3042</v>
      </c>
      <c r="C47" s="507" t="s">
        <v>4989</v>
      </c>
      <c r="D47" s="508" t="s">
        <v>5015</v>
      </c>
      <c r="E47" s="505" t="s">
        <v>5012</v>
      </c>
      <c r="F47" s="505" t="s">
        <v>5013</v>
      </c>
      <c r="G47" s="509" t="s">
        <v>5014</v>
      </c>
      <c r="H47" s="507" t="s">
        <v>5016</v>
      </c>
      <c r="I47" s="510">
        <v>1</v>
      </c>
      <c r="J47" s="510" t="s">
        <v>1771</v>
      </c>
      <c r="K47" s="507">
        <f>2+5+18+6+7+1</f>
        <v>39</v>
      </c>
      <c r="L47" s="507">
        <f>30.34+920+2139+556.5+54.7+49.5</f>
        <v>3750.04</v>
      </c>
      <c r="M47" s="511">
        <v>44616</v>
      </c>
      <c r="N47" s="511">
        <v>44614</v>
      </c>
      <c r="O47" s="511">
        <v>44614</v>
      </c>
      <c r="P47" s="511">
        <v>44651</v>
      </c>
      <c r="Q47" s="511">
        <v>44659</v>
      </c>
      <c r="R47" s="512" t="s">
        <v>5092</v>
      </c>
      <c r="S47" s="515" t="s">
        <v>3752</v>
      </c>
      <c r="T47" s="510" t="s">
        <v>3128</v>
      </c>
      <c r="U47" s="516" t="s">
        <v>3031</v>
      </c>
      <c r="V47" s="359">
        <v>44645</v>
      </c>
      <c r="W47" s="510" t="s">
        <v>3337</v>
      </c>
      <c r="X47" s="510" t="s">
        <v>3341</v>
      </c>
      <c r="Y47" s="511">
        <v>44655</v>
      </c>
      <c r="Z47" s="510" t="s">
        <v>3252</v>
      </c>
      <c r="AA47" s="510" t="s">
        <v>3982</v>
      </c>
      <c r="AB47" s="510" t="s">
        <v>5093</v>
      </c>
      <c r="AC47" s="510" t="s">
        <v>2146</v>
      </c>
      <c r="AD47" s="511">
        <v>44658</v>
      </c>
      <c r="AE47" s="515">
        <v>2546.0893000000001</v>
      </c>
      <c r="AF47" s="507" t="s">
        <v>3777</v>
      </c>
      <c r="AG47" s="510" t="s">
        <v>3108</v>
      </c>
      <c r="AH47" s="517">
        <v>64360.73</v>
      </c>
      <c r="AI47" s="517">
        <v>10370</v>
      </c>
      <c r="AJ47" s="517">
        <v>6</v>
      </c>
      <c r="AK47" s="517">
        <f t="shared" ref="AK47" si="37">SUM(AH47:AJ47)</f>
        <v>74736.73000000001</v>
      </c>
      <c r="AL47" s="518">
        <v>4.6399999999999997</v>
      </c>
      <c r="AM47" s="519">
        <f t="shared" si="26"/>
        <v>346778.42720000003</v>
      </c>
      <c r="AN47" s="519">
        <v>0</v>
      </c>
      <c r="AO47" s="510">
        <v>18</v>
      </c>
      <c r="AP47" s="519">
        <v>14797.73</v>
      </c>
      <c r="AQ47" s="519">
        <v>31441.33</v>
      </c>
      <c r="AR47" s="519">
        <v>7282.34</v>
      </c>
      <c r="AS47" s="519">
        <v>33479.629999999997</v>
      </c>
      <c r="AT47" s="519">
        <v>88226.37</v>
      </c>
      <c r="AU47" s="519">
        <v>3870.54</v>
      </c>
      <c r="AV47" s="519">
        <v>524.4</v>
      </c>
      <c r="AW47" s="510" t="s">
        <v>3139</v>
      </c>
      <c r="AX47" s="520">
        <f t="shared" si="27"/>
        <v>44659</v>
      </c>
      <c r="AY47" s="510"/>
      <c r="AZ47" s="519">
        <f t="shared" si="28"/>
        <v>520167.64080000005</v>
      </c>
      <c r="BA47" s="521">
        <f t="shared" si="29"/>
        <v>1</v>
      </c>
      <c r="BB47" s="519">
        <f t="shared" si="30"/>
        <v>520167.64080000005</v>
      </c>
      <c r="BC47" s="519"/>
      <c r="BD47" s="519">
        <f t="shared" si="31"/>
        <v>80</v>
      </c>
      <c r="BE47" s="519">
        <f t="shared" si="7"/>
        <v>80</v>
      </c>
      <c r="BF47" s="513" t="s">
        <v>1771</v>
      </c>
      <c r="BG47" s="514" t="s">
        <v>1771</v>
      </c>
      <c r="BH47" s="510" t="s">
        <v>1771</v>
      </c>
      <c r="BI47" s="628"/>
    </row>
    <row r="48" spans="1:61" s="523" customFormat="1" ht="144">
      <c r="A48" s="538" t="s">
        <v>5250</v>
      </c>
      <c r="B48" s="507" t="s">
        <v>3042</v>
      </c>
      <c r="C48" s="507" t="s">
        <v>4989</v>
      </c>
      <c r="D48" s="508" t="s">
        <v>5019</v>
      </c>
      <c r="E48" s="505" t="s">
        <v>5017</v>
      </c>
      <c r="F48" s="505" t="s">
        <v>5018</v>
      </c>
      <c r="G48" s="509" t="s">
        <v>5020</v>
      </c>
      <c r="H48" s="507" t="s">
        <v>5016</v>
      </c>
      <c r="I48" s="510" t="s">
        <v>1771</v>
      </c>
      <c r="J48" s="510">
        <v>1</v>
      </c>
      <c r="K48" s="507">
        <f>6+15+15+7</f>
        <v>43</v>
      </c>
      <c r="L48" s="507">
        <f>662.2+2080.5+2108+1204.5</f>
        <v>6055.2</v>
      </c>
      <c r="M48" s="511">
        <v>44616</v>
      </c>
      <c r="N48" s="511">
        <v>44617</v>
      </c>
      <c r="O48" s="511">
        <v>44617</v>
      </c>
      <c r="P48" s="511">
        <v>44651</v>
      </c>
      <c r="Q48" s="511">
        <v>44670</v>
      </c>
      <c r="R48" s="512" t="s">
        <v>5289</v>
      </c>
      <c r="S48" s="515" t="s">
        <v>3752</v>
      </c>
      <c r="T48" s="510" t="s">
        <v>3128</v>
      </c>
      <c r="U48" s="516" t="s">
        <v>3031</v>
      </c>
      <c r="V48" s="359">
        <v>44645</v>
      </c>
      <c r="W48" s="510" t="s">
        <v>3337</v>
      </c>
      <c r="X48" s="510" t="s">
        <v>3341</v>
      </c>
      <c r="Y48" s="511">
        <v>44652</v>
      </c>
      <c r="Z48" s="510" t="s">
        <v>3252</v>
      </c>
      <c r="AA48" s="510" t="s">
        <v>3982</v>
      </c>
      <c r="AB48" s="510" t="s">
        <v>5113</v>
      </c>
      <c r="AC48" s="510" t="s">
        <v>2146</v>
      </c>
      <c r="AD48" s="511">
        <v>44664</v>
      </c>
      <c r="AE48" s="515">
        <v>3803.6078000000002</v>
      </c>
      <c r="AF48" s="507" t="s">
        <v>3238</v>
      </c>
      <c r="AG48" s="510" t="s">
        <v>3108</v>
      </c>
      <c r="AH48" s="517">
        <v>48102.14</v>
      </c>
      <c r="AI48" s="517">
        <v>11029</v>
      </c>
      <c r="AJ48" s="517">
        <v>4</v>
      </c>
      <c r="AK48" s="517">
        <f t="shared" ref="AK48:AK54" si="38">SUM(AH48:AJ48)</f>
        <v>59135.14</v>
      </c>
      <c r="AL48" s="518">
        <v>4.6482999999999999</v>
      </c>
      <c r="AM48" s="519">
        <f t="shared" si="26"/>
        <v>274877.871262</v>
      </c>
      <c r="AN48" s="519">
        <v>0</v>
      </c>
      <c r="AO48" s="510">
        <v>3</v>
      </c>
      <c r="AP48" s="519">
        <v>0</v>
      </c>
      <c r="AQ48" s="519">
        <v>20615.82</v>
      </c>
      <c r="AR48" s="519">
        <v>5772.43</v>
      </c>
      <c r="AS48" s="519">
        <v>26525.71</v>
      </c>
      <c r="AT48" s="519">
        <v>68381.279999999999</v>
      </c>
      <c r="AU48" s="519">
        <v>4115.16</v>
      </c>
      <c r="AV48" s="519">
        <v>223.64</v>
      </c>
      <c r="AW48" s="510" t="s">
        <v>3139</v>
      </c>
      <c r="AX48" s="520">
        <f t="shared" si="27"/>
        <v>44670</v>
      </c>
      <c r="AY48" s="510"/>
      <c r="AZ48" s="519">
        <f t="shared" si="28"/>
        <v>412316.80689300003</v>
      </c>
      <c r="BA48" s="521">
        <f t="shared" si="29"/>
        <v>1</v>
      </c>
      <c r="BB48" s="519">
        <f t="shared" si="30"/>
        <v>412316.80689300003</v>
      </c>
      <c r="BC48" s="519"/>
      <c r="BD48" s="519">
        <f t="shared" si="31"/>
        <v>-70</v>
      </c>
      <c r="BE48" s="519">
        <f t="shared" si="7"/>
        <v>-70</v>
      </c>
      <c r="BF48" s="513" t="s">
        <v>1771</v>
      </c>
      <c r="BG48" s="514" t="s">
        <v>1771</v>
      </c>
      <c r="BH48" s="510" t="s">
        <v>1771</v>
      </c>
      <c r="BI48" s="628"/>
    </row>
    <row r="49" spans="1:61" s="523" customFormat="1" ht="132">
      <c r="A49" s="538" t="s">
        <v>5251</v>
      </c>
      <c r="B49" s="507" t="s">
        <v>3042</v>
      </c>
      <c r="C49" s="507" t="s">
        <v>4989</v>
      </c>
      <c r="D49" s="508" t="s">
        <v>5036</v>
      </c>
      <c r="E49" s="505" t="s">
        <v>5021</v>
      </c>
      <c r="F49" s="505" t="s">
        <v>5022</v>
      </c>
      <c r="G49" s="509" t="s">
        <v>5037</v>
      </c>
      <c r="H49" s="507" t="s">
        <v>5038</v>
      </c>
      <c r="I49" s="510" t="s">
        <v>1771</v>
      </c>
      <c r="J49" s="510">
        <v>1</v>
      </c>
      <c r="K49" s="507">
        <f>10+4+15+15</f>
        <v>44</v>
      </c>
      <c r="L49" s="507">
        <f>1770.5+735.5+1919+1897</f>
        <v>6322</v>
      </c>
      <c r="M49" s="511">
        <v>44623</v>
      </c>
      <c r="N49" s="511">
        <v>44619</v>
      </c>
      <c r="O49" s="511">
        <v>44619</v>
      </c>
      <c r="P49" s="511">
        <v>44654</v>
      </c>
      <c r="Q49" s="511">
        <v>44671</v>
      </c>
      <c r="R49" s="512" t="s">
        <v>5290</v>
      </c>
      <c r="S49" s="515" t="s">
        <v>3752</v>
      </c>
      <c r="T49" s="510" t="s">
        <v>3681</v>
      </c>
      <c r="U49" s="516" t="s">
        <v>3031</v>
      </c>
      <c r="V49" s="359">
        <v>44652</v>
      </c>
      <c r="W49" s="510" t="s">
        <v>3147</v>
      </c>
      <c r="X49" s="510" t="s">
        <v>3147</v>
      </c>
      <c r="Y49" s="511">
        <v>44656</v>
      </c>
      <c r="Z49" s="510" t="s">
        <v>3252</v>
      </c>
      <c r="AA49" s="510" t="s">
        <v>3982</v>
      </c>
      <c r="AB49" s="510" t="s">
        <v>5114</v>
      </c>
      <c r="AC49" s="510" t="s">
        <v>2146</v>
      </c>
      <c r="AD49" s="511">
        <v>44664</v>
      </c>
      <c r="AE49" s="515">
        <v>4086.1889999999999</v>
      </c>
      <c r="AF49" s="507" t="s">
        <v>3238</v>
      </c>
      <c r="AG49" s="510" t="s">
        <v>3108</v>
      </c>
      <c r="AH49" s="517">
        <v>147868</v>
      </c>
      <c r="AI49" s="517">
        <v>11029</v>
      </c>
      <c r="AJ49" s="517">
        <v>4</v>
      </c>
      <c r="AK49" s="517">
        <f t="shared" si="38"/>
        <v>158901</v>
      </c>
      <c r="AL49" s="518">
        <v>4.6482999999999999</v>
      </c>
      <c r="AM49" s="519">
        <f t="shared" si="26"/>
        <v>738619.5183</v>
      </c>
      <c r="AN49" s="519">
        <v>0</v>
      </c>
      <c r="AO49" s="510">
        <v>4</v>
      </c>
      <c r="AP49" s="519">
        <v>0</v>
      </c>
      <c r="AQ49" s="519">
        <v>55396.45</v>
      </c>
      <c r="AR49" s="519">
        <v>15511.02</v>
      </c>
      <c r="AS49" s="519">
        <v>71276.78</v>
      </c>
      <c r="AT49" s="519">
        <v>182146.17</v>
      </c>
      <c r="AU49" s="519">
        <v>4115.16</v>
      </c>
      <c r="AV49" s="519">
        <v>254.49</v>
      </c>
      <c r="AW49" s="510" t="s">
        <v>3139</v>
      </c>
      <c r="AX49" s="520">
        <f t="shared" si="27"/>
        <v>44671</v>
      </c>
      <c r="AY49" s="510"/>
      <c r="AZ49" s="519">
        <f t="shared" si="28"/>
        <v>1107929.2774499999</v>
      </c>
      <c r="BA49" s="521">
        <f t="shared" si="29"/>
        <v>1</v>
      </c>
      <c r="BB49" s="519">
        <f t="shared" si="30"/>
        <v>1107929.2774499999</v>
      </c>
      <c r="BC49" s="519"/>
      <c r="BD49" s="519">
        <f t="shared" si="31"/>
        <v>-60</v>
      </c>
      <c r="BE49" s="519">
        <f t="shared" si="7"/>
        <v>-60</v>
      </c>
      <c r="BF49" s="513" t="s">
        <v>1771</v>
      </c>
      <c r="BG49" s="514" t="s">
        <v>1771</v>
      </c>
      <c r="BH49" s="510" t="s">
        <v>1771</v>
      </c>
      <c r="BI49" s="628"/>
    </row>
    <row r="50" spans="1:61" s="523" customFormat="1" ht="132">
      <c r="A50" s="538" t="s">
        <v>5252</v>
      </c>
      <c r="B50" s="507" t="s">
        <v>3042</v>
      </c>
      <c r="C50" s="507" t="s">
        <v>3774</v>
      </c>
      <c r="D50" s="508" t="s">
        <v>5045</v>
      </c>
      <c r="E50" s="505" t="s">
        <v>5041</v>
      </c>
      <c r="F50" s="505" t="s">
        <v>5042</v>
      </c>
      <c r="G50" s="509" t="s">
        <v>5043</v>
      </c>
      <c r="H50" s="507" t="s">
        <v>5044</v>
      </c>
      <c r="I50" s="510" t="s">
        <v>1771</v>
      </c>
      <c r="J50" s="510">
        <v>1</v>
      </c>
      <c r="K50" s="507">
        <f>2+2+3+5+5+5+4+5+5+5</f>
        <v>41</v>
      </c>
      <c r="L50" s="507">
        <f>133+132+517.5+696+1135.5+1124.5+798+1123.5+1134.5+1131</f>
        <v>7925.5</v>
      </c>
      <c r="M50" s="511">
        <v>44627</v>
      </c>
      <c r="N50" s="511">
        <v>44627</v>
      </c>
      <c r="O50" s="511">
        <v>44627</v>
      </c>
      <c r="P50" s="511">
        <v>44662</v>
      </c>
      <c r="Q50" s="511">
        <v>44665</v>
      </c>
      <c r="R50" s="512" t="s">
        <v>5291</v>
      </c>
      <c r="S50" s="515" t="s">
        <v>3752</v>
      </c>
      <c r="T50" s="510" t="s">
        <v>3681</v>
      </c>
      <c r="U50" s="516" t="s">
        <v>3031</v>
      </c>
      <c r="V50" s="359">
        <v>44659</v>
      </c>
      <c r="W50" s="510" t="s">
        <v>3147</v>
      </c>
      <c r="X50" s="510" t="s">
        <v>3147</v>
      </c>
      <c r="Y50" s="511">
        <v>44663</v>
      </c>
      <c r="Z50" s="510" t="s">
        <v>3252</v>
      </c>
      <c r="AA50" s="510" t="s">
        <v>3982</v>
      </c>
      <c r="AB50" s="510" t="s">
        <v>5111</v>
      </c>
      <c r="AC50" s="510" t="s">
        <v>2146</v>
      </c>
      <c r="AD50" s="511">
        <v>44664</v>
      </c>
      <c r="AE50" s="515">
        <v>5406.3687</v>
      </c>
      <c r="AF50" s="507" t="s">
        <v>3790</v>
      </c>
      <c r="AG50" s="510" t="s">
        <v>3108</v>
      </c>
      <c r="AH50" s="517">
        <v>286941.96000000002</v>
      </c>
      <c r="AI50" s="517">
        <v>11029</v>
      </c>
      <c r="AJ50" s="517">
        <v>10</v>
      </c>
      <c r="AK50" s="517">
        <f t="shared" si="38"/>
        <v>297980.96000000002</v>
      </c>
      <c r="AL50" s="518">
        <v>4.6482999999999999</v>
      </c>
      <c r="AM50" s="519">
        <f t="shared" si="26"/>
        <v>1385104.896368</v>
      </c>
      <c r="AN50" s="519">
        <v>0</v>
      </c>
      <c r="AO50" s="510">
        <v>10</v>
      </c>
      <c r="AP50" s="519">
        <v>1622.22</v>
      </c>
      <c r="AQ50" s="519">
        <v>104192.83</v>
      </c>
      <c r="AR50" s="519">
        <v>29087.18</v>
      </c>
      <c r="AS50" s="519">
        <v>133662.6</v>
      </c>
      <c r="AT50" s="519">
        <v>341132.51</v>
      </c>
      <c r="AU50" s="519">
        <v>4170.3</v>
      </c>
      <c r="AV50" s="519">
        <v>401.04</v>
      </c>
      <c r="AW50" s="510" t="s">
        <v>3139</v>
      </c>
      <c r="AX50" s="520">
        <f t="shared" si="27"/>
        <v>44665</v>
      </c>
      <c r="AY50" s="510"/>
      <c r="AZ50" s="519">
        <f t="shared" si="28"/>
        <v>2077657.3445520001</v>
      </c>
      <c r="BA50" s="521">
        <f t="shared" si="29"/>
        <v>1</v>
      </c>
      <c r="BB50" s="519">
        <f t="shared" si="30"/>
        <v>2077657.3445520001</v>
      </c>
      <c r="BC50" s="519"/>
      <c r="BD50" s="519">
        <f t="shared" si="31"/>
        <v>0</v>
      </c>
      <c r="BE50" s="519">
        <f t="shared" si="7"/>
        <v>0</v>
      </c>
      <c r="BF50" s="513" t="s">
        <v>1771</v>
      </c>
      <c r="BG50" s="514" t="s">
        <v>1771</v>
      </c>
      <c r="BH50" s="510" t="s">
        <v>1771</v>
      </c>
      <c r="BI50" s="628"/>
    </row>
    <row r="51" spans="1:61" s="523" customFormat="1" ht="132">
      <c r="A51" s="538" t="s">
        <v>5253</v>
      </c>
      <c r="B51" s="507" t="s">
        <v>3042</v>
      </c>
      <c r="C51" s="507" t="s">
        <v>3774</v>
      </c>
      <c r="D51" s="508" t="s">
        <v>5049</v>
      </c>
      <c r="E51" s="505" t="s">
        <v>5046</v>
      </c>
      <c r="F51" s="505" t="s">
        <v>5047</v>
      </c>
      <c r="G51" s="509" t="s">
        <v>5048</v>
      </c>
      <c r="H51" s="507" t="s">
        <v>5044</v>
      </c>
      <c r="I51" s="510" t="s">
        <v>1771</v>
      </c>
      <c r="J51" s="510">
        <v>1</v>
      </c>
      <c r="K51" s="507">
        <f>1+8+7+5+5+15+12+5</f>
        <v>58</v>
      </c>
      <c r="L51" s="507">
        <f>20.5+1669.5+897.5+1047+490.36+1946+1847+1143</f>
        <v>9060.86</v>
      </c>
      <c r="M51" s="511">
        <v>44623</v>
      </c>
      <c r="N51" s="511">
        <v>44624</v>
      </c>
      <c r="O51" s="511">
        <v>44624</v>
      </c>
      <c r="P51" s="511">
        <v>44662</v>
      </c>
      <c r="Q51" s="511">
        <v>44669</v>
      </c>
      <c r="R51" s="512" t="s">
        <v>5292</v>
      </c>
      <c r="S51" s="515" t="s">
        <v>3752</v>
      </c>
      <c r="T51" s="510" t="s">
        <v>3681</v>
      </c>
      <c r="U51" s="516" t="s">
        <v>3031</v>
      </c>
      <c r="V51" s="359">
        <v>44659</v>
      </c>
      <c r="W51" s="510" t="s">
        <v>3147</v>
      </c>
      <c r="X51" s="510" t="s">
        <v>3147</v>
      </c>
      <c r="Y51" s="511">
        <v>44663</v>
      </c>
      <c r="Z51" s="510" t="s">
        <v>3252</v>
      </c>
      <c r="AA51" s="510" t="s">
        <v>3982</v>
      </c>
      <c r="AB51" s="510" t="s">
        <v>5112</v>
      </c>
      <c r="AC51" s="510" t="s">
        <v>2146</v>
      </c>
      <c r="AD51" s="511">
        <v>44664</v>
      </c>
      <c r="AE51" s="515">
        <v>6201.4768999999997</v>
      </c>
      <c r="AF51" s="507" t="s">
        <v>3359</v>
      </c>
      <c r="AG51" s="510" t="s">
        <v>3108</v>
      </c>
      <c r="AH51" s="517">
        <v>179081.96</v>
      </c>
      <c r="AI51" s="517">
        <v>11029</v>
      </c>
      <c r="AJ51" s="517">
        <v>8</v>
      </c>
      <c r="AK51" s="517">
        <f t="shared" si="38"/>
        <v>190118.96</v>
      </c>
      <c r="AL51" s="518">
        <v>4.6482999999999999</v>
      </c>
      <c r="AM51" s="519">
        <f t="shared" si="26"/>
        <v>883729.96176799992</v>
      </c>
      <c r="AN51" s="519">
        <v>0</v>
      </c>
      <c r="AO51" s="510">
        <v>16</v>
      </c>
      <c r="AP51" s="519">
        <v>328.13</v>
      </c>
      <c r="AQ51" s="519">
        <v>66304.27</v>
      </c>
      <c r="AR51" s="519">
        <v>18558.310000000001</v>
      </c>
      <c r="AS51" s="519">
        <v>85279.91</v>
      </c>
      <c r="AT51" s="519">
        <v>217879.02</v>
      </c>
      <c r="AU51" s="519">
        <v>4170.3</v>
      </c>
      <c r="AV51" s="519">
        <v>493.56</v>
      </c>
      <c r="AW51" s="510" t="s">
        <v>3139</v>
      </c>
      <c r="AX51" s="520">
        <f t="shared" si="27"/>
        <v>44669</v>
      </c>
      <c r="AY51" s="510"/>
      <c r="AZ51" s="519">
        <f t="shared" si="28"/>
        <v>1325594.9426519999</v>
      </c>
      <c r="BA51" s="521">
        <f t="shared" si="29"/>
        <v>1</v>
      </c>
      <c r="BB51" s="519">
        <f t="shared" si="30"/>
        <v>1325594.9426519999</v>
      </c>
      <c r="BC51" s="519"/>
      <c r="BD51" s="519">
        <f t="shared" si="31"/>
        <v>60</v>
      </c>
      <c r="BE51" s="519">
        <f t="shared" si="7"/>
        <v>60</v>
      </c>
      <c r="BF51" s="513" t="s">
        <v>1771</v>
      </c>
      <c r="BG51" s="514" t="s">
        <v>1771</v>
      </c>
      <c r="BH51" s="510" t="s">
        <v>1771</v>
      </c>
      <c r="BI51" s="628"/>
    </row>
    <row r="52" spans="1:61" s="523" customFormat="1" ht="132">
      <c r="A52" s="538" t="s">
        <v>5258</v>
      </c>
      <c r="B52" s="507" t="s">
        <v>3042</v>
      </c>
      <c r="C52" s="507" t="s">
        <v>3774</v>
      </c>
      <c r="D52" s="508" t="s">
        <v>5071</v>
      </c>
      <c r="E52" s="505" t="s">
        <v>5069</v>
      </c>
      <c r="F52" s="505" t="s">
        <v>5070</v>
      </c>
      <c r="G52" s="509" t="s">
        <v>5072</v>
      </c>
      <c r="H52" s="507" t="s">
        <v>5077</v>
      </c>
      <c r="I52" s="510" t="s">
        <v>1771</v>
      </c>
      <c r="J52" s="510">
        <v>1</v>
      </c>
      <c r="K52" s="507">
        <f>3+18+5+5+15+5+2+2+4</f>
        <v>59</v>
      </c>
      <c r="L52" s="507">
        <f>469+2079+1056+924+1946+945.5+8.83+8.84+17.06</f>
        <v>7454.2300000000005</v>
      </c>
      <c r="M52" s="511">
        <v>44642</v>
      </c>
      <c r="N52" s="511">
        <v>44642</v>
      </c>
      <c r="O52" s="511">
        <v>44642</v>
      </c>
      <c r="P52" s="511">
        <v>44680</v>
      </c>
      <c r="Q52" s="511">
        <f t="shared" ref="Q52:Q54" si="39">P52+5</f>
        <v>44685</v>
      </c>
      <c r="R52" s="512" t="s">
        <v>5359</v>
      </c>
      <c r="S52" s="515" t="s">
        <v>3752</v>
      </c>
      <c r="T52" s="510" t="s">
        <v>3128</v>
      </c>
      <c r="U52" s="516" t="s">
        <v>3031</v>
      </c>
      <c r="V52" s="359">
        <v>45035</v>
      </c>
      <c r="W52" s="510" t="s">
        <v>3337</v>
      </c>
      <c r="X52" s="510" t="s">
        <v>3341</v>
      </c>
      <c r="Y52" s="511">
        <v>44683</v>
      </c>
      <c r="Z52" s="510" t="s">
        <v>3252</v>
      </c>
      <c r="AA52" s="510" t="s">
        <v>3982</v>
      </c>
      <c r="AB52" s="510" t="s">
        <v>5344</v>
      </c>
      <c r="AC52" s="510" t="s">
        <v>2146</v>
      </c>
      <c r="AD52" s="511">
        <v>44683</v>
      </c>
      <c r="AE52" s="515">
        <v>4777.4129000000003</v>
      </c>
      <c r="AF52" s="507" t="s">
        <v>4409</v>
      </c>
      <c r="AG52" s="510" t="s">
        <v>3108</v>
      </c>
      <c r="AH52" s="517">
        <v>186032.34</v>
      </c>
      <c r="AI52" s="517">
        <v>11029</v>
      </c>
      <c r="AJ52" s="517">
        <v>9</v>
      </c>
      <c r="AK52" s="517">
        <f t="shared" si="38"/>
        <v>197070.34</v>
      </c>
      <c r="AL52" s="518">
        <v>4.9191000000000003</v>
      </c>
      <c r="AM52" s="519">
        <f t="shared" si="26"/>
        <v>969408.70949400007</v>
      </c>
      <c r="AN52" s="519">
        <v>0</v>
      </c>
      <c r="AO52" s="510">
        <v>12</v>
      </c>
      <c r="AP52" s="519">
        <v>61710.89</v>
      </c>
      <c r="AQ52" s="519">
        <v>77541.83</v>
      </c>
      <c r="AR52" s="519">
        <v>20357.580000000002</v>
      </c>
      <c r="AS52" s="519">
        <v>93547.92</v>
      </c>
      <c r="AT52" s="519">
        <v>251720.3</v>
      </c>
      <c r="AU52" s="519">
        <v>4360.22</v>
      </c>
      <c r="AV52" s="519">
        <v>431.88</v>
      </c>
      <c r="AW52" s="510" t="s">
        <v>3139</v>
      </c>
      <c r="AX52" s="520">
        <f t="shared" si="27"/>
        <v>44685</v>
      </c>
      <c r="AY52" s="510"/>
      <c r="AZ52" s="519">
        <f t="shared" si="28"/>
        <v>1454113.064241</v>
      </c>
      <c r="BA52" s="521">
        <f t="shared" si="29"/>
        <v>1</v>
      </c>
      <c r="BB52" s="519">
        <f t="shared" si="30"/>
        <v>1454113.064241</v>
      </c>
      <c r="BC52" s="519"/>
      <c r="BD52" s="519">
        <f t="shared" si="31"/>
        <v>20</v>
      </c>
      <c r="BE52" s="519">
        <f t="shared" si="7"/>
        <v>20</v>
      </c>
      <c r="BF52" s="513" t="s">
        <v>1771</v>
      </c>
      <c r="BG52" s="514" t="s">
        <v>1771</v>
      </c>
      <c r="BH52" s="510" t="s">
        <v>1771</v>
      </c>
      <c r="BI52" s="628"/>
    </row>
    <row r="53" spans="1:61" s="523" customFormat="1" ht="132">
      <c r="A53" s="538" t="s">
        <v>5259</v>
      </c>
      <c r="B53" s="507" t="s">
        <v>3042</v>
      </c>
      <c r="C53" s="507" t="s">
        <v>3774</v>
      </c>
      <c r="D53" s="508" t="s">
        <v>5075</v>
      </c>
      <c r="E53" s="505" t="s">
        <v>5073</v>
      </c>
      <c r="F53" s="505" t="s">
        <v>5074</v>
      </c>
      <c r="G53" s="509" t="s">
        <v>5076</v>
      </c>
      <c r="H53" s="507" t="s">
        <v>5077</v>
      </c>
      <c r="I53" s="510">
        <v>1</v>
      </c>
      <c r="J53" s="510" t="s">
        <v>1771</v>
      </c>
      <c r="K53" s="507">
        <f>5+8+8</f>
        <v>21</v>
      </c>
      <c r="L53" s="507">
        <f>644+1139.5+1139.5</f>
        <v>2923</v>
      </c>
      <c r="M53" s="511">
        <v>44644</v>
      </c>
      <c r="N53" s="511">
        <v>44647</v>
      </c>
      <c r="O53" s="511">
        <v>44647</v>
      </c>
      <c r="P53" s="511">
        <v>44680</v>
      </c>
      <c r="Q53" s="511">
        <f t="shared" si="39"/>
        <v>44685</v>
      </c>
      <c r="R53" s="512" t="s">
        <v>5358</v>
      </c>
      <c r="S53" s="515" t="s">
        <v>3752</v>
      </c>
      <c r="T53" s="510" t="s">
        <v>3128</v>
      </c>
      <c r="U53" s="516" t="s">
        <v>3031</v>
      </c>
      <c r="V53" s="359">
        <v>45042</v>
      </c>
      <c r="W53" s="510" t="s">
        <v>3337</v>
      </c>
      <c r="X53" s="510" t="s">
        <v>3341</v>
      </c>
      <c r="Y53" s="511">
        <v>44683</v>
      </c>
      <c r="Z53" s="510" t="s">
        <v>3252</v>
      </c>
      <c r="AA53" s="510" t="s">
        <v>3982</v>
      </c>
      <c r="AB53" s="510" t="s">
        <v>5343</v>
      </c>
      <c r="AC53" s="510" t="s">
        <v>2146</v>
      </c>
      <c r="AD53" s="511">
        <v>44683</v>
      </c>
      <c r="AE53" s="516">
        <v>1720</v>
      </c>
      <c r="AF53" s="507" t="s">
        <v>3238</v>
      </c>
      <c r="AG53" s="510" t="s">
        <v>3108</v>
      </c>
      <c r="AH53" s="517">
        <v>30485.99</v>
      </c>
      <c r="AI53" s="517">
        <v>10370</v>
      </c>
      <c r="AJ53" s="517">
        <v>3</v>
      </c>
      <c r="AK53" s="517">
        <f t="shared" si="38"/>
        <v>40858.990000000005</v>
      </c>
      <c r="AL53" s="518">
        <v>4.9191000000000003</v>
      </c>
      <c r="AM53" s="519">
        <f t="shared" si="26"/>
        <v>200989.45770900004</v>
      </c>
      <c r="AN53" s="519">
        <v>0</v>
      </c>
      <c r="AO53" s="510">
        <v>3</v>
      </c>
      <c r="AP53" s="519">
        <v>14471.24</v>
      </c>
      <c r="AQ53" s="519">
        <v>16159.53</v>
      </c>
      <c r="AR53" s="519">
        <v>4220.78</v>
      </c>
      <c r="AS53" s="519">
        <v>19395.46</v>
      </c>
      <c r="AT53" s="519">
        <v>53429.58</v>
      </c>
      <c r="AU53" s="519">
        <v>4100.88</v>
      </c>
      <c r="AV53" s="519">
        <v>223.64</v>
      </c>
      <c r="AW53" s="510" t="s">
        <v>3139</v>
      </c>
      <c r="AX53" s="520">
        <f t="shared" si="27"/>
        <v>44685</v>
      </c>
      <c r="AY53" s="510"/>
      <c r="AZ53" s="519">
        <f t="shared" si="28"/>
        <v>301484.18656350009</v>
      </c>
      <c r="BA53" s="521">
        <f t="shared" si="29"/>
        <v>1</v>
      </c>
      <c r="BB53" s="519">
        <f t="shared" si="30"/>
        <v>301484.18656350009</v>
      </c>
      <c r="BC53" s="519"/>
      <c r="BD53" s="519">
        <f t="shared" si="31"/>
        <v>-70</v>
      </c>
      <c r="BE53" s="519">
        <f t="shared" si="7"/>
        <v>-70</v>
      </c>
      <c r="BF53" s="513" t="s">
        <v>1771</v>
      </c>
      <c r="BG53" s="514" t="s">
        <v>1771</v>
      </c>
      <c r="BH53" s="510" t="s">
        <v>1771</v>
      </c>
      <c r="BI53" s="628"/>
    </row>
    <row r="54" spans="1:61" s="523" customFormat="1" ht="144">
      <c r="A54" s="538" t="s">
        <v>5260</v>
      </c>
      <c r="B54" s="507" t="s">
        <v>3042</v>
      </c>
      <c r="C54" s="507" t="s">
        <v>3774</v>
      </c>
      <c r="D54" s="508" t="s">
        <v>5361</v>
      </c>
      <c r="E54" s="505" t="s">
        <v>5078</v>
      </c>
      <c r="F54" s="505" t="s">
        <v>5079</v>
      </c>
      <c r="G54" s="509" t="s">
        <v>5080</v>
      </c>
      <c r="H54" s="507" t="s">
        <v>5077</v>
      </c>
      <c r="I54" s="510" t="s">
        <v>1771</v>
      </c>
      <c r="J54" s="510">
        <v>1</v>
      </c>
      <c r="K54" s="507">
        <f>2+2+1+4+5+6+5+2+8+1+2+2</f>
        <v>40</v>
      </c>
      <c r="L54" s="507">
        <f>129.5+131+25+514+1060+775.5+950+133+1123.5+25+412+129</f>
        <v>5407.5</v>
      </c>
      <c r="M54" s="511">
        <v>44648</v>
      </c>
      <c r="N54" s="511">
        <v>44648</v>
      </c>
      <c r="O54" s="511">
        <v>44648</v>
      </c>
      <c r="P54" s="511">
        <v>44680</v>
      </c>
      <c r="Q54" s="511">
        <f t="shared" si="39"/>
        <v>44685</v>
      </c>
      <c r="R54" s="512" t="s">
        <v>5360</v>
      </c>
      <c r="S54" s="515" t="s">
        <v>3752</v>
      </c>
      <c r="T54" s="510" t="s">
        <v>3128</v>
      </c>
      <c r="U54" s="516" t="s">
        <v>3031</v>
      </c>
      <c r="V54" s="359">
        <v>45035</v>
      </c>
      <c r="W54" s="510" t="s">
        <v>3337</v>
      </c>
      <c r="X54" s="510" t="s">
        <v>3341</v>
      </c>
      <c r="Y54" s="511">
        <v>44683</v>
      </c>
      <c r="Z54" s="510" t="s">
        <v>3252</v>
      </c>
      <c r="AA54" s="510" t="s">
        <v>3982</v>
      </c>
      <c r="AB54" s="510" t="s">
        <v>5342</v>
      </c>
      <c r="AC54" s="510" t="s">
        <v>2146</v>
      </c>
      <c r="AD54" s="511">
        <v>44683</v>
      </c>
      <c r="AE54" s="515">
        <v>3987.9004100000002</v>
      </c>
      <c r="AF54" s="507" t="s">
        <v>4631</v>
      </c>
      <c r="AG54" s="510" t="s">
        <v>3108</v>
      </c>
      <c r="AH54" s="517">
        <v>67855.05</v>
      </c>
      <c r="AI54" s="517">
        <v>11029</v>
      </c>
      <c r="AJ54" s="517">
        <v>12</v>
      </c>
      <c r="AK54" s="517">
        <f t="shared" si="38"/>
        <v>78896.05</v>
      </c>
      <c r="AL54" s="518">
        <v>4.9191000000000003</v>
      </c>
      <c r="AM54" s="519">
        <f t="shared" si="26"/>
        <v>388097.55955500004</v>
      </c>
      <c r="AN54" s="519">
        <v>0</v>
      </c>
      <c r="AO54" s="510">
        <v>11</v>
      </c>
      <c r="AP54" s="519">
        <v>20267.810000000001</v>
      </c>
      <c r="AQ54" s="519">
        <v>30847.73</v>
      </c>
      <c r="AR54" s="519">
        <v>8150.03</v>
      </c>
      <c r="AS54" s="519">
        <v>37451.4</v>
      </c>
      <c r="AT54" s="519">
        <v>100699.73</v>
      </c>
      <c r="AU54" s="519">
        <v>4360.22</v>
      </c>
      <c r="AV54" s="519">
        <v>416.46</v>
      </c>
      <c r="AW54" s="510" t="s">
        <v>3139</v>
      </c>
      <c r="AX54" s="520">
        <f t="shared" si="27"/>
        <v>44685</v>
      </c>
      <c r="AY54" s="510"/>
      <c r="AZ54" s="519">
        <f t="shared" si="28"/>
        <v>582146.33933250001</v>
      </c>
      <c r="BA54" s="521">
        <f t="shared" si="29"/>
        <v>1</v>
      </c>
      <c r="BB54" s="519">
        <f t="shared" si="30"/>
        <v>582146.33933250001</v>
      </c>
      <c r="BC54" s="519"/>
      <c r="BD54" s="519">
        <f t="shared" si="31"/>
        <v>10</v>
      </c>
      <c r="BE54" s="519">
        <f t="shared" si="7"/>
        <v>10</v>
      </c>
      <c r="BF54" s="513" t="s">
        <v>1771</v>
      </c>
      <c r="BG54" s="514" t="s">
        <v>1771</v>
      </c>
      <c r="BH54" s="510" t="s">
        <v>1771</v>
      </c>
      <c r="BI54" s="628"/>
    </row>
    <row r="55" spans="1:61" s="629" customFormat="1" ht="132">
      <c r="A55" s="538" t="s">
        <v>5261</v>
      </c>
      <c r="B55" s="507" t="s">
        <v>3042</v>
      </c>
      <c r="C55" s="507" t="s">
        <v>3774</v>
      </c>
      <c r="D55" s="508" t="s">
        <v>5085</v>
      </c>
      <c r="E55" s="507" t="s">
        <v>5083</v>
      </c>
      <c r="F55" s="507" t="s">
        <v>5084</v>
      </c>
      <c r="G55" s="509" t="s">
        <v>5086</v>
      </c>
      <c r="H55" s="507" t="s">
        <v>5087</v>
      </c>
      <c r="I55" s="510" t="s">
        <v>1771</v>
      </c>
      <c r="J55" s="510">
        <v>1</v>
      </c>
      <c r="K55" s="507">
        <f>2+2+15+15+4</f>
        <v>38</v>
      </c>
      <c r="L55" s="507">
        <f>126+131+2070.5+2079.5+276</f>
        <v>4683</v>
      </c>
      <c r="M55" s="511">
        <v>44649</v>
      </c>
      <c r="N55" s="511">
        <v>44650</v>
      </c>
      <c r="O55" s="511">
        <v>44650</v>
      </c>
      <c r="P55" s="511">
        <v>44687</v>
      </c>
      <c r="Q55" s="511">
        <v>44691</v>
      </c>
      <c r="R55" s="512" t="s">
        <v>5386</v>
      </c>
      <c r="S55" s="515" t="s">
        <v>3752</v>
      </c>
      <c r="T55" s="510" t="s">
        <v>3128</v>
      </c>
      <c r="U55" s="516" t="s">
        <v>3031</v>
      </c>
      <c r="V55" s="359">
        <v>44677</v>
      </c>
      <c r="W55" s="510" t="s">
        <v>3337</v>
      </c>
      <c r="X55" s="510" t="s">
        <v>3341</v>
      </c>
      <c r="Y55" s="511">
        <v>44690</v>
      </c>
      <c r="Z55" s="510" t="s">
        <v>3252</v>
      </c>
      <c r="AA55" s="510" t="s">
        <v>3982</v>
      </c>
      <c r="AB55" s="510" t="s">
        <v>5370</v>
      </c>
      <c r="AC55" s="510" t="s">
        <v>2146</v>
      </c>
      <c r="AD55" s="511">
        <v>44690</v>
      </c>
      <c r="AE55" s="515">
        <v>3012.7154</v>
      </c>
      <c r="AF55" s="507" t="s">
        <v>3359</v>
      </c>
      <c r="AG55" s="510" t="s">
        <v>3108</v>
      </c>
      <c r="AH55" s="517">
        <v>19552.849999999999</v>
      </c>
      <c r="AI55" s="517">
        <v>11029</v>
      </c>
      <c r="AJ55" s="517">
        <v>5</v>
      </c>
      <c r="AK55" s="517">
        <f t="shared" ref="AK55:AK56" si="40">SUM(AH55:AJ55)</f>
        <v>30586.85</v>
      </c>
      <c r="AL55" s="518">
        <v>5.0750000000000002</v>
      </c>
      <c r="AM55" s="519">
        <f t="shared" si="26"/>
        <v>155228.26374999998</v>
      </c>
      <c r="AN55" s="519">
        <v>0</v>
      </c>
      <c r="AO55" s="510">
        <v>3</v>
      </c>
      <c r="AP55" s="519">
        <v>11797.46</v>
      </c>
      <c r="AQ55" s="519">
        <v>12896.93</v>
      </c>
      <c r="AR55" s="519">
        <v>3259.79</v>
      </c>
      <c r="AS55" s="519">
        <v>14979.52</v>
      </c>
      <c r="AT55" s="519">
        <v>41704.33</v>
      </c>
      <c r="AU55" s="519">
        <v>4497.7700000000004</v>
      </c>
      <c r="AV55" s="519">
        <v>223.64</v>
      </c>
      <c r="AW55" s="510" t="s">
        <v>3139</v>
      </c>
      <c r="AX55" s="627">
        <f t="shared" si="27"/>
        <v>44691</v>
      </c>
      <c r="AY55" s="510"/>
      <c r="AZ55" s="519">
        <f t="shared" si="28"/>
        <v>232842.39562499998</v>
      </c>
      <c r="BA55" s="521">
        <f t="shared" si="29"/>
        <v>1</v>
      </c>
      <c r="BB55" s="519">
        <f t="shared" si="30"/>
        <v>232842.39562499998</v>
      </c>
      <c r="BC55" s="519"/>
      <c r="BD55" s="519">
        <f t="shared" si="31"/>
        <v>-70</v>
      </c>
      <c r="BE55" s="519">
        <f t="shared" si="7"/>
        <v>-70</v>
      </c>
      <c r="BF55" s="513" t="s">
        <v>1771</v>
      </c>
      <c r="BG55" s="514" t="s">
        <v>1771</v>
      </c>
      <c r="BH55" s="510" t="s">
        <v>1771</v>
      </c>
      <c r="BI55" s="628"/>
    </row>
    <row r="56" spans="1:61" s="629" customFormat="1" ht="132">
      <c r="A56" s="538" t="s">
        <v>5262</v>
      </c>
      <c r="B56" s="507" t="s">
        <v>3042</v>
      </c>
      <c r="C56" s="507" t="s">
        <v>3774</v>
      </c>
      <c r="D56" s="508" t="s">
        <v>5091</v>
      </c>
      <c r="E56" s="507" t="s">
        <v>5088</v>
      </c>
      <c r="F56" s="507" t="s">
        <v>5089</v>
      </c>
      <c r="G56" s="509" t="s">
        <v>5090</v>
      </c>
      <c r="H56" s="507" t="s">
        <v>5087</v>
      </c>
      <c r="I56" s="510" t="s">
        <v>1771</v>
      </c>
      <c r="J56" s="510">
        <v>1</v>
      </c>
      <c r="K56" s="507">
        <f>9+1+14+2+2+2+15+2</f>
        <v>47</v>
      </c>
      <c r="L56" s="507">
        <f>1172+76+2880+131.5+133+221+2099+129.5</f>
        <v>6842</v>
      </c>
      <c r="M56" s="511">
        <v>44651</v>
      </c>
      <c r="N56" s="511">
        <v>44652</v>
      </c>
      <c r="O56" s="511">
        <v>44652</v>
      </c>
      <c r="P56" s="511">
        <v>44687</v>
      </c>
      <c r="Q56" s="511">
        <v>44691</v>
      </c>
      <c r="R56" s="512" t="s">
        <v>5387</v>
      </c>
      <c r="S56" s="515" t="s">
        <v>3752</v>
      </c>
      <c r="T56" s="510" t="s">
        <v>3128</v>
      </c>
      <c r="U56" s="516" t="s">
        <v>3031</v>
      </c>
      <c r="V56" s="359">
        <v>44677</v>
      </c>
      <c r="W56" s="510" t="s">
        <v>3337</v>
      </c>
      <c r="X56" s="510" t="s">
        <v>3341</v>
      </c>
      <c r="Y56" s="511">
        <v>44690</v>
      </c>
      <c r="Z56" s="510" t="s">
        <v>3252</v>
      </c>
      <c r="AA56" s="510" t="s">
        <v>3982</v>
      </c>
      <c r="AB56" s="510" t="s">
        <v>5364</v>
      </c>
      <c r="AC56" s="510" t="s">
        <v>2146</v>
      </c>
      <c r="AD56" s="511">
        <v>44690</v>
      </c>
      <c r="AE56" s="515">
        <v>4817.8609999999999</v>
      </c>
      <c r="AF56" s="507" t="s">
        <v>3238</v>
      </c>
      <c r="AG56" s="510" t="s">
        <v>3108</v>
      </c>
      <c r="AH56" s="517">
        <v>28443.82</v>
      </c>
      <c r="AI56" s="517">
        <v>11029</v>
      </c>
      <c r="AJ56" s="517">
        <v>8</v>
      </c>
      <c r="AK56" s="517">
        <f t="shared" si="40"/>
        <v>39480.82</v>
      </c>
      <c r="AL56" s="518">
        <v>5.0750000000000002</v>
      </c>
      <c r="AM56" s="519">
        <f t="shared" si="26"/>
        <v>200365.16150000002</v>
      </c>
      <c r="AN56" s="519">
        <v>0</v>
      </c>
      <c r="AO56" s="510">
        <v>6</v>
      </c>
      <c r="AP56" s="519">
        <v>14888.34</v>
      </c>
      <c r="AQ56" s="519">
        <v>16309.16</v>
      </c>
      <c r="AR56" s="519">
        <v>4207.66</v>
      </c>
      <c r="AS56" s="519">
        <v>19335.23</v>
      </c>
      <c r="AT56" s="519">
        <v>53473.74</v>
      </c>
      <c r="AU56" s="519">
        <v>4497.7700000000004</v>
      </c>
      <c r="AV56" s="519">
        <v>308.48</v>
      </c>
      <c r="AW56" s="510" t="s">
        <v>3139</v>
      </c>
      <c r="AX56" s="627">
        <f t="shared" si="27"/>
        <v>44691</v>
      </c>
      <c r="AY56" s="510"/>
      <c r="AZ56" s="519">
        <f t="shared" si="28"/>
        <v>300547.74225000001</v>
      </c>
      <c r="BA56" s="521">
        <f t="shared" si="29"/>
        <v>1</v>
      </c>
      <c r="BB56" s="519">
        <f t="shared" si="30"/>
        <v>300547.74225000001</v>
      </c>
      <c r="BC56" s="519"/>
      <c r="BD56" s="519">
        <f t="shared" si="31"/>
        <v>-40</v>
      </c>
      <c r="BE56" s="519">
        <f t="shared" si="7"/>
        <v>-40</v>
      </c>
      <c r="BF56" s="513" t="s">
        <v>1771</v>
      </c>
      <c r="BG56" s="514" t="s">
        <v>1771</v>
      </c>
      <c r="BH56" s="510" t="s">
        <v>1771</v>
      </c>
      <c r="BI56" s="628"/>
    </row>
    <row r="57" spans="1:61" s="523" customFormat="1" ht="144">
      <c r="A57" s="538" t="s">
        <v>5256</v>
      </c>
      <c r="B57" s="507" t="s">
        <v>3042</v>
      </c>
      <c r="C57" s="507" t="s">
        <v>3774</v>
      </c>
      <c r="D57" s="508" t="s">
        <v>5057</v>
      </c>
      <c r="E57" s="505" t="s">
        <v>5055</v>
      </c>
      <c r="F57" s="505" t="s">
        <v>5056</v>
      </c>
      <c r="G57" s="509" t="s">
        <v>5060</v>
      </c>
      <c r="H57" s="507" t="s">
        <v>5125</v>
      </c>
      <c r="I57" s="510">
        <v>1</v>
      </c>
      <c r="J57" s="510">
        <v>1</v>
      </c>
      <c r="K57" s="507">
        <f>2+2+5+3+24+15+8+6+8+2</f>
        <v>75</v>
      </c>
      <c r="L57" s="507">
        <f>130+128+892.5+540+1962.5+2077+1148.5+783.5+1153.5+51.34</f>
        <v>8866.84</v>
      </c>
      <c r="M57" s="511">
        <v>44629</v>
      </c>
      <c r="N57" s="511">
        <v>44629</v>
      </c>
      <c r="O57" s="511">
        <v>44629</v>
      </c>
      <c r="P57" s="511">
        <v>44688</v>
      </c>
      <c r="Q57" s="511">
        <f t="shared" ref="Q57:Q58" si="41">P57+5</f>
        <v>44693</v>
      </c>
      <c r="R57" s="512" t="s">
        <v>5388</v>
      </c>
      <c r="S57" s="515" t="s">
        <v>3752</v>
      </c>
      <c r="T57" s="510" t="s">
        <v>3681</v>
      </c>
      <c r="U57" s="516" t="s">
        <v>3031</v>
      </c>
      <c r="V57" s="359">
        <v>44666</v>
      </c>
      <c r="W57" s="510" t="s">
        <v>3147</v>
      </c>
      <c r="X57" s="510" t="s">
        <v>3147</v>
      </c>
      <c r="Y57" s="511">
        <v>44690</v>
      </c>
      <c r="Z57" s="510" t="s">
        <v>3252</v>
      </c>
      <c r="AA57" s="510" t="s">
        <v>3982</v>
      </c>
      <c r="AB57" s="510" t="s">
        <v>5373</v>
      </c>
      <c r="AC57" s="510" t="s">
        <v>2146</v>
      </c>
      <c r="AD57" s="511">
        <v>44690</v>
      </c>
      <c r="AE57" s="515">
        <v>5230.0073000000002</v>
      </c>
      <c r="AF57" s="507" t="s">
        <v>3238</v>
      </c>
      <c r="AG57" s="510" t="s">
        <v>3108</v>
      </c>
      <c r="AH57" s="517">
        <v>61724.86</v>
      </c>
      <c r="AI57" s="517">
        <v>21399</v>
      </c>
      <c r="AJ57" s="517">
        <v>10</v>
      </c>
      <c r="AK57" s="517">
        <f t="shared" ref="AK57:AK58" si="42">SUM(AH57:AJ57)</f>
        <v>83133.86</v>
      </c>
      <c r="AL57" s="518">
        <v>5.0750000000000002</v>
      </c>
      <c r="AM57" s="519">
        <f t="shared" si="26"/>
        <v>421904.3395</v>
      </c>
      <c r="AN57" s="519">
        <v>0</v>
      </c>
      <c r="AO57" s="510">
        <v>9</v>
      </c>
      <c r="AP57" s="519">
        <v>26390.91</v>
      </c>
      <c r="AQ57" s="519">
        <v>33743.86</v>
      </c>
      <c r="AR57" s="519">
        <v>8859.98</v>
      </c>
      <c r="AS57" s="519">
        <v>40713.74</v>
      </c>
      <c r="AT57" s="519">
        <v>111282.75</v>
      </c>
      <c r="AU57" s="519">
        <v>8707.99</v>
      </c>
      <c r="AV57" s="519">
        <v>377.9</v>
      </c>
      <c r="AW57" s="510" t="s">
        <v>3139</v>
      </c>
      <c r="AX57" s="520">
        <f t="shared" si="27"/>
        <v>44693</v>
      </c>
      <c r="AY57" s="510"/>
      <c r="AZ57" s="519">
        <f t="shared" si="28"/>
        <v>632856.50925</v>
      </c>
      <c r="BA57" s="521">
        <f t="shared" si="29"/>
        <v>2</v>
      </c>
      <c r="BB57" s="519">
        <f t="shared" si="30"/>
        <v>316428.254625</v>
      </c>
      <c r="BC57" s="519"/>
      <c r="BD57" s="519">
        <f t="shared" si="31"/>
        <v>-10</v>
      </c>
      <c r="BE57" s="519">
        <f t="shared" si="7"/>
        <v>-10</v>
      </c>
      <c r="BF57" s="513" t="s">
        <v>1771</v>
      </c>
      <c r="BG57" s="514" t="s">
        <v>1771</v>
      </c>
      <c r="BH57" s="510" t="s">
        <v>1771</v>
      </c>
      <c r="BI57" s="628"/>
    </row>
    <row r="58" spans="1:61" s="523" customFormat="1" ht="132">
      <c r="A58" s="538" t="s">
        <v>5255</v>
      </c>
      <c r="B58" s="507" t="s">
        <v>3042</v>
      </c>
      <c r="C58" s="507" t="s">
        <v>3774</v>
      </c>
      <c r="D58" s="508" t="s">
        <v>5054</v>
      </c>
      <c r="E58" s="505" t="s">
        <v>5052</v>
      </c>
      <c r="F58" s="505" t="s">
        <v>5053</v>
      </c>
      <c r="G58" s="509" t="s">
        <v>5059</v>
      </c>
      <c r="H58" s="507" t="s">
        <v>5125</v>
      </c>
      <c r="I58" s="510" t="s">
        <v>1771</v>
      </c>
      <c r="J58" s="510">
        <v>1</v>
      </c>
      <c r="K58" s="507">
        <f>10+10+14+15+2+2</f>
        <v>53</v>
      </c>
      <c r="L58" s="507">
        <f>1779.5+1783+1213+2062+14.92+242.5</f>
        <v>7094.92</v>
      </c>
      <c r="M58" s="511">
        <v>44628</v>
      </c>
      <c r="N58" s="511">
        <v>44628</v>
      </c>
      <c r="O58" s="511">
        <v>44628</v>
      </c>
      <c r="P58" s="511">
        <v>44688</v>
      </c>
      <c r="Q58" s="511">
        <f t="shared" si="41"/>
        <v>44693</v>
      </c>
      <c r="R58" s="512" t="s">
        <v>5389</v>
      </c>
      <c r="S58" s="515" t="s">
        <v>3752</v>
      </c>
      <c r="T58" s="510" t="s">
        <v>3681</v>
      </c>
      <c r="U58" s="516" t="s">
        <v>3031</v>
      </c>
      <c r="V58" s="359">
        <v>44666</v>
      </c>
      <c r="W58" s="510" t="s">
        <v>3147</v>
      </c>
      <c r="X58" s="510" t="s">
        <v>3147</v>
      </c>
      <c r="Y58" s="511">
        <v>44690</v>
      </c>
      <c r="Z58" s="510" t="s">
        <v>3252</v>
      </c>
      <c r="AA58" s="510" t="s">
        <v>3982</v>
      </c>
      <c r="AB58" s="510" t="s">
        <v>5372</v>
      </c>
      <c r="AC58" s="510" t="s">
        <v>2146</v>
      </c>
      <c r="AD58" s="511">
        <v>44690</v>
      </c>
      <c r="AE58" s="515">
        <v>4131.1611999999996</v>
      </c>
      <c r="AF58" s="507" t="s">
        <v>3790</v>
      </c>
      <c r="AG58" s="510" t="s">
        <v>3108</v>
      </c>
      <c r="AH58" s="517">
        <v>49552.85</v>
      </c>
      <c r="AI58" s="517">
        <v>11029</v>
      </c>
      <c r="AJ58" s="517">
        <v>6</v>
      </c>
      <c r="AK58" s="517">
        <f t="shared" si="42"/>
        <v>60587.85</v>
      </c>
      <c r="AL58" s="518">
        <v>5.0750000000000002</v>
      </c>
      <c r="AM58" s="519">
        <f t="shared" si="26"/>
        <v>307483.33875</v>
      </c>
      <c r="AN58" s="519">
        <v>0</v>
      </c>
      <c r="AO58" s="510">
        <v>10</v>
      </c>
      <c r="AP58" s="519">
        <v>22967.29</v>
      </c>
      <c r="AQ58" s="519">
        <v>24645.02</v>
      </c>
      <c r="AR58" s="519">
        <v>6457.15</v>
      </c>
      <c r="AS58" s="519">
        <v>29672.11</v>
      </c>
      <c r="AT58" s="519">
        <v>81544.039999999994</v>
      </c>
      <c r="AU58" s="519">
        <v>4497.7700000000004</v>
      </c>
      <c r="AV58" s="519">
        <v>401.04</v>
      </c>
      <c r="AW58" s="510" t="s">
        <v>3139</v>
      </c>
      <c r="AX58" s="520">
        <f t="shared" si="27"/>
        <v>44693</v>
      </c>
      <c r="AY58" s="510"/>
      <c r="AZ58" s="519">
        <f t="shared" si="28"/>
        <v>461225.00812499999</v>
      </c>
      <c r="BA58" s="521">
        <f t="shared" si="29"/>
        <v>1</v>
      </c>
      <c r="BB58" s="519">
        <f t="shared" si="30"/>
        <v>461225.00812499999</v>
      </c>
      <c r="BC58" s="519"/>
      <c r="BD58" s="519">
        <f t="shared" si="31"/>
        <v>0</v>
      </c>
      <c r="BE58" s="519">
        <f t="shared" si="7"/>
        <v>0</v>
      </c>
      <c r="BF58" s="513" t="s">
        <v>1771</v>
      </c>
      <c r="BG58" s="514" t="s">
        <v>1771</v>
      </c>
      <c r="BH58" s="510" t="s">
        <v>1771</v>
      </c>
      <c r="BI58" s="628"/>
    </row>
    <row r="59" spans="1:61" s="523" customFormat="1" ht="132">
      <c r="A59" s="538" t="s">
        <v>5254</v>
      </c>
      <c r="B59" s="507" t="s">
        <v>3042</v>
      </c>
      <c r="C59" s="507" t="s">
        <v>3774</v>
      </c>
      <c r="D59" s="508">
        <v>4800016828</v>
      </c>
      <c r="E59" s="505" t="s">
        <v>5050</v>
      </c>
      <c r="F59" s="505" t="s">
        <v>5051</v>
      </c>
      <c r="G59" s="509" t="s">
        <v>5058</v>
      </c>
      <c r="H59" s="507" t="s">
        <v>5125</v>
      </c>
      <c r="I59" s="510" t="s">
        <v>1771</v>
      </c>
      <c r="J59" s="510">
        <v>1</v>
      </c>
      <c r="K59" s="507">
        <f>15+15+15</f>
        <v>45</v>
      </c>
      <c r="L59" s="507">
        <f>1942.5+2089+1936.5</f>
        <v>5968</v>
      </c>
      <c r="M59" s="511">
        <v>44631</v>
      </c>
      <c r="N59" s="511">
        <v>44631</v>
      </c>
      <c r="O59" s="511">
        <v>44631</v>
      </c>
      <c r="P59" s="511">
        <v>44688</v>
      </c>
      <c r="Q59" s="511">
        <v>44698</v>
      </c>
      <c r="R59" s="512" t="s">
        <v>5406</v>
      </c>
      <c r="S59" s="515" t="s">
        <v>3752</v>
      </c>
      <c r="T59" s="510" t="s">
        <v>3681</v>
      </c>
      <c r="U59" s="516" t="s">
        <v>3031</v>
      </c>
      <c r="V59" s="359">
        <v>44666</v>
      </c>
      <c r="W59" s="510" t="s">
        <v>3147</v>
      </c>
      <c r="X59" s="510" t="s">
        <v>3147</v>
      </c>
      <c r="Y59" s="511">
        <v>44690</v>
      </c>
      <c r="Z59" s="510" t="s">
        <v>3252</v>
      </c>
      <c r="AA59" s="510" t="s">
        <v>3982</v>
      </c>
      <c r="AB59" s="510" t="s">
        <v>5371</v>
      </c>
      <c r="AC59" s="510" t="s">
        <v>2146</v>
      </c>
      <c r="AD59" s="511">
        <v>44690</v>
      </c>
      <c r="AE59" s="515">
        <v>3720.6075000000001</v>
      </c>
      <c r="AF59" s="507" t="s">
        <v>3238</v>
      </c>
      <c r="AG59" s="510" t="s">
        <v>3108</v>
      </c>
      <c r="AH59" s="517">
        <v>134299.76999999999</v>
      </c>
      <c r="AI59" s="517">
        <v>11029</v>
      </c>
      <c r="AJ59" s="517">
        <v>3</v>
      </c>
      <c r="AK59" s="517">
        <f t="shared" ref="AK59" si="43">SUM(AH59:AJ59)</f>
        <v>145331.76999999999</v>
      </c>
      <c r="AL59" s="518">
        <v>5.0750000000000002</v>
      </c>
      <c r="AM59" s="519">
        <f t="shared" si="26"/>
        <v>737558.73274999997</v>
      </c>
      <c r="AN59" s="519">
        <v>0</v>
      </c>
      <c r="AO59" s="510">
        <v>2</v>
      </c>
      <c r="AP59" s="519">
        <v>53104.23</v>
      </c>
      <c r="AQ59" s="519">
        <v>59299.7</v>
      </c>
      <c r="AR59" s="519">
        <v>15488.73</v>
      </c>
      <c r="AS59" s="519">
        <v>71174.41</v>
      </c>
      <c r="AT59" s="519">
        <v>193613.4</v>
      </c>
      <c r="AU59" s="519">
        <v>4497.7700000000004</v>
      </c>
      <c r="AV59" s="519">
        <v>192.79</v>
      </c>
      <c r="AW59" s="510" t="s">
        <v>3139</v>
      </c>
      <c r="AX59" s="520">
        <f t="shared" si="27"/>
        <v>44698</v>
      </c>
      <c r="AY59" s="510"/>
      <c r="AZ59" s="519">
        <f t="shared" si="28"/>
        <v>1106338.0991249999</v>
      </c>
      <c r="BA59" s="521">
        <f t="shared" si="29"/>
        <v>1</v>
      </c>
      <c r="BB59" s="519">
        <f t="shared" si="30"/>
        <v>1106338.0991249999</v>
      </c>
      <c r="BC59" s="519"/>
      <c r="BD59" s="519">
        <f t="shared" si="31"/>
        <v>-80</v>
      </c>
      <c r="BE59" s="519">
        <f t="shared" si="7"/>
        <v>-80</v>
      </c>
      <c r="BF59" s="513" t="s">
        <v>1771</v>
      </c>
      <c r="BG59" s="514" t="s">
        <v>1771</v>
      </c>
      <c r="BH59" s="510" t="s">
        <v>1771</v>
      </c>
      <c r="BI59" s="628"/>
    </row>
    <row r="60" spans="1:61" s="523" customFormat="1" ht="132">
      <c r="A60" s="538" t="s">
        <v>5257</v>
      </c>
      <c r="B60" s="507" t="s">
        <v>3042</v>
      </c>
      <c r="C60" s="507" t="s">
        <v>3774</v>
      </c>
      <c r="D60" s="508" t="s">
        <v>5063</v>
      </c>
      <c r="E60" s="505" t="s">
        <v>5061</v>
      </c>
      <c r="F60" s="505" t="s">
        <v>5062</v>
      </c>
      <c r="G60" s="509" t="s">
        <v>5064</v>
      </c>
      <c r="H60" s="507" t="s">
        <v>5125</v>
      </c>
      <c r="I60" s="510" t="s">
        <v>1771</v>
      </c>
      <c r="J60" s="510">
        <v>1</v>
      </c>
      <c r="K60" s="507">
        <f>5+15+8+8+5+5</f>
        <v>46</v>
      </c>
      <c r="L60" s="507">
        <f>951.5+1935.5+1131.5+1127.5+448.5+957.5</f>
        <v>6552</v>
      </c>
      <c r="M60" s="511">
        <v>44634</v>
      </c>
      <c r="N60" s="511">
        <v>44633</v>
      </c>
      <c r="O60" s="511">
        <v>44633</v>
      </c>
      <c r="P60" s="511">
        <v>44688</v>
      </c>
      <c r="Q60" s="511">
        <v>44698</v>
      </c>
      <c r="R60" s="512" t="s">
        <v>5407</v>
      </c>
      <c r="S60" s="515" t="s">
        <v>3752</v>
      </c>
      <c r="T60" s="510" t="s">
        <v>3681</v>
      </c>
      <c r="U60" s="516" t="s">
        <v>3031</v>
      </c>
      <c r="V60" s="359">
        <v>44666</v>
      </c>
      <c r="W60" s="510" t="s">
        <v>3147</v>
      </c>
      <c r="X60" s="510" t="s">
        <v>3147</v>
      </c>
      <c r="Y60" s="511">
        <v>44690</v>
      </c>
      <c r="Z60" s="510" t="s">
        <v>3252</v>
      </c>
      <c r="AA60" s="510" t="s">
        <v>3982</v>
      </c>
      <c r="AB60" s="510" t="s">
        <v>5374</v>
      </c>
      <c r="AC60" s="510" t="s">
        <v>2146</v>
      </c>
      <c r="AD60" s="511">
        <v>44690</v>
      </c>
      <c r="AE60" s="515">
        <v>4237.7079999999996</v>
      </c>
      <c r="AF60" s="507" t="s">
        <v>3238</v>
      </c>
      <c r="AG60" s="510" t="s">
        <v>3108</v>
      </c>
      <c r="AH60" s="517">
        <v>147270.43</v>
      </c>
      <c r="AI60" s="517">
        <v>11029</v>
      </c>
      <c r="AJ60" s="517">
        <v>6</v>
      </c>
      <c r="AK60" s="517">
        <f t="shared" ref="AK60" si="44">SUM(AH60:AJ60)</f>
        <v>158305.43</v>
      </c>
      <c r="AL60" s="518">
        <v>5.0750000000000002</v>
      </c>
      <c r="AM60" s="519">
        <f t="shared" si="26"/>
        <v>803400.05724999995</v>
      </c>
      <c r="AN60" s="519">
        <v>0</v>
      </c>
      <c r="AO60" s="510">
        <v>3</v>
      </c>
      <c r="AP60" s="519">
        <v>57844.800000000003</v>
      </c>
      <c r="AQ60" s="519">
        <v>64593.34</v>
      </c>
      <c r="AR60" s="519">
        <v>16871.400000000001</v>
      </c>
      <c r="AS60" s="519">
        <v>77528.100000000006</v>
      </c>
      <c r="AT60" s="519">
        <v>210812</v>
      </c>
      <c r="AU60" s="519">
        <v>4497.7700000000004</v>
      </c>
      <c r="AV60" s="519">
        <v>223.64</v>
      </c>
      <c r="AW60" s="510" t="s">
        <v>3139</v>
      </c>
      <c r="AX60" s="520">
        <f t="shared" si="27"/>
        <v>44698</v>
      </c>
      <c r="AY60" s="510"/>
      <c r="AZ60" s="519">
        <f t="shared" si="28"/>
        <v>1205100.0858749999</v>
      </c>
      <c r="BA60" s="521">
        <f t="shared" si="29"/>
        <v>1</v>
      </c>
      <c r="BB60" s="519">
        <f t="shared" si="30"/>
        <v>1205100.0858749999</v>
      </c>
      <c r="BC60" s="519"/>
      <c r="BD60" s="519">
        <f t="shared" si="31"/>
        <v>-70</v>
      </c>
      <c r="BE60" s="519">
        <f t="shared" si="7"/>
        <v>-70</v>
      </c>
      <c r="BF60" s="513" t="s">
        <v>1771</v>
      </c>
      <c r="BG60" s="514" t="s">
        <v>1771</v>
      </c>
      <c r="BH60" s="510" t="s">
        <v>1771</v>
      </c>
      <c r="BI60" s="628"/>
    </row>
    <row r="61" spans="1:61" s="523" customFormat="1" ht="120">
      <c r="A61" s="538" t="s">
        <v>5266</v>
      </c>
      <c r="B61" s="507" t="s">
        <v>3042</v>
      </c>
      <c r="C61" s="507" t="s">
        <v>3774</v>
      </c>
      <c r="D61" s="508" t="s">
        <v>5109</v>
      </c>
      <c r="E61" s="505" t="s">
        <v>5107</v>
      </c>
      <c r="F61" s="505" t="s">
        <v>5108</v>
      </c>
      <c r="G61" s="509" t="s">
        <v>5110</v>
      </c>
      <c r="H61" s="507" t="s">
        <v>5097</v>
      </c>
      <c r="I61" s="510">
        <v>1</v>
      </c>
      <c r="J61" s="510">
        <v>1</v>
      </c>
      <c r="K61" s="507">
        <f>1+2+1+2+1+2+5+15+28+15</f>
        <v>72</v>
      </c>
      <c r="L61" s="507">
        <f>19.64+142.5+70.5+130.5+65+131+695.5+2086.5+4347.5+2071.5</f>
        <v>9760.14</v>
      </c>
      <c r="M61" s="511">
        <v>44657</v>
      </c>
      <c r="N61" s="511">
        <v>44658</v>
      </c>
      <c r="O61" s="511">
        <v>44658</v>
      </c>
      <c r="P61" s="511">
        <v>44702</v>
      </c>
      <c r="Q61" s="511">
        <v>44705</v>
      </c>
      <c r="R61" s="512" t="s">
        <v>5415</v>
      </c>
      <c r="S61" s="515" t="s">
        <v>3752</v>
      </c>
      <c r="T61" s="510" t="s">
        <v>3128</v>
      </c>
      <c r="U61" s="516" t="s">
        <v>3031</v>
      </c>
      <c r="V61" s="359">
        <v>44694</v>
      </c>
      <c r="W61" s="510" t="s">
        <v>3337</v>
      </c>
      <c r="X61" s="510" t="s">
        <v>3341</v>
      </c>
      <c r="Y61" s="511">
        <v>44704</v>
      </c>
      <c r="Z61" s="510" t="s">
        <v>3252</v>
      </c>
      <c r="AA61" s="510" t="s">
        <v>3982</v>
      </c>
      <c r="AB61" s="510" t="s">
        <v>5411</v>
      </c>
      <c r="AC61" s="510" t="s">
        <v>2146</v>
      </c>
      <c r="AD61" s="511">
        <v>44704</v>
      </c>
      <c r="AE61" s="515">
        <v>6449.0990000000002</v>
      </c>
      <c r="AF61" s="507" t="s">
        <v>3238</v>
      </c>
      <c r="AG61" s="510" t="s">
        <v>3108</v>
      </c>
      <c r="AH61" s="517">
        <v>53335.22</v>
      </c>
      <c r="AI61" s="517">
        <v>21399</v>
      </c>
      <c r="AJ61" s="517">
        <v>10</v>
      </c>
      <c r="AK61" s="517">
        <f t="shared" ref="AK61" si="45">SUM(AH61:AJ61)</f>
        <v>74744.22</v>
      </c>
      <c r="AL61" s="518">
        <v>4.8776999999999999</v>
      </c>
      <c r="AM61" s="519">
        <f t="shared" si="26"/>
        <v>364579.88189399999</v>
      </c>
      <c r="AN61" s="519">
        <v>0</v>
      </c>
      <c r="AO61" s="510">
        <v>9</v>
      </c>
      <c r="AP61" s="519">
        <v>29392.95</v>
      </c>
      <c r="AQ61" s="519">
        <v>29207.43</v>
      </c>
      <c r="AR61" s="519">
        <v>7656.18</v>
      </c>
      <c r="AS61" s="519">
        <v>35181.94</v>
      </c>
      <c r="AT61" s="519">
        <v>97805.6</v>
      </c>
      <c r="AU61" s="519">
        <v>8370.23</v>
      </c>
      <c r="AV61" s="519">
        <v>377.9</v>
      </c>
      <c r="AW61" s="510" t="s">
        <v>3139</v>
      </c>
      <c r="AX61" s="520">
        <f t="shared" si="27"/>
        <v>44705</v>
      </c>
      <c r="AY61" s="510"/>
      <c r="AZ61" s="519">
        <f t="shared" si="28"/>
        <v>546869.82284100004</v>
      </c>
      <c r="BA61" s="521">
        <f t="shared" si="29"/>
        <v>2</v>
      </c>
      <c r="BB61" s="519">
        <f t="shared" si="30"/>
        <v>273434.91142050002</v>
      </c>
      <c r="BC61" s="519"/>
      <c r="BD61" s="519">
        <f t="shared" si="31"/>
        <v>-10</v>
      </c>
      <c r="BE61" s="519">
        <f t="shared" si="7"/>
        <v>-10</v>
      </c>
      <c r="BF61" s="513" t="s">
        <v>1771</v>
      </c>
      <c r="BG61" s="514" t="s">
        <v>1771</v>
      </c>
      <c r="BH61" s="510" t="s">
        <v>1771</v>
      </c>
      <c r="BI61" s="628"/>
    </row>
    <row r="62" spans="1:61" s="523" customFormat="1" ht="132">
      <c r="A62" s="538" t="s">
        <v>5264</v>
      </c>
      <c r="B62" s="507" t="s">
        <v>3042</v>
      </c>
      <c r="C62" s="507" t="s">
        <v>3774</v>
      </c>
      <c r="D62" s="508" t="s">
        <v>5101</v>
      </c>
      <c r="E62" s="505" t="s">
        <v>5099</v>
      </c>
      <c r="F62" s="505" t="s">
        <v>5100</v>
      </c>
      <c r="G62" s="509" t="s">
        <v>5102</v>
      </c>
      <c r="H62" s="507" t="s">
        <v>5097</v>
      </c>
      <c r="I62" s="510" t="s">
        <v>1771</v>
      </c>
      <c r="J62" s="510">
        <v>1</v>
      </c>
      <c r="K62" s="507">
        <f>4+15+2+38</f>
        <v>59</v>
      </c>
      <c r="L62" s="507">
        <f>555.5+2082+123.6+4596.72</f>
        <v>7357.82</v>
      </c>
      <c r="M62" s="511">
        <v>44657</v>
      </c>
      <c r="N62" s="511">
        <v>44658</v>
      </c>
      <c r="O62" s="511">
        <v>44658</v>
      </c>
      <c r="P62" s="511">
        <v>44702</v>
      </c>
      <c r="Q62" s="511">
        <v>44705</v>
      </c>
      <c r="R62" s="512" t="s">
        <v>5422</v>
      </c>
      <c r="S62" s="515" t="s">
        <v>3752</v>
      </c>
      <c r="T62" s="510" t="s">
        <v>3128</v>
      </c>
      <c r="U62" s="516" t="s">
        <v>3031</v>
      </c>
      <c r="V62" s="359">
        <v>44694</v>
      </c>
      <c r="W62" s="510" t="s">
        <v>3337</v>
      </c>
      <c r="X62" s="510" t="s">
        <v>3341</v>
      </c>
      <c r="Y62" s="511">
        <v>44704</v>
      </c>
      <c r="Z62" s="510" t="s">
        <v>3252</v>
      </c>
      <c r="AA62" s="510" t="s">
        <v>3982</v>
      </c>
      <c r="AB62" s="510" t="s">
        <v>5408</v>
      </c>
      <c r="AC62" s="510" t="s">
        <v>2146</v>
      </c>
      <c r="AD62" s="511">
        <v>44704</v>
      </c>
      <c r="AE62" s="515">
        <v>4801.6818000000003</v>
      </c>
      <c r="AF62" s="507" t="s">
        <v>4409</v>
      </c>
      <c r="AG62" s="510" t="s">
        <v>3108</v>
      </c>
      <c r="AH62" s="517">
        <v>46074.41</v>
      </c>
      <c r="AI62" s="517">
        <v>11029</v>
      </c>
      <c r="AJ62" s="517">
        <v>4</v>
      </c>
      <c r="AK62" s="517">
        <f t="shared" ref="AK62" si="46">SUM(AH62:AJ62)</f>
        <v>57107.41</v>
      </c>
      <c r="AL62" s="518">
        <v>4.8776999999999999</v>
      </c>
      <c r="AM62" s="519">
        <f t="shared" si="26"/>
        <v>278552.81375700003</v>
      </c>
      <c r="AN62" s="519">
        <v>0</v>
      </c>
      <c r="AO62" s="510">
        <v>12</v>
      </c>
      <c r="AP62" s="519">
        <v>20327.68</v>
      </c>
      <c r="AQ62" s="519">
        <v>22196.34</v>
      </c>
      <c r="AR62" s="519">
        <v>5849.6</v>
      </c>
      <c r="AS62" s="519">
        <v>26880.32</v>
      </c>
      <c r="AT62" s="519">
        <v>73836.37</v>
      </c>
      <c r="AU62" s="519">
        <v>4323.6899999999996</v>
      </c>
      <c r="AV62" s="519">
        <v>431.88</v>
      </c>
      <c r="AW62" s="510" t="s">
        <v>3139</v>
      </c>
      <c r="AX62" s="520">
        <f t="shared" si="27"/>
        <v>44705</v>
      </c>
      <c r="AY62" s="510"/>
      <c r="AZ62" s="519">
        <f t="shared" si="28"/>
        <v>417829.22063550004</v>
      </c>
      <c r="BA62" s="521">
        <f t="shared" si="29"/>
        <v>1</v>
      </c>
      <c r="BB62" s="519">
        <f t="shared" si="30"/>
        <v>417829.22063550004</v>
      </c>
      <c r="BC62" s="519"/>
      <c r="BD62" s="519">
        <f t="shared" si="31"/>
        <v>20</v>
      </c>
      <c r="BE62" s="519">
        <f t="shared" si="7"/>
        <v>20</v>
      </c>
      <c r="BF62" s="513" t="s">
        <v>1771</v>
      </c>
      <c r="BG62" s="514" t="s">
        <v>1771</v>
      </c>
      <c r="BH62" s="510" t="s">
        <v>1771</v>
      </c>
      <c r="BI62" s="628"/>
    </row>
    <row r="63" spans="1:61" s="523" customFormat="1" ht="132">
      <c r="A63" s="538" t="s">
        <v>5265</v>
      </c>
      <c r="B63" s="507" t="s">
        <v>3042</v>
      </c>
      <c r="C63" s="507" t="s">
        <v>3774</v>
      </c>
      <c r="D63" s="508" t="s">
        <v>5105</v>
      </c>
      <c r="E63" s="505" t="s">
        <v>5103</v>
      </c>
      <c r="F63" s="505" t="s">
        <v>5104</v>
      </c>
      <c r="G63" s="509" t="s">
        <v>5106</v>
      </c>
      <c r="H63" s="507" t="s">
        <v>5097</v>
      </c>
      <c r="I63" s="510">
        <v>1</v>
      </c>
      <c r="J63" s="510" t="s">
        <v>1771</v>
      </c>
      <c r="K63" s="507">
        <f>8+8+1+2+2+2</f>
        <v>23</v>
      </c>
      <c r="L63" s="507">
        <f>1146+1136.5+53.5+122.8+123+122</f>
        <v>2703.8</v>
      </c>
      <c r="M63" s="511">
        <v>44658</v>
      </c>
      <c r="N63" s="511">
        <v>44659</v>
      </c>
      <c r="O63" s="511">
        <v>44659</v>
      </c>
      <c r="P63" s="511">
        <v>44702</v>
      </c>
      <c r="Q63" s="511">
        <v>44706</v>
      </c>
      <c r="R63" s="512" t="s">
        <v>5429</v>
      </c>
      <c r="S63" s="515" t="s">
        <v>3752</v>
      </c>
      <c r="T63" s="510" t="s">
        <v>3128</v>
      </c>
      <c r="U63" s="516" t="s">
        <v>3031</v>
      </c>
      <c r="V63" s="359">
        <v>44694</v>
      </c>
      <c r="W63" s="510" t="s">
        <v>3337</v>
      </c>
      <c r="X63" s="510" t="s">
        <v>3341</v>
      </c>
      <c r="Y63" s="511">
        <v>44704</v>
      </c>
      <c r="Z63" s="510" t="s">
        <v>3252</v>
      </c>
      <c r="AA63" s="510" t="s">
        <v>3982</v>
      </c>
      <c r="AB63" s="510" t="s">
        <v>5409</v>
      </c>
      <c r="AC63" s="510" t="s">
        <v>2146</v>
      </c>
      <c r="AD63" s="511">
        <v>44704</v>
      </c>
      <c r="AE63" s="515">
        <v>1572.6142</v>
      </c>
      <c r="AF63" s="507" t="s">
        <v>4556</v>
      </c>
      <c r="AG63" s="510" t="s">
        <v>3108</v>
      </c>
      <c r="AH63" s="517">
        <v>17862.16</v>
      </c>
      <c r="AI63" s="517">
        <v>10370</v>
      </c>
      <c r="AJ63" s="517">
        <v>6</v>
      </c>
      <c r="AK63" s="517">
        <f t="shared" ref="AK63:AK64" si="47">SUM(AH63:AJ63)</f>
        <v>28238.16</v>
      </c>
      <c r="AL63" s="518">
        <v>4.8776999999999999</v>
      </c>
      <c r="AM63" s="519">
        <f t="shared" si="26"/>
        <v>137737.273032</v>
      </c>
      <c r="AN63" s="519">
        <v>0</v>
      </c>
      <c r="AO63" s="510">
        <v>8</v>
      </c>
      <c r="AP63" s="519">
        <v>10241.65</v>
      </c>
      <c r="AQ63" s="519">
        <v>10688.04</v>
      </c>
      <c r="AR63" s="519">
        <v>2892.49</v>
      </c>
      <c r="AS63" s="519">
        <v>13291.65</v>
      </c>
      <c r="AT63" s="519">
        <v>37006.300000000003</v>
      </c>
      <c r="AU63" s="519">
        <v>4066.53</v>
      </c>
      <c r="AV63" s="519">
        <v>354.76</v>
      </c>
      <c r="AW63" s="510" t="s">
        <v>3139</v>
      </c>
      <c r="AX63" s="520">
        <f t="shared" si="27"/>
        <v>44706</v>
      </c>
      <c r="AY63" s="510"/>
      <c r="AZ63" s="519">
        <f t="shared" si="28"/>
        <v>206605.909548</v>
      </c>
      <c r="BA63" s="521">
        <f t="shared" si="29"/>
        <v>1</v>
      </c>
      <c r="BB63" s="519">
        <f t="shared" si="30"/>
        <v>206605.909548</v>
      </c>
      <c r="BC63" s="519"/>
      <c r="BD63" s="519">
        <f t="shared" si="31"/>
        <v>-20</v>
      </c>
      <c r="BE63" s="519">
        <f t="shared" si="7"/>
        <v>-20</v>
      </c>
      <c r="BF63" s="513" t="s">
        <v>1771</v>
      </c>
      <c r="BG63" s="514" t="s">
        <v>1771</v>
      </c>
      <c r="BH63" s="510" t="s">
        <v>1771</v>
      </c>
      <c r="BI63" s="628"/>
    </row>
    <row r="64" spans="1:61" s="523" customFormat="1" ht="144">
      <c r="A64" s="538" t="s">
        <v>5268</v>
      </c>
      <c r="B64" s="507" t="s">
        <v>3042</v>
      </c>
      <c r="C64" s="507" t="s">
        <v>3774</v>
      </c>
      <c r="D64" s="508" t="s">
        <v>5121</v>
      </c>
      <c r="E64" s="505" t="s">
        <v>5119</v>
      </c>
      <c r="F64" s="505" t="s">
        <v>5120</v>
      </c>
      <c r="G64" s="509" t="s">
        <v>5122</v>
      </c>
      <c r="H64" s="507" t="s">
        <v>5097</v>
      </c>
      <c r="I64" s="510">
        <v>1</v>
      </c>
      <c r="J64" s="510">
        <v>1</v>
      </c>
      <c r="K64" s="507">
        <f>1+57+3+4+5+5+2+2</f>
        <v>79</v>
      </c>
      <c r="L64" s="507">
        <f>75+9385.5+355.39+571.02+1131.5+1131.5+102.5+366</f>
        <v>13118.41</v>
      </c>
      <c r="M64" s="511">
        <v>44665</v>
      </c>
      <c r="N64" s="511">
        <v>44666</v>
      </c>
      <c r="O64" s="511">
        <v>44666</v>
      </c>
      <c r="P64" s="511">
        <v>44702</v>
      </c>
      <c r="Q64" s="511">
        <v>44706</v>
      </c>
      <c r="R64" s="512" t="s">
        <v>5430</v>
      </c>
      <c r="S64" s="515" t="s">
        <v>3752</v>
      </c>
      <c r="T64" s="510" t="s">
        <v>3128</v>
      </c>
      <c r="U64" s="516" t="s">
        <v>3031</v>
      </c>
      <c r="V64" s="359">
        <v>44694</v>
      </c>
      <c r="W64" s="510" t="s">
        <v>3337</v>
      </c>
      <c r="X64" s="510" t="s">
        <v>3341</v>
      </c>
      <c r="Y64" s="511">
        <v>44704</v>
      </c>
      <c r="Z64" s="510" t="s">
        <v>3252</v>
      </c>
      <c r="AA64" s="510" t="s">
        <v>3982</v>
      </c>
      <c r="AB64" s="510" t="s">
        <v>5410</v>
      </c>
      <c r="AC64" s="510" t="s">
        <v>2146</v>
      </c>
      <c r="AD64" s="511">
        <v>44704</v>
      </c>
      <c r="AE64" s="515">
        <v>9741.8289999999997</v>
      </c>
      <c r="AF64" s="507" t="s">
        <v>3238</v>
      </c>
      <c r="AG64" s="510" t="s">
        <v>3108</v>
      </c>
      <c r="AH64" s="517">
        <v>274545.44</v>
      </c>
      <c r="AI64" s="517">
        <v>21399</v>
      </c>
      <c r="AJ64" s="517">
        <v>8</v>
      </c>
      <c r="AK64" s="517">
        <f t="shared" si="47"/>
        <v>295952.44</v>
      </c>
      <c r="AL64" s="518">
        <v>4.8776999999999999</v>
      </c>
      <c r="AM64" s="519">
        <f t="shared" si="26"/>
        <v>1443567.2165880001</v>
      </c>
      <c r="AN64" s="519">
        <v>0</v>
      </c>
      <c r="AO64" s="510">
        <v>8</v>
      </c>
      <c r="AP64" s="519">
        <v>60884.35</v>
      </c>
      <c r="AQ64" s="519">
        <v>87420.91</v>
      </c>
      <c r="AR64" s="519">
        <v>30314.91</v>
      </c>
      <c r="AS64" s="519">
        <v>139304.24</v>
      </c>
      <c r="AT64" s="519">
        <v>324980.09999999998</v>
      </c>
      <c r="AU64" s="519">
        <v>8370.23</v>
      </c>
      <c r="AV64" s="519">
        <v>354.76</v>
      </c>
      <c r="AW64" s="510" t="s">
        <v>3139</v>
      </c>
      <c r="AX64" s="520">
        <f t="shared" si="27"/>
        <v>44706</v>
      </c>
      <c r="AY64" s="510"/>
      <c r="AZ64" s="519">
        <f t="shared" si="28"/>
        <v>2165350.8248820002</v>
      </c>
      <c r="BA64" s="521">
        <f t="shared" si="29"/>
        <v>2</v>
      </c>
      <c r="BB64" s="519">
        <f t="shared" si="30"/>
        <v>1082675.4124410001</v>
      </c>
      <c r="BC64" s="519"/>
      <c r="BD64" s="519">
        <f t="shared" si="31"/>
        <v>-20</v>
      </c>
      <c r="BE64" s="519">
        <f t="shared" si="7"/>
        <v>-20</v>
      </c>
      <c r="BF64" s="513" t="s">
        <v>1771</v>
      </c>
      <c r="BG64" s="514" t="s">
        <v>1771</v>
      </c>
      <c r="BH64" s="510" t="s">
        <v>1771</v>
      </c>
      <c r="BI64" s="628"/>
    </row>
    <row r="65" spans="1:61" s="523" customFormat="1" ht="132">
      <c r="A65" s="538" t="s">
        <v>5263</v>
      </c>
      <c r="B65" s="507" t="s">
        <v>3042</v>
      </c>
      <c r="C65" s="507" t="s">
        <v>3774</v>
      </c>
      <c r="D65" s="508" t="s">
        <v>5096</v>
      </c>
      <c r="E65" s="505" t="s">
        <v>5094</v>
      </c>
      <c r="F65" s="505" t="s">
        <v>5095</v>
      </c>
      <c r="G65" s="509" t="s">
        <v>5098</v>
      </c>
      <c r="H65" s="507" t="s">
        <v>5097</v>
      </c>
      <c r="I65" s="510" t="s">
        <v>1771</v>
      </c>
      <c r="J65" s="510">
        <v>1</v>
      </c>
      <c r="K65" s="507">
        <v>48</v>
      </c>
      <c r="L65" s="507">
        <v>6657</v>
      </c>
      <c r="M65" s="511">
        <v>44662</v>
      </c>
      <c r="N65" s="511">
        <v>44661</v>
      </c>
      <c r="O65" s="511">
        <v>44661</v>
      </c>
      <c r="P65" s="511">
        <v>44702</v>
      </c>
      <c r="Q65" s="511">
        <v>44707</v>
      </c>
      <c r="R65" s="512" t="s">
        <v>5428</v>
      </c>
      <c r="S65" s="515" t="s">
        <v>3752</v>
      </c>
      <c r="T65" s="510" t="s">
        <v>3128</v>
      </c>
      <c r="U65" s="516" t="s">
        <v>3031</v>
      </c>
      <c r="V65" s="359">
        <v>44694</v>
      </c>
      <c r="W65" s="510" t="s">
        <v>3337</v>
      </c>
      <c r="X65" s="510" t="s">
        <v>3341</v>
      </c>
      <c r="Y65" s="511">
        <v>44704</v>
      </c>
      <c r="Z65" s="510" t="s">
        <v>3252</v>
      </c>
      <c r="AA65" s="510" t="s">
        <v>3982</v>
      </c>
      <c r="AB65" s="510" t="s">
        <v>5414</v>
      </c>
      <c r="AC65" s="510" t="s">
        <v>2146</v>
      </c>
      <c r="AD65" s="511">
        <v>44705</v>
      </c>
      <c r="AE65" s="515">
        <v>4393.8616000000002</v>
      </c>
      <c r="AF65" s="507" t="s">
        <v>3238</v>
      </c>
      <c r="AG65" s="510" t="s">
        <v>3108</v>
      </c>
      <c r="AH65" s="517">
        <v>32805.120000000003</v>
      </c>
      <c r="AI65" s="517">
        <v>11029</v>
      </c>
      <c r="AJ65" s="517">
        <v>5</v>
      </c>
      <c r="AK65" s="517">
        <f t="shared" ref="AK65" si="48">SUM(AH65:AJ65)</f>
        <v>43839.12</v>
      </c>
      <c r="AL65" s="518">
        <v>4.7972999999999999</v>
      </c>
      <c r="AM65" s="519">
        <f t="shared" si="26"/>
        <v>210309.41037600001</v>
      </c>
      <c r="AN65" s="519">
        <v>0</v>
      </c>
      <c r="AO65" s="510">
        <v>7</v>
      </c>
      <c r="AP65" s="519">
        <v>15142.27</v>
      </c>
      <c r="AQ65" s="519">
        <v>16908.84</v>
      </c>
      <c r="AR65" s="519">
        <v>4416.5</v>
      </c>
      <c r="AS65" s="519">
        <v>20294.849999999999</v>
      </c>
      <c r="AT65" s="519">
        <v>55935.7</v>
      </c>
      <c r="AU65" s="519">
        <v>4323.6899999999996</v>
      </c>
      <c r="AV65" s="519">
        <v>331.62</v>
      </c>
      <c r="AW65" s="510" t="s">
        <v>3139</v>
      </c>
      <c r="AX65" s="520">
        <f t="shared" si="27"/>
        <v>44707</v>
      </c>
      <c r="AY65" s="510"/>
      <c r="AZ65" s="519">
        <f t="shared" si="28"/>
        <v>315464.11556400004</v>
      </c>
      <c r="BA65" s="521">
        <f t="shared" si="29"/>
        <v>1</v>
      </c>
      <c r="BB65" s="519">
        <f t="shared" si="30"/>
        <v>315464.11556400004</v>
      </c>
      <c r="BC65" s="519"/>
      <c r="BD65" s="519">
        <f t="shared" si="31"/>
        <v>-30</v>
      </c>
      <c r="BE65" s="519">
        <f t="shared" si="7"/>
        <v>-30</v>
      </c>
      <c r="BF65" s="513" t="s">
        <v>1771</v>
      </c>
      <c r="BG65" s="514" t="s">
        <v>1771</v>
      </c>
      <c r="BH65" s="510" t="s">
        <v>1771</v>
      </c>
      <c r="BI65" s="628"/>
    </row>
    <row r="66" spans="1:61" s="523" customFormat="1" ht="132">
      <c r="A66" s="538" t="s">
        <v>5267</v>
      </c>
      <c r="B66" s="507" t="s">
        <v>3042</v>
      </c>
      <c r="C66" s="507" t="s">
        <v>3774</v>
      </c>
      <c r="D66" s="508" t="s">
        <v>5117</v>
      </c>
      <c r="E66" s="505" t="s">
        <v>5115</v>
      </c>
      <c r="F66" s="505" t="s">
        <v>5116</v>
      </c>
      <c r="G66" s="509" t="s">
        <v>5118</v>
      </c>
      <c r="H66" s="507" t="s">
        <v>5097</v>
      </c>
      <c r="I66" s="510" t="s">
        <v>1771</v>
      </c>
      <c r="J66" s="510">
        <v>1</v>
      </c>
      <c r="K66" s="507">
        <f>5+5+15+15+5</f>
        <v>45</v>
      </c>
      <c r="L66" s="507">
        <f>950.5+944+2134.5+2060.5+948.5</f>
        <v>7038</v>
      </c>
      <c r="M66" s="511">
        <v>44663</v>
      </c>
      <c r="N66" s="511">
        <v>44663</v>
      </c>
      <c r="O66" s="511">
        <v>44663</v>
      </c>
      <c r="P66" s="511">
        <v>44702</v>
      </c>
      <c r="Q66" s="511">
        <v>44708</v>
      </c>
      <c r="R66" s="512" t="s">
        <v>5431</v>
      </c>
      <c r="S66" s="515" t="s">
        <v>3752</v>
      </c>
      <c r="T66" s="510" t="s">
        <v>3128</v>
      </c>
      <c r="U66" s="516" t="s">
        <v>3031</v>
      </c>
      <c r="V66" s="359">
        <v>44694</v>
      </c>
      <c r="W66" s="510" t="s">
        <v>3337</v>
      </c>
      <c r="X66" s="510" t="s">
        <v>3341</v>
      </c>
      <c r="Y66" s="511">
        <v>44704</v>
      </c>
      <c r="Z66" s="510" t="s">
        <v>3252</v>
      </c>
      <c r="AA66" s="510" t="s">
        <v>3982</v>
      </c>
      <c r="AB66" s="510" t="s">
        <v>5423</v>
      </c>
      <c r="AC66" s="510" t="s">
        <v>2146</v>
      </c>
      <c r="AD66" s="511">
        <v>44706</v>
      </c>
      <c r="AE66" s="515">
        <v>4891.2151000000003</v>
      </c>
      <c r="AF66" s="507" t="s">
        <v>3238</v>
      </c>
      <c r="AG66" s="510" t="s">
        <v>3108</v>
      </c>
      <c r="AH66" s="517">
        <v>123249.77</v>
      </c>
      <c r="AI66" s="517">
        <v>11029</v>
      </c>
      <c r="AJ66" s="517">
        <v>5</v>
      </c>
      <c r="AK66" s="517">
        <f t="shared" ref="AK66:AK70" si="49">SUM(AH66:AJ66)</f>
        <v>134283.77000000002</v>
      </c>
      <c r="AL66" s="518">
        <v>4.8106</v>
      </c>
      <c r="AM66" s="519">
        <f t="shared" si="26"/>
        <v>645985.50396200013</v>
      </c>
      <c r="AN66" s="519">
        <v>0</v>
      </c>
      <c r="AO66" s="510">
        <v>3</v>
      </c>
      <c r="AP66" s="519">
        <v>46510.97</v>
      </c>
      <c r="AQ66" s="519">
        <v>51937.22</v>
      </c>
      <c r="AR66" s="519">
        <v>13565.69</v>
      </c>
      <c r="AS66" s="519">
        <v>62337.61</v>
      </c>
      <c r="AT66" s="519">
        <v>169671.34</v>
      </c>
      <c r="AU66" s="519">
        <v>4323.6899999999996</v>
      </c>
      <c r="AV66" s="519">
        <v>223.64</v>
      </c>
      <c r="AW66" s="510" t="s">
        <v>3139</v>
      </c>
      <c r="AX66" s="520">
        <f t="shared" si="27"/>
        <v>44708</v>
      </c>
      <c r="AY66" s="510"/>
      <c r="AZ66" s="519">
        <f t="shared" si="28"/>
        <v>968978.2559430002</v>
      </c>
      <c r="BA66" s="521">
        <f t="shared" si="29"/>
        <v>1</v>
      </c>
      <c r="BB66" s="519">
        <f t="shared" si="30"/>
        <v>968978.2559430002</v>
      </c>
      <c r="BC66" s="519"/>
      <c r="BD66" s="519">
        <f t="shared" si="31"/>
        <v>-70</v>
      </c>
      <c r="BE66" s="519">
        <f t="shared" si="7"/>
        <v>-70</v>
      </c>
      <c r="BF66" s="513" t="s">
        <v>1771</v>
      </c>
      <c r="BG66" s="514" t="s">
        <v>1771</v>
      </c>
      <c r="BH66" s="510" t="s">
        <v>1771</v>
      </c>
      <c r="BI66" s="628"/>
    </row>
    <row r="67" spans="1:61" s="523" customFormat="1" ht="132">
      <c r="A67" s="538" t="s">
        <v>5269</v>
      </c>
      <c r="B67" s="507" t="s">
        <v>3042</v>
      </c>
      <c r="C67" s="507" t="s">
        <v>3774</v>
      </c>
      <c r="D67" s="508" t="s">
        <v>5279</v>
      </c>
      <c r="E67" s="505" t="s">
        <v>5123</v>
      </c>
      <c r="F67" s="505" t="s">
        <v>5124</v>
      </c>
      <c r="G67" s="509" t="s">
        <v>5280</v>
      </c>
      <c r="H67" s="507" t="s">
        <v>5277</v>
      </c>
      <c r="I67" s="510" t="s">
        <v>1771</v>
      </c>
      <c r="J67" s="510">
        <v>1</v>
      </c>
      <c r="K67" s="507">
        <f>5+8+1+8+8+5+1+1+1</f>
        <v>38</v>
      </c>
      <c r="L67" s="507">
        <f>965.5+1126+3.45+1119.5+550+704.5+3.42+3.38+3.4</f>
        <v>4479.1499999999996</v>
      </c>
      <c r="M67" s="511">
        <v>44669</v>
      </c>
      <c r="N67" s="511">
        <v>44669</v>
      </c>
      <c r="O67" s="511">
        <v>44668</v>
      </c>
      <c r="P67" s="511">
        <v>44706</v>
      </c>
      <c r="Q67" s="511">
        <v>44708</v>
      </c>
      <c r="R67" s="512" t="s">
        <v>5432</v>
      </c>
      <c r="S67" s="515" t="s">
        <v>3752</v>
      </c>
      <c r="T67" s="510" t="s">
        <v>3681</v>
      </c>
      <c r="U67" s="516" t="s">
        <v>3031</v>
      </c>
      <c r="V67" s="359">
        <v>44701</v>
      </c>
      <c r="W67" s="510" t="s">
        <v>3147</v>
      </c>
      <c r="X67" s="510" t="s">
        <v>3147</v>
      </c>
      <c r="Y67" s="511">
        <v>44707</v>
      </c>
      <c r="Z67" s="510" t="s">
        <v>3252</v>
      </c>
      <c r="AA67" s="510" t="s">
        <v>3982</v>
      </c>
      <c r="AB67" s="510" t="s">
        <v>5427</v>
      </c>
      <c r="AC67" s="510" t="s">
        <v>2146</v>
      </c>
      <c r="AD67" s="511">
        <v>44707</v>
      </c>
      <c r="AE67" s="515">
        <v>3084.5324999999998</v>
      </c>
      <c r="AF67" s="507" t="s">
        <v>4556</v>
      </c>
      <c r="AG67" s="510" t="s">
        <v>3108</v>
      </c>
      <c r="AH67" s="517">
        <v>46941.38</v>
      </c>
      <c r="AI67" s="517">
        <v>11029</v>
      </c>
      <c r="AJ67" s="517">
        <v>9</v>
      </c>
      <c r="AK67" s="517">
        <f t="shared" si="49"/>
        <v>57979.38</v>
      </c>
      <c r="AL67" s="518">
        <v>4.8358999999999996</v>
      </c>
      <c r="AM67" s="519">
        <f t="shared" si="26"/>
        <v>280382.48374199995</v>
      </c>
      <c r="AN67" s="519">
        <v>0</v>
      </c>
      <c r="AO67" s="510">
        <v>6</v>
      </c>
      <c r="AP67" s="519">
        <v>21020.12</v>
      </c>
      <c r="AQ67" s="519">
        <v>23005.58</v>
      </c>
      <c r="AR67" s="519">
        <v>5888.04</v>
      </c>
      <c r="AS67" s="519">
        <v>27056.9</v>
      </c>
      <c r="AT67" s="519">
        <v>73702.33</v>
      </c>
      <c r="AU67" s="519">
        <v>4286.8100000000004</v>
      </c>
      <c r="AV67" s="519">
        <v>308.48</v>
      </c>
      <c r="AW67" s="510" t="s">
        <v>3139</v>
      </c>
      <c r="AX67" s="520">
        <f t="shared" si="27"/>
        <v>44708</v>
      </c>
      <c r="AY67" s="510"/>
      <c r="AZ67" s="519">
        <f t="shared" si="28"/>
        <v>420573.72561299993</v>
      </c>
      <c r="BA67" s="521">
        <f t="shared" si="29"/>
        <v>1</v>
      </c>
      <c r="BB67" s="519">
        <f t="shared" si="30"/>
        <v>420573.72561299993</v>
      </c>
      <c r="BC67" s="519"/>
      <c r="BD67" s="519">
        <f t="shared" si="31"/>
        <v>-40</v>
      </c>
      <c r="BE67" s="519">
        <f t="shared" ref="BE67:BE130" si="50">SUM(BC67:BD67)</f>
        <v>-40</v>
      </c>
      <c r="BF67" s="513" t="s">
        <v>1771</v>
      </c>
      <c r="BG67" s="514" t="s">
        <v>1771</v>
      </c>
      <c r="BH67" s="510" t="s">
        <v>1771</v>
      </c>
      <c r="BI67" s="628"/>
    </row>
    <row r="68" spans="1:61" s="523" customFormat="1" ht="132">
      <c r="A68" s="538" t="s">
        <v>5270</v>
      </c>
      <c r="B68" s="507" t="s">
        <v>3042</v>
      </c>
      <c r="C68" s="507" t="s">
        <v>3774</v>
      </c>
      <c r="D68" s="508" t="s">
        <v>5278</v>
      </c>
      <c r="E68" s="505" t="s">
        <v>5274</v>
      </c>
      <c r="F68" s="505" t="s">
        <v>5275</v>
      </c>
      <c r="G68" s="509" t="s">
        <v>5276</v>
      </c>
      <c r="H68" s="507" t="s">
        <v>5277</v>
      </c>
      <c r="I68" s="510">
        <v>1</v>
      </c>
      <c r="J68" s="510" t="s">
        <v>1771</v>
      </c>
      <c r="K68" s="507">
        <f>16+15+1+5</f>
        <v>37</v>
      </c>
      <c r="L68" s="507">
        <f>309.74+1941.5+78.8+94.94</f>
        <v>2424.98</v>
      </c>
      <c r="M68" s="511">
        <v>44676</v>
      </c>
      <c r="N68" s="511">
        <v>44673</v>
      </c>
      <c r="O68" s="511">
        <v>44673</v>
      </c>
      <c r="P68" s="511">
        <v>44706</v>
      </c>
      <c r="Q68" s="511">
        <v>44708</v>
      </c>
      <c r="R68" s="512" t="s">
        <v>5433</v>
      </c>
      <c r="S68" s="515" t="s">
        <v>3752</v>
      </c>
      <c r="T68" s="510" t="s">
        <v>3681</v>
      </c>
      <c r="U68" s="516" t="s">
        <v>3031</v>
      </c>
      <c r="V68" s="359">
        <v>44698</v>
      </c>
      <c r="W68" s="510" t="s">
        <v>3147</v>
      </c>
      <c r="X68" s="510" t="s">
        <v>3147</v>
      </c>
      <c r="Y68" s="511">
        <v>44707</v>
      </c>
      <c r="Z68" s="510" t="s">
        <v>3252</v>
      </c>
      <c r="AA68" s="510" t="s">
        <v>3982</v>
      </c>
      <c r="AB68" s="510" t="s">
        <v>5426</v>
      </c>
      <c r="AC68" s="510" t="s">
        <v>2146</v>
      </c>
      <c r="AD68" s="511">
        <v>44707</v>
      </c>
      <c r="AE68" s="515">
        <v>1506.26</v>
      </c>
      <c r="AF68" s="507" t="s">
        <v>4409</v>
      </c>
      <c r="AG68" s="510" t="s">
        <v>3108</v>
      </c>
      <c r="AH68" s="517">
        <v>249506.68</v>
      </c>
      <c r="AI68" s="517">
        <v>10370</v>
      </c>
      <c r="AJ68" s="517">
        <v>4</v>
      </c>
      <c r="AK68" s="517">
        <f t="shared" si="49"/>
        <v>259880.68</v>
      </c>
      <c r="AL68" s="518">
        <v>4.8358999999999996</v>
      </c>
      <c r="AM68" s="519">
        <f t="shared" si="26"/>
        <v>1256756.9804119999</v>
      </c>
      <c r="AN68" s="519">
        <v>0</v>
      </c>
      <c r="AO68" s="510">
        <v>7</v>
      </c>
      <c r="AP68" s="519">
        <v>142566.70000000001</v>
      </c>
      <c r="AQ68" s="519">
        <v>127854.47</v>
      </c>
      <c r="AR68" s="519">
        <v>26391.88</v>
      </c>
      <c r="AS68" s="519">
        <v>121297.56</v>
      </c>
      <c r="AT68" s="519">
        <v>310689.06</v>
      </c>
      <c r="AU68" s="519">
        <v>4031.86</v>
      </c>
      <c r="AV68" s="519">
        <v>331.62</v>
      </c>
      <c r="AW68" s="510" t="s">
        <v>3139</v>
      </c>
      <c r="AX68" s="520">
        <f t="shared" si="27"/>
        <v>44708</v>
      </c>
      <c r="AY68" s="510"/>
      <c r="AZ68" s="519">
        <f t="shared" si="28"/>
        <v>1885135.4706179998</v>
      </c>
      <c r="BA68" s="521">
        <f t="shared" si="29"/>
        <v>1</v>
      </c>
      <c r="BB68" s="519">
        <f t="shared" si="30"/>
        <v>1885135.4706179998</v>
      </c>
      <c r="BC68" s="519"/>
      <c r="BD68" s="519">
        <f t="shared" si="31"/>
        <v>-30</v>
      </c>
      <c r="BE68" s="519">
        <f t="shared" si="50"/>
        <v>-30</v>
      </c>
      <c r="BF68" s="513" t="s">
        <v>1771</v>
      </c>
      <c r="BG68" s="514" t="s">
        <v>1771</v>
      </c>
      <c r="BH68" s="510" t="s">
        <v>1771</v>
      </c>
      <c r="BI68" s="628"/>
    </row>
    <row r="69" spans="1:61" s="523" customFormat="1" ht="132">
      <c r="A69" s="538" t="s">
        <v>5271</v>
      </c>
      <c r="B69" s="507" t="s">
        <v>3042</v>
      </c>
      <c r="C69" s="507" t="s">
        <v>3774</v>
      </c>
      <c r="D69" s="508" t="s">
        <v>5284</v>
      </c>
      <c r="E69" s="505" t="s">
        <v>5281</v>
      </c>
      <c r="F69" s="505" t="s">
        <v>5282</v>
      </c>
      <c r="G69" s="509" t="s">
        <v>5283</v>
      </c>
      <c r="H69" s="507" t="s">
        <v>5277</v>
      </c>
      <c r="I69" s="510" t="s">
        <v>1771</v>
      </c>
      <c r="J69" s="510">
        <v>1</v>
      </c>
      <c r="K69" s="507">
        <f>15+15+3+6+15</f>
        <v>54</v>
      </c>
      <c r="L69" s="507">
        <f>1940.5+1950+52.7+92.57+1940</f>
        <v>5975.77</v>
      </c>
      <c r="M69" s="511"/>
      <c r="N69" s="511">
        <v>44673</v>
      </c>
      <c r="O69" s="511">
        <v>44673</v>
      </c>
      <c r="P69" s="511">
        <v>44706</v>
      </c>
      <c r="Q69" s="511">
        <v>44708</v>
      </c>
      <c r="R69" s="512" t="s">
        <v>5434</v>
      </c>
      <c r="S69" s="515" t="s">
        <v>3752</v>
      </c>
      <c r="T69" s="510" t="s">
        <v>3681</v>
      </c>
      <c r="U69" s="516" t="s">
        <v>3031</v>
      </c>
      <c r="V69" s="359">
        <v>44705</v>
      </c>
      <c r="W69" s="510" t="s">
        <v>3147</v>
      </c>
      <c r="X69" s="510" t="s">
        <v>3147</v>
      </c>
      <c r="Y69" s="511">
        <v>44707</v>
      </c>
      <c r="Z69" s="510" t="s">
        <v>3252</v>
      </c>
      <c r="AA69" s="510" t="s">
        <v>3982</v>
      </c>
      <c r="AB69" s="510" t="s">
        <v>5424</v>
      </c>
      <c r="AC69" s="510" t="s">
        <v>2146</v>
      </c>
      <c r="AD69" s="511">
        <v>44707</v>
      </c>
      <c r="AE69" s="515">
        <v>3720.01</v>
      </c>
      <c r="AF69" s="507" t="s">
        <v>4409</v>
      </c>
      <c r="AG69" s="510" t="s">
        <v>3108</v>
      </c>
      <c r="AH69" s="517">
        <v>354519.42</v>
      </c>
      <c r="AI69" s="517">
        <v>11029</v>
      </c>
      <c r="AJ69" s="517">
        <v>5</v>
      </c>
      <c r="AK69" s="517">
        <f t="shared" si="49"/>
        <v>365553.42</v>
      </c>
      <c r="AL69" s="518">
        <v>4.8358999999999996</v>
      </c>
      <c r="AM69" s="519">
        <f t="shared" si="26"/>
        <v>1767779.7837779997</v>
      </c>
      <c r="AN69" s="519">
        <v>0</v>
      </c>
      <c r="AO69" s="510">
        <v>9</v>
      </c>
      <c r="AP69" s="519">
        <v>184300.31</v>
      </c>
      <c r="AQ69" s="519">
        <v>166350.79999999999</v>
      </c>
      <c r="AR69" s="519">
        <v>37123.370000000003</v>
      </c>
      <c r="AS69" s="519">
        <v>170590.74</v>
      </c>
      <c r="AT69" s="519">
        <v>474293.84</v>
      </c>
      <c r="AU69" s="519">
        <v>4286.8100000000004</v>
      </c>
      <c r="AV69" s="519">
        <v>377.9</v>
      </c>
      <c r="AW69" s="510" t="s">
        <v>3139</v>
      </c>
      <c r="AX69" s="520">
        <f t="shared" si="27"/>
        <v>44708</v>
      </c>
      <c r="AY69" s="510"/>
      <c r="AZ69" s="519">
        <f t="shared" si="28"/>
        <v>2651669.6756669995</v>
      </c>
      <c r="BA69" s="521">
        <f t="shared" si="29"/>
        <v>1</v>
      </c>
      <c r="BB69" s="519">
        <f t="shared" si="30"/>
        <v>2651669.6756669995</v>
      </c>
      <c r="BC69" s="519"/>
      <c r="BD69" s="519">
        <f t="shared" si="31"/>
        <v>-10</v>
      </c>
      <c r="BE69" s="519">
        <f t="shared" si="50"/>
        <v>-10</v>
      </c>
      <c r="BF69" s="513" t="s">
        <v>1771</v>
      </c>
      <c r="BG69" s="514" t="s">
        <v>1771</v>
      </c>
      <c r="BH69" s="510" t="s">
        <v>1771</v>
      </c>
      <c r="BI69" s="628"/>
    </row>
    <row r="70" spans="1:61" s="523" customFormat="1" ht="132">
      <c r="A70" s="538" t="s">
        <v>5273</v>
      </c>
      <c r="B70" s="507" t="s">
        <v>3042</v>
      </c>
      <c r="C70" s="507" t="s">
        <v>3774</v>
      </c>
      <c r="D70" s="508" t="s">
        <v>5340</v>
      </c>
      <c r="E70" s="505" t="s">
        <v>5338</v>
      </c>
      <c r="F70" s="505" t="s">
        <v>5339</v>
      </c>
      <c r="G70" s="509" t="s">
        <v>5341</v>
      </c>
      <c r="H70" s="507" t="s">
        <v>5277</v>
      </c>
      <c r="I70" s="510" t="s">
        <v>1771</v>
      </c>
      <c r="J70" s="510">
        <v>1</v>
      </c>
      <c r="K70" s="507">
        <f>8+8+8+21+13+30+14+3</f>
        <v>105</v>
      </c>
      <c r="L70" s="507">
        <f>1131.5+1116+1101+379.7+433.33+486.11+580.03+434</f>
        <v>5661.6699999999992</v>
      </c>
      <c r="M70" s="511">
        <v>44676</v>
      </c>
      <c r="N70" s="511">
        <v>44669</v>
      </c>
      <c r="O70" s="511">
        <v>44669</v>
      </c>
      <c r="P70" s="511">
        <v>44706</v>
      </c>
      <c r="Q70" s="511">
        <v>44708</v>
      </c>
      <c r="R70" s="512" t="s">
        <v>5435</v>
      </c>
      <c r="S70" s="515" t="s">
        <v>3752</v>
      </c>
      <c r="T70" s="510" t="s">
        <v>3681</v>
      </c>
      <c r="U70" s="516" t="s">
        <v>3031</v>
      </c>
      <c r="V70" s="359">
        <v>44701</v>
      </c>
      <c r="W70" s="510" t="s">
        <v>3147</v>
      </c>
      <c r="X70" s="510" t="s">
        <v>3147</v>
      </c>
      <c r="Y70" s="511">
        <v>44707</v>
      </c>
      <c r="Z70" s="510" t="s">
        <v>3252</v>
      </c>
      <c r="AA70" s="510" t="s">
        <v>3982</v>
      </c>
      <c r="AB70" s="510" t="s">
        <v>5425</v>
      </c>
      <c r="AC70" s="510" t="s">
        <v>2146</v>
      </c>
      <c r="AD70" s="511">
        <v>44707</v>
      </c>
      <c r="AE70" s="515">
        <v>3752.55</v>
      </c>
      <c r="AF70" s="507" t="s">
        <v>3460</v>
      </c>
      <c r="AG70" s="510" t="s">
        <v>3108</v>
      </c>
      <c r="AH70" s="517">
        <v>303468.58</v>
      </c>
      <c r="AI70" s="517">
        <v>11029</v>
      </c>
      <c r="AJ70" s="517">
        <v>8</v>
      </c>
      <c r="AK70" s="517">
        <f t="shared" si="49"/>
        <v>314505.58</v>
      </c>
      <c r="AL70" s="518">
        <v>4.8358999999999996</v>
      </c>
      <c r="AM70" s="519">
        <f t="shared" si="26"/>
        <v>1520917.5343219999</v>
      </c>
      <c r="AN70" s="519">
        <v>0</v>
      </c>
      <c r="AO70" s="510">
        <v>15</v>
      </c>
      <c r="AP70" s="519">
        <v>161258.54</v>
      </c>
      <c r="AQ70" s="519">
        <v>158365.43</v>
      </c>
      <c r="AR70" s="519">
        <v>31939.26</v>
      </c>
      <c r="AS70" s="519">
        <v>147435.06</v>
      </c>
      <c r="AT70" s="519">
        <v>341039.41</v>
      </c>
      <c r="AU70" s="519">
        <v>4286.8100000000004</v>
      </c>
      <c r="AV70" s="519">
        <v>478.14</v>
      </c>
      <c r="AW70" s="510" t="s">
        <v>3139</v>
      </c>
      <c r="AX70" s="520">
        <f t="shared" si="27"/>
        <v>44708</v>
      </c>
      <c r="AY70" s="510"/>
      <c r="AZ70" s="519">
        <f t="shared" si="28"/>
        <v>2281376.3014829997</v>
      </c>
      <c r="BA70" s="521">
        <f t="shared" si="29"/>
        <v>1</v>
      </c>
      <c r="BB70" s="519">
        <f t="shared" si="30"/>
        <v>2281376.3014829997</v>
      </c>
      <c r="BC70" s="519"/>
      <c r="BD70" s="519">
        <f t="shared" si="31"/>
        <v>50</v>
      </c>
      <c r="BE70" s="519">
        <f t="shared" si="50"/>
        <v>50</v>
      </c>
      <c r="BF70" s="513" t="s">
        <v>1771</v>
      </c>
      <c r="BG70" s="514" t="s">
        <v>1771</v>
      </c>
      <c r="BH70" s="510" t="s">
        <v>1771</v>
      </c>
      <c r="BI70" s="628"/>
    </row>
    <row r="71" spans="1:61" s="523" customFormat="1" ht="120">
      <c r="A71" s="538" t="s">
        <v>5272</v>
      </c>
      <c r="B71" s="507" t="s">
        <v>3042</v>
      </c>
      <c r="C71" s="507" t="s">
        <v>3774</v>
      </c>
      <c r="D71" s="508" t="s">
        <v>5287</v>
      </c>
      <c r="E71" s="505" t="s">
        <v>5285</v>
      </c>
      <c r="F71" s="505" t="s">
        <v>5286</v>
      </c>
      <c r="G71" s="509" t="s">
        <v>5288</v>
      </c>
      <c r="H71" s="507" t="s">
        <v>5277</v>
      </c>
      <c r="I71" s="510" t="s">
        <v>1771</v>
      </c>
      <c r="J71" s="510">
        <v>1</v>
      </c>
      <c r="K71" s="507">
        <f>1+1+1+15+15+15+1</f>
        <v>49</v>
      </c>
      <c r="L71" s="507">
        <f>17.92+7.45+16.96+1913.5+1953.5+1938.5+181</f>
        <v>6028.83</v>
      </c>
      <c r="M71" s="511">
        <v>44670</v>
      </c>
      <c r="N71" s="511">
        <v>44670</v>
      </c>
      <c r="O71" s="511">
        <v>44670</v>
      </c>
      <c r="P71" s="511">
        <v>44706</v>
      </c>
      <c r="Q71" s="511">
        <v>44715</v>
      </c>
      <c r="R71" s="512" t="s">
        <v>5475</v>
      </c>
      <c r="S71" s="515" t="s">
        <v>3752</v>
      </c>
      <c r="T71" s="510" t="s">
        <v>3681</v>
      </c>
      <c r="U71" s="516" t="s">
        <v>3031</v>
      </c>
      <c r="V71" s="359">
        <v>44701</v>
      </c>
      <c r="W71" s="510" t="s">
        <v>3147</v>
      </c>
      <c r="X71" s="510" t="s">
        <v>3147</v>
      </c>
      <c r="Y71" s="511">
        <v>44707</v>
      </c>
      <c r="Z71" s="510" t="s">
        <v>3252</v>
      </c>
      <c r="AA71" s="510" t="s">
        <v>3982</v>
      </c>
      <c r="AB71" s="510" t="s">
        <v>5438</v>
      </c>
      <c r="AC71" s="510" t="s">
        <v>2146</v>
      </c>
      <c r="AD71" s="511">
        <v>44713</v>
      </c>
      <c r="AE71" s="515">
        <v>3782.2</v>
      </c>
      <c r="AF71" s="507" t="s">
        <v>3238</v>
      </c>
      <c r="AG71" s="510" t="s">
        <v>3108</v>
      </c>
      <c r="AH71" s="517">
        <v>187659.49</v>
      </c>
      <c r="AI71" s="517">
        <v>11029</v>
      </c>
      <c r="AJ71" s="517">
        <v>7</v>
      </c>
      <c r="AK71" s="517">
        <f t="shared" ref="AK71" si="51">SUM(AH71:AJ71)</f>
        <v>198695.49</v>
      </c>
      <c r="AL71" s="518">
        <v>4.7289000000000003</v>
      </c>
      <c r="AM71" s="519">
        <f t="shared" si="26"/>
        <v>939611.10266099998</v>
      </c>
      <c r="AN71" s="519">
        <v>0</v>
      </c>
      <c r="AO71" s="510">
        <v>5</v>
      </c>
      <c r="AP71" s="519">
        <v>67517.62</v>
      </c>
      <c r="AQ71" s="519">
        <v>75534.63</v>
      </c>
      <c r="AR71" s="519">
        <v>19731.830000000002</v>
      </c>
      <c r="AS71" s="519">
        <v>90672.47</v>
      </c>
      <c r="AT71" s="519">
        <v>246315.76</v>
      </c>
      <c r="AU71" s="519">
        <v>4286.8100000000004</v>
      </c>
      <c r="AV71" s="519">
        <v>285.33999999999997</v>
      </c>
      <c r="AW71" s="510" t="s">
        <v>3139</v>
      </c>
      <c r="AX71" s="520">
        <f t="shared" si="27"/>
        <v>44715</v>
      </c>
      <c r="AY71" s="510"/>
      <c r="AZ71" s="519">
        <f t="shared" si="28"/>
        <v>1409416.6539914999</v>
      </c>
      <c r="BA71" s="521">
        <f t="shared" si="29"/>
        <v>1</v>
      </c>
      <c r="BB71" s="519">
        <f t="shared" si="30"/>
        <v>1409416.6539914999</v>
      </c>
      <c r="BC71" s="519"/>
      <c r="BD71" s="519">
        <f t="shared" si="31"/>
        <v>-50</v>
      </c>
      <c r="BE71" s="519">
        <f t="shared" si="50"/>
        <v>-50</v>
      </c>
      <c r="BF71" s="513" t="s">
        <v>1771</v>
      </c>
      <c r="BG71" s="514" t="s">
        <v>1771</v>
      </c>
      <c r="BH71" s="510" t="s">
        <v>1771</v>
      </c>
      <c r="BI71" s="628"/>
    </row>
    <row r="72" spans="1:61" s="523" customFormat="1" ht="144">
      <c r="A72" s="538" t="s">
        <v>5375</v>
      </c>
      <c r="B72" s="507" t="s">
        <v>3042</v>
      </c>
      <c r="C72" s="507" t="s">
        <v>3774</v>
      </c>
      <c r="D72" s="508" t="s">
        <v>5380</v>
      </c>
      <c r="E72" s="505" t="s">
        <v>5378</v>
      </c>
      <c r="F72" s="505" t="s">
        <v>5379</v>
      </c>
      <c r="G72" s="509" t="s">
        <v>5381</v>
      </c>
      <c r="H72" s="507" t="s">
        <v>5369</v>
      </c>
      <c r="I72" s="510">
        <v>1</v>
      </c>
      <c r="J72" s="510" t="s">
        <v>1771</v>
      </c>
      <c r="K72" s="507">
        <f>15+8+11+1</f>
        <v>35</v>
      </c>
      <c r="L72" s="507">
        <f>1943+1187+95.82+8.04</f>
        <v>3233.86</v>
      </c>
      <c r="M72" s="511">
        <v>44690</v>
      </c>
      <c r="N72" s="511">
        <v>44688</v>
      </c>
      <c r="O72" s="511">
        <v>44688</v>
      </c>
      <c r="P72" s="511">
        <v>44722</v>
      </c>
      <c r="Q72" s="511">
        <v>44733</v>
      </c>
      <c r="R72" s="512" t="s">
        <v>5473</v>
      </c>
      <c r="S72" s="515" t="s">
        <v>3752</v>
      </c>
      <c r="T72" s="510" t="s">
        <v>3128</v>
      </c>
      <c r="U72" s="516" t="s">
        <v>3031</v>
      </c>
      <c r="V72" s="359">
        <v>44719</v>
      </c>
      <c r="W72" s="510" t="s">
        <v>3337</v>
      </c>
      <c r="X72" s="510" t="s">
        <v>3341</v>
      </c>
      <c r="Y72" s="511">
        <v>44729</v>
      </c>
      <c r="Z72" s="510" t="s">
        <v>3298</v>
      </c>
      <c r="AA72" s="510" t="s">
        <v>3982</v>
      </c>
      <c r="AB72" s="510" t="s">
        <v>5457</v>
      </c>
      <c r="AC72" s="510" t="s">
        <v>2146</v>
      </c>
      <c r="AD72" s="511">
        <v>44732</v>
      </c>
      <c r="AE72" s="515">
        <v>2171.7022999999999</v>
      </c>
      <c r="AF72" s="507" t="s">
        <v>3763</v>
      </c>
      <c r="AG72" s="510" t="s">
        <v>3108</v>
      </c>
      <c r="AH72" s="517">
        <v>105762.68</v>
      </c>
      <c r="AI72" s="517">
        <v>10409</v>
      </c>
      <c r="AJ72" s="517">
        <v>4</v>
      </c>
      <c r="AK72" s="517">
        <f t="shared" ref="AK72:AK75" si="52">SUM(AH72:AJ72)</f>
        <v>116175.67999999999</v>
      </c>
      <c r="AL72" s="518">
        <v>5.1313000000000004</v>
      </c>
      <c r="AM72" s="519">
        <f t="shared" si="26"/>
        <v>596132.26678399998</v>
      </c>
      <c r="AN72" s="519">
        <v>0</v>
      </c>
      <c r="AO72" s="510">
        <v>15</v>
      </c>
      <c r="AP72" s="519">
        <v>51507.71</v>
      </c>
      <c r="AQ72" s="519">
        <v>52773.06</v>
      </c>
      <c r="AR72" s="519">
        <v>12518.77</v>
      </c>
      <c r="AS72" s="519">
        <v>57537.63</v>
      </c>
      <c r="AT72" s="519">
        <v>155966.20000000001</v>
      </c>
      <c r="AU72" s="519">
        <v>4276.78</v>
      </c>
      <c r="AV72" s="519">
        <v>478.14</v>
      </c>
      <c r="AW72" s="510" t="s">
        <v>3139</v>
      </c>
      <c r="AX72" s="520">
        <f t="shared" si="27"/>
        <v>44733</v>
      </c>
      <c r="AY72" s="510"/>
      <c r="AZ72" s="519">
        <f t="shared" si="28"/>
        <v>894198.40017599997</v>
      </c>
      <c r="BA72" s="521">
        <f t="shared" si="29"/>
        <v>1</v>
      </c>
      <c r="BB72" s="519">
        <f t="shared" si="30"/>
        <v>894198.40017599997</v>
      </c>
      <c r="BC72" s="519"/>
      <c r="BD72" s="519">
        <f t="shared" si="31"/>
        <v>50</v>
      </c>
      <c r="BE72" s="519">
        <f t="shared" si="50"/>
        <v>50</v>
      </c>
      <c r="BF72" s="513" t="s">
        <v>1771</v>
      </c>
      <c r="BG72" s="514" t="s">
        <v>1771</v>
      </c>
      <c r="BH72" s="510" t="s">
        <v>1771</v>
      </c>
      <c r="BI72" s="628"/>
    </row>
    <row r="73" spans="1:61" s="523" customFormat="1" ht="120">
      <c r="A73" s="538" t="s">
        <v>5377</v>
      </c>
      <c r="B73" s="507" t="s">
        <v>3042</v>
      </c>
      <c r="C73" s="507" t="s">
        <v>3774</v>
      </c>
      <c r="D73" s="508" t="s">
        <v>5392</v>
      </c>
      <c r="E73" s="505" t="s">
        <v>5390</v>
      </c>
      <c r="F73" s="505" t="s">
        <v>5391</v>
      </c>
      <c r="G73" s="509" t="s">
        <v>5393</v>
      </c>
      <c r="H73" s="507" t="s">
        <v>5369</v>
      </c>
      <c r="I73" s="510" t="s">
        <v>1771</v>
      </c>
      <c r="J73" s="510">
        <v>1</v>
      </c>
      <c r="K73" s="507">
        <f>10+10+5+8+2</f>
        <v>35</v>
      </c>
      <c r="L73" s="507">
        <f>1330+1336.5+669.5+537.5+131</f>
        <v>4004.5</v>
      </c>
      <c r="M73" s="511">
        <v>44691</v>
      </c>
      <c r="N73" s="511">
        <v>44692</v>
      </c>
      <c r="O73" s="511">
        <v>44692</v>
      </c>
      <c r="P73" s="511">
        <v>44722</v>
      </c>
      <c r="Q73" s="511">
        <v>44734</v>
      </c>
      <c r="R73" s="512" t="s">
        <v>5474</v>
      </c>
      <c r="S73" s="515" t="s">
        <v>3752</v>
      </c>
      <c r="T73" s="510" t="s">
        <v>3128</v>
      </c>
      <c r="U73" s="516" t="s">
        <v>3031</v>
      </c>
      <c r="V73" s="359">
        <v>44719</v>
      </c>
      <c r="W73" s="510" t="s">
        <v>3337</v>
      </c>
      <c r="X73" s="510" t="s">
        <v>3341</v>
      </c>
      <c r="Y73" s="511">
        <v>44729</v>
      </c>
      <c r="Z73" s="510" t="s">
        <v>3252</v>
      </c>
      <c r="AA73" s="510" t="s">
        <v>3982</v>
      </c>
      <c r="AB73" s="510" t="s">
        <v>5459</v>
      </c>
      <c r="AC73" s="510" t="s">
        <v>2146</v>
      </c>
      <c r="AD73" s="511">
        <v>44733</v>
      </c>
      <c r="AE73" s="515">
        <v>2668.92</v>
      </c>
      <c r="AF73" s="507" t="s">
        <v>3256</v>
      </c>
      <c r="AG73" s="510" t="s">
        <v>3108</v>
      </c>
      <c r="AH73" s="517">
        <v>13617.01</v>
      </c>
      <c r="AI73" s="517">
        <v>11107</v>
      </c>
      <c r="AJ73" s="517">
        <v>5</v>
      </c>
      <c r="AK73" s="517">
        <f t="shared" si="52"/>
        <v>24729.010000000002</v>
      </c>
      <c r="AL73" s="518">
        <v>5.1641000000000004</v>
      </c>
      <c r="AM73" s="519">
        <f t="shared" si="26"/>
        <v>127703.08054100002</v>
      </c>
      <c r="AN73" s="519">
        <v>0</v>
      </c>
      <c r="AO73" s="510">
        <v>3</v>
      </c>
      <c r="AP73" s="519">
        <v>9767.8799999999992</v>
      </c>
      <c r="AQ73" s="519">
        <v>10570.11</v>
      </c>
      <c r="AR73" s="519">
        <v>2681.76</v>
      </c>
      <c r="AS73" s="519">
        <v>12323.34</v>
      </c>
      <c r="AT73" s="519">
        <v>34522.550000000003</v>
      </c>
      <c r="AU73" s="519">
        <v>4569.6899999999996</v>
      </c>
      <c r="AV73" s="519">
        <v>223.64</v>
      </c>
      <c r="AW73" s="510" t="s">
        <v>3139</v>
      </c>
      <c r="AX73" s="520">
        <f t="shared" si="27"/>
        <v>44734</v>
      </c>
      <c r="AY73" s="510"/>
      <c r="AZ73" s="519">
        <f t="shared" si="28"/>
        <v>191554.62081150003</v>
      </c>
      <c r="BA73" s="521">
        <f t="shared" si="29"/>
        <v>1</v>
      </c>
      <c r="BB73" s="519">
        <f t="shared" si="30"/>
        <v>191554.62081150003</v>
      </c>
      <c r="BC73" s="519"/>
      <c r="BD73" s="519">
        <f t="shared" si="31"/>
        <v>-70</v>
      </c>
      <c r="BE73" s="519">
        <f t="shared" si="50"/>
        <v>-70</v>
      </c>
      <c r="BF73" s="513" t="s">
        <v>1771</v>
      </c>
      <c r="BG73" s="514" t="s">
        <v>1771</v>
      </c>
      <c r="BH73" s="510" t="s">
        <v>1771</v>
      </c>
      <c r="BI73" s="628"/>
    </row>
    <row r="74" spans="1:61" s="523" customFormat="1" ht="132">
      <c r="A74" s="538" t="s">
        <v>5365</v>
      </c>
      <c r="B74" s="507" t="s">
        <v>3042</v>
      </c>
      <c r="C74" s="507" t="s">
        <v>3774</v>
      </c>
      <c r="D74" s="508">
        <v>4800017091</v>
      </c>
      <c r="E74" s="505" t="s">
        <v>5366</v>
      </c>
      <c r="F74" s="505" t="s">
        <v>5367</v>
      </c>
      <c r="G74" s="509" t="s">
        <v>5368</v>
      </c>
      <c r="H74" s="507" t="s">
        <v>5369</v>
      </c>
      <c r="I74" s="510" t="s">
        <v>1771</v>
      </c>
      <c r="J74" s="510">
        <v>1</v>
      </c>
      <c r="K74" s="507">
        <f>15+15+15</f>
        <v>45</v>
      </c>
      <c r="L74" s="507">
        <f>2079+2063+2075</f>
        <v>6217</v>
      </c>
      <c r="M74" s="511">
        <v>44687</v>
      </c>
      <c r="N74" s="511">
        <v>44687</v>
      </c>
      <c r="O74" s="511">
        <v>44687</v>
      </c>
      <c r="P74" s="511">
        <v>44722</v>
      </c>
      <c r="Q74" s="511">
        <v>44734</v>
      </c>
      <c r="R74" s="512" t="s">
        <v>5476</v>
      </c>
      <c r="S74" s="515" t="s">
        <v>3752</v>
      </c>
      <c r="T74" s="510" t="s">
        <v>3128</v>
      </c>
      <c r="U74" s="516" t="s">
        <v>3031</v>
      </c>
      <c r="V74" s="359">
        <v>44719</v>
      </c>
      <c r="W74" s="510" t="s">
        <v>3337</v>
      </c>
      <c r="X74" s="510" t="s">
        <v>3341</v>
      </c>
      <c r="Y74" s="511">
        <v>44729</v>
      </c>
      <c r="Z74" s="510" t="s">
        <v>3252</v>
      </c>
      <c r="AA74" s="510" t="s">
        <v>3982</v>
      </c>
      <c r="AB74" s="510" t="s">
        <v>5458</v>
      </c>
      <c r="AC74" s="510" t="s">
        <v>2146</v>
      </c>
      <c r="AD74" s="511">
        <v>44732</v>
      </c>
      <c r="AE74" s="515">
        <v>3961.8226</v>
      </c>
      <c r="AF74" s="507" t="s">
        <v>3238</v>
      </c>
      <c r="AG74" s="510" t="s">
        <v>3108</v>
      </c>
      <c r="AH74" s="517">
        <v>32220.92</v>
      </c>
      <c r="AI74" s="517">
        <v>11107</v>
      </c>
      <c r="AJ74" s="517">
        <v>3</v>
      </c>
      <c r="AK74" s="517">
        <f t="shared" si="52"/>
        <v>43330.92</v>
      </c>
      <c r="AL74" s="518">
        <v>5.1313000000000004</v>
      </c>
      <c r="AM74" s="519">
        <f t="shared" si="26"/>
        <v>222343.949796</v>
      </c>
      <c r="AN74" s="519">
        <v>0</v>
      </c>
      <c r="AO74" s="510">
        <v>1</v>
      </c>
      <c r="AP74" s="519">
        <v>16008.76</v>
      </c>
      <c r="AQ74" s="519">
        <v>17876.45</v>
      </c>
      <c r="AR74" s="519">
        <v>4669.22</v>
      </c>
      <c r="AS74" s="519">
        <v>21456.19</v>
      </c>
      <c r="AT74" s="519">
        <v>59091.49</v>
      </c>
      <c r="AU74" s="519">
        <v>4562.22</v>
      </c>
      <c r="AV74" s="519">
        <v>154.22999999999999</v>
      </c>
      <c r="AW74" s="510" t="s">
        <v>3139</v>
      </c>
      <c r="AX74" s="520">
        <f t="shared" si="27"/>
        <v>44734</v>
      </c>
      <c r="AY74" s="510"/>
      <c r="AZ74" s="519">
        <f t="shared" si="28"/>
        <v>333515.92469399999</v>
      </c>
      <c r="BA74" s="521">
        <f t="shared" si="29"/>
        <v>1</v>
      </c>
      <c r="BB74" s="519">
        <f t="shared" si="30"/>
        <v>333515.92469399999</v>
      </c>
      <c r="BC74" s="519"/>
      <c r="BD74" s="519">
        <f t="shared" si="31"/>
        <v>-90</v>
      </c>
      <c r="BE74" s="519">
        <f t="shared" si="50"/>
        <v>-90</v>
      </c>
      <c r="BF74" s="513" t="s">
        <v>1771</v>
      </c>
      <c r="BG74" s="514" t="s">
        <v>1771</v>
      </c>
      <c r="BH74" s="510" t="s">
        <v>1771</v>
      </c>
      <c r="BI74" s="628"/>
    </row>
    <row r="75" spans="1:61" s="523" customFormat="1" ht="156">
      <c r="A75" s="538" t="s">
        <v>5376</v>
      </c>
      <c r="B75" s="507" t="s">
        <v>3042</v>
      </c>
      <c r="C75" s="507" t="s">
        <v>3774</v>
      </c>
      <c r="D75" s="508" t="s">
        <v>5384</v>
      </c>
      <c r="E75" s="505" t="s">
        <v>5382</v>
      </c>
      <c r="F75" s="505" t="s">
        <v>5383</v>
      </c>
      <c r="G75" s="509" t="s">
        <v>5385</v>
      </c>
      <c r="H75" s="507" t="s">
        <v>5369</v>
      </c>
      <c r="I75" s="510" t="s">
        <v>1771</v>
      </c>
      <c r="J75" s="510">
        <v>1</v>
      </c>
      <c r="K75" s="507">
        <f>8+15+15</f>
        <v>38</v>
      </c>
      <c r="L75" s="507">
        <f>537.5+1916+1928.5</f>
        <v>4382</v>
      </c>
      <c r="M75" s="511">
        <v>44690</v>
      </c>
      <c r="N75" s="511">
        <v>44691</v>
      </c>
      <c r="O75" s="511">
        <v>44691</v>
      </c>
      <c r="P75" s="511">
        <v>44722</v>
      </c>
      <c r="Q75" s="511">
        <v>44734</v>
      </c>
      <c r="R75" s="512" t="s">
        <v>5477</v>
      </c>
      <c r="S75" s="515" t="s">
        <v>3752</v>
      </c>
      <c r="T75" s="510" t="s">
        <v>3128</v>
      </c>
      <c r="U75" s="516" t="s">
        <v>3031</v>
      </c>
      <c r="V75" s="359">
        <v>44719</v>
      </c>
      <c r="W75" s="510" t="s">
        <v>3337</v>
      </c>
      <c r="X75" s="510" t="s">
        <v>3341</v>
      </c>
      <c r="Y75" s="511">
        <v>44729</v>
      </c>
      <c r="Z75" s="510" t="s">
        <v>3298</v>
      </c>
      <c r="AA75" s="510" t="s">
        <v>3982</v>
      </c>
      <c r="AB75" s="510" t="s">
        <v>5460</v>
      </c>
      <c r="AC75" s="510" t="s">
        <v>2146</v>
      </c>
      <c r="AD75" s="511">
        <v>44733</v>
      </c>
      <c r="AE75" s="515">
        <v>2775</v>
      </c>
      <c r="AF75" s="507" t="s">
        <v>3359</v>
      </c>
      <c r="AG75" s="510" t="s">
        <v>3108</v>
      </c>
      <c r="AH75" s="517">
        <v>121288.13</v>
      </c>
      <c r="AI75" s="517">
        <v>11107</v>
      </c>
      <c r="AJ75" s="517">
        <v>3</v>
      </c>
      <c r="AK75" s="517">
        <f t="shared" si="52"/>
        <v>132398.13</v>
      </c>
      <c r="AL75" s="518">
        <v>5.1641000000000004</v>
      </c>
      <c r="AM75" s="519">
        <f t="shared" si="26"/>
        <v>683717.18313300004</v>
      </c>
      <c r="AN75" s="519">
        <v>0</v>
      </c>
      <c r="AO75" s="510">
        <v>2</v>
      </c>
      <c r="AP75" s="519">
        <v>49664.31</v>
      </c>
      <c r="AQ75" s="519">
        <v>55201.51</v>
      </c>
      <c r="AR75" s="519">
        <v>14358.06</v>
      </c>
      <c r="AS75" s="519">
        <v>65978.710000000006</v>
      </c>
      <c r="AT75" s="519">
        <v>179666.49</v>
      </c>
      <c r="AU75" s="519">
        <v>4569.6899999999996</v>
      </c>
      <c r="AV75" s="519">
        <v>192.79</v>
      </c>
      <c r="AW75" s="510" t="s">
        <v>3139</v>
      </c>
      <c r="AX75" s="520">
        <f t="shared" si="27"/>
        <v>44734</v>
      </c>
      <c r="AY75" s="510"/>
      <c r="AZ75" s="519">
        <f t="shared" si="28"/>
        <v>1025575.7746995001</v>
      </c>
      <c r="BA75" s="521">
        <f t="shared" si="29"/>
        <v>1</v>
      </c>
      <c r="BB75" s="519">
        <f t="shared" si="30"/>
        <v>1025575.7746995001</v>
      </c>
      <c r="BC75" s="519"/>
      <c r="BD75" s="519">
        <f t="shared" si="31"/>
        <v>-80</v>
      </c>
      <c r="BE75" s="519">
        <f t="shared" si="50"/>
        <v>-80</v>
      </c>
      <c r="BF75" s="513" t="s">
        <v>1771</v>
      </c>
      <c r="BG75" s="514" t="s">
        <v>1771</v>
      </c>
      <c r="BH75" s="510" t="s">
        <v>1771</v>
      </c>
      <c r="BI75" s="628"/>
    </row>
    <row r="76" spans="1:61" s="523" customFormat="1" ht="132">
      <c r="A76" s="538" t="s">
        <v>5412</v>
      </c>
      <c r="B76" s="507" t="s">
        <v>3042</v>
      </c>
      <c r="C76" s="507" t="s">
        <v>3774</v>
      </c>
      <c r="D76" s="508" t="s">
        <v>5418</v>
      </c>
      <c r="E76" s="505" t="s">
        <v>5416</v>
      </c>
      <c r="F76" s="505" t="s">
        <v>5417</v>
      </c>
      <c r="G76" s="509" t="s">
        <v>5419</v>
      </c>
      <c r="H76" s="507" t="s">
        <v>5400</v>
      </c>
      <c r="I76" s="510" t="s">
        <v>1771</v>
      </c>
      <c r="J76" s="510">
        <v>1</v>
      </c>
      <c r="K76" s="507">
        <f>5+2+2+3+15+15</f>
        <v>42</v>
      </c>
      <c r="L76" s="507">
        <f>978.5+134.5+131.5+261.5+2142+2171</f>
        <v>5819</v>
      </c>
      <c r="M76" s="511">
        <v>44704</v>
      </c>
      <c r="N76" s="511">
        <v>44702</v>
      </c>
      <c r="O76" s="511">
        <v>44702</v>
      </c>
      <c r="P76" s="511">
        <v>44735</v>
      </c>
      <c r="Q76" s="511">
        <f t="shared" ref="Q76" si="53">P76+5</f>
        <v>44740</v>
      </c>
      <c r="R76" s="512" t="s">
        <v>5491</v>
      </c>
      <c r="S76" s="515" t="s">
        <v>3752</v>
      </c>
      <c r="T76" s="510" t="s">
        <v>3128</v>
      </c>
      <c r="U76" s="516" t="s">
        <v>3031</v>
      </c>
      <c r="V76" s="359">
        <v>44726</v>
      </c>
      <c r="W76" s="510" t="s">
        <v>3337</v>
      </c>
      <c r="X76" s="510" t="s">
        <v>3341</v>
      </c>
      <c r="Y76" s="511">
        <v>44736</v>
      </c>
      <c r="Z76" s="510" t="s">
        <v>3252</v>
      </c>
      <c r="AA76" s="510" t="s">
        <v>3982</v>
      </c>
      <c r="AB76" s="510" t="s">
        <v>5485</v>
      </c>
      <c r="AC76" s="510" t="s">
        <v>2146</v>
      </c>
      <c r="AD76" s="511">
        <v>44736</v>
      </c>
      <c r="AE76" s="515">
        <v>3763.7496000000001</v>
      </c>
      <c r="AF76" s="507" t="s">
        <v>3359</v>
      </c>
      <c r="AG76" s="510" t="s">
        <v>3108</v>
      </c>
      <c r="AH76" s="517">
        <v>56481.94</v>
      </c>
      <c r="AI76" s="517">
        <v>11107</v>
      </c>
      <c r="AJ76" s="517">
        <v>6</v>
      </c>
      <c r="AK76" s="517">
        <f t="shared" ref="AK76" si="54">SUM(AH76:AJ76)</f>
        <v>67594.94</v>
      </c>
      <c r="AL76" s="518">
        <v>5.1833</v>
      </c>
      <c r="AM76" s="519">
        <f t="shared" si="26"/>
        <v>350364.85250199999</v>
      </c>
      <c r="AN76" s="519">
        <v>0</v>
      </c>
      <c r="AO76" s="510">
        <v>9</v>
      </c>
      <c r="AP76" s="519">
        <v>25617.97</v>
      </c>
      <c r="AQ76" s="519">
        <v>28307.41</v>
      </c>
      <c r="AR76" s="519">
        <v>7357.66</v>
      </c>
      <c r="AS76" s="519">
        <v>33810.199999999997</v>
      </c>
      <c r="AT76" s="519">
        <v>92667.97</v>
      </c>
      <c r="AU76" s="519">
        <v>4625.67</v>
      </c>
      <c r="AV76" s="519">
        <v>377.9</v>
      </c>
      <c r="AW76" s="510" t="s">
        <v>3139</v>
      </c>
      <c r="AX76" s="520">
        <f t="shared" si="27"/>
        <v>44740</v>
      </c>
      <c r="AY76" s="510"/>
      <c r="AZ76" s="519">
        <f t="shared" si="28"/>
        <v>525547.27875299996</v>
      </c>
      <c r="BA76" s="521">
        <f t="shared" si="29"/>
        <v>1</v>
      </c>
      <c r="BB76" s="519">
        <f t="shared" si="30"/>
        <v>525547.27875299996</v>
      </c>
      <c r="BC76" s="519"/>
      <c r="BD76" s="519">
        <f t="shared" si="31"/>
        <v>-10</v>
      </c>
      <c r="BE76" s="519">
        <f t="shared" si="50"/>
        <v>-10</v>
      </c>
      <c r="BF76" s="513" t="s">
        <v>1771</v>
      </c>
      <c r="BG76" s="514" t="s">
        <v>1771</v>
      </c>
      <c r="BH76" s="510" t="s">
        <v>1771</v>
      </c>
      <c r="BI76" s="628"/>
    </row>
    <row r="77" spans="1:61" s="523" customFormat="1" ht="132">
      <c r="A77" s="538" t="s">
        <v>5395</v>
      </c>
      <c r="B77" s="507" t="s">
        <v>3042</v>
      </c>
      <c r="C77" s="507" t="s">
        <v>3774</v>
      </c>
      <c r="D77" s="508" t="s">
        <v>5397</v>
      </c>
      <c r="E77" s="505" t="s">
        <v>5398</v>
      </c>
      <c r="F77" s="505" t="s">
        <v>5399</v>
      </c>
      <c r="G77" s="509" t="s">
        <v>5401</v>
      </c>
      <c r="H77" s="507" t="s">
        <v>5400</v>
      </c>
      <c r="I77" s="510" t="s">
        <v>1771</v>
      </c>
      <c r="J77" s="510">
        <v>1</v>
      </c>
      <c r="K77" s="507">
        <f>15+15+3+2+9</f>
        <v>44</v>
      </c>
      <c r="L77" s="507">
        <f>2130+2146.5+336+114.5+1430.5</f>
        <v>6157.5</v>
      </c>
      <c r="M77" s="511">
        <v>44697</v>
      </c>
      <c r="N77" s="511">
        <v>44696</v>
      </c>
      <c r="O77" s="511">
        <v>44696</v>
      </c>
      <c r="P77" s="511">
        <v>44735</v>
      </c>
      <c r="Q77" s="511">
        <v>44742</v>
      </c>
      <c r="R77" s="512" t="s">
        <v>5508</v>
      </c>
      <c r="S77" s="515" t="s">
        <v>3752</v>
      </c>
      <c r="T77" s="510" t="s">
        <v>3128</v>
      </c>
      <c r="U77" s="516" t="s">
        <v>3031</v>
      </c>
      <c r="V77" s="359">
        <v>44729</v>
      </c>
      <c r="W77" s="510" t="s">
        <v>3337</v>
      </c>
      <c r="X77" s="510" t="s">
        <v>3341</v>
      </c>
      <c r="Y77" s="511">
        <v>44736</v>
      </c>
      <c r="Z77" s="510" t="s">
        <v>3252</v>
      </c>
      <c r="AA77" s="510" t="s">
        <v>3982</v>
      </c>
      <c r="AB77" s="510" t="s">
        <v>5489</v>
      </c>
      <c r="AC77" s="510" t="s">
        <v>2146</v>
      </c>
      <c r="AD77" s="511">
        <v>44740</v>
      </c>
      <c r="AE77" s="515">
        <v>3951.2152000000001</v>
      </c>
      <c r="AF77" s="507" t="s">
        <v>3238</v>
      </c>
      <c r="AG77" s="510" t="s">
        <v>3108</v>
      </c>
      <c r="AH77" s="517">
        <v>44566.89</v>
      </c>
      <c r="AI77" s="517">
        <v>11107</v>
      </c>
      <c r="AJ77" s="517">
        <v>5</v>
      </c>
      <c r="AK77" s="517">
        <f t="shared" ref="AK77:AK78" si="55">SUM(AH77:AJ77)</f>
        <v>55678.89</v>
      </c>
      <c r="AL77" s="518">
        <v>5.2214</v>
      </c>
      <c r="AM77" s="519">
        <f t="shared" si="26"/>
        <v>290721.756246</v>
      </c>
      <c r="AN77" s="519">
        <v>0</v>
      </c>
      <c r="AO77" s="510">
        <v>4</v>
      </c>
      <c r="AP77" s="519">
        <v>21018.83</v>
      </c>
      <c r="AQ77" s="519">
        <v>23419.88</v>
      </c>
      <c r="AR77" s="519">
        <v>6105.15</v>
      </c>
      <c r="AS77" s="519">
        <v>28054.639999999999</v>
      </c>
      <c r="AT77" s="519">
        <v>77000.59</v>
      </c>
      <c r="AU77" s="519">
        <v>4625.67</v>
      </c>
      <c r="AV77" s="519">
        <v>254.49</v>
      </c>
      <c r="AW77" s="510" t="s">
        <v>3139</v>
      </c>
      <c r="AX77" s="520">
        <f t="shared" si="27"/>
        <v>44742</v>
      </c>
      <c r="AY77" s="510"/>
      <c r="AZ77" s="519">
        <f t="shared" si="28"/>
        <v>436082.63436899998</v>
      </c>
      <c r="BA77" s="521">
        <f t="shared" si="29"/>
        <v>1</v>
      </c>
      <c r="BB77" s="519">
        <f t="shared" si="30"/>
        <v>436082.63436899998</v>
      </c>
      <c r="BC77" s="519"/>
      <c r="BD77" s="519">
        <f t="shared" si="31"/>
        <v>-60</v>
      </c>
      <c r="BE77" s="519">
        <f t="shared" si="50"/>
        <v>-60</v>
      </c>
      <c r="BF77" s="513" t="s">
        <v>1771</v>
      </c>
      <c r="BG77" s="514" t="s">
        <v>1771</v>
      </c>
      <c r="BH77" s="510" t="s">
        <v>1771</v>
      </c>
      <c r="BI77" s="628"/>
    </row>
    <row r="78" spans="1:61" s="523" customFormat="1" ht="132">
      <c r="A78" s="538" t="s">
        <v>5396</v>
      </c>
      <c r="B78" s="507" t="s">
        <v>3042</v>
      </c>
      <c r="C78" s="507" t="s">
        <v>3774</v>
      </c>
      <c r="D78" s="508" t="s">
        <v>5404</v>
      </c>
      <c r="E78" s="505" t="s">
        <v>5402</v>
      </c>
      <c r="F78" s="505" t="s">
        <v>5403</v>
      </c>
      <c r="G78" s="509" t="s">
        <v>5405</v>
      </c>
      <c r="H78" s="507" t="s">
        <v>5400</v>
      </c>
      <c r="I78" s="510" t="s">
        <v>1771</v>
      </c>
      <c r="J78" s="510">
        <v>1</v>
      </c>
      <c r="K78" s="507">
        <f>15+6+8+15+5</f>
        <v>49</v>
      </c>
      <c r="L78" s="507">
        <f>2231.9+778.5+1137+2164.5+933.5</f>
        <v>7245.4</v>
      </c>
      <c r="M78" s="511">
        <v>44698</v>
      </c>
      <c r="N78" s="511">
        <v>44698</v>
      </c>
      <c r="O78" s="511">
        <v>44698</v>
      </c>
      <c r="P78" s="511">
        <v>44735</v>
      </c>
      <c r="Q78" s="511">
        <v>44742</v>
      </c>
      <c r="R78" s="512" t="s">
        <v>5509</v>
      </c>
      <c r="S78" s="515" t="s">
        <v>3752</v>
      </c>
      <c r="T78" s="510" t="s">
        <v>3128</v>
      </c>
      <c r="U78" s="516" t="s">
        <v>3031</v>
      </c>
      <c r="V78" s="359">
        <v>44722</v>
      </c>
      <c r="W78" s="510" t="s">
        <v>3337</v>
      </c>
      <c r="X78" s="510" t="s">
        <v>3341</v>
      </c>
      <c r="Y78" s="511">
        <v>44736</v>
      </c>
      <c r="Z78" s="510" t="s">
        <v>3252</v>
      </c>
      <c r="AA78" s="510" t="s">
        <v>3982</v>
      </c>
      <c r="AB78" s="510" t="s">
        <v>5490</v>
      </c>
      <c r="AC78" s="510" t="s">
        <v>2146</v>
      </c>
      <c r="AD78" s="511">
        <v>44740</v>
      </c>
      <c r="AE78" s="515">
        <v>4852.6500999999998</v>
      </c>
      <c r="AF78" s="507" t="s">
        <v>3238</v>
      </c>
      <c r="AG78" s="510" t="s">
        <v>3108</v>
      </c>
      <c r="AH78" s="517">
        <v>58385.04</v>
      </c>
      <c r="AI78" s="517">
        <v>11107</v>
      </c>
      <c r="AJ78" s="517">
        <v>5</v>
      </c>
      <c r="AK78" s="517">
        <f t="shared" si="55"/>
        <v>69497.040000000008</v>
      </c>
      <c r="AL78" s="518">
        <v>5.2214</v>
      </c>
      <c r="AM78" s="519">
        <f t="shared" si="26"/>
        <v>362871.84465600003</v>
      </c>
      <c r="AN78" s="519">
        <v>0</v>
      </c>
      <c r="AO78" s="510">
        <v>8</v>
      </c>
      <c r="AP78" s="519">
        <v>16916.02</v>
      </c>
      <c r="AQ78" s="519">
        <v>23042.47</v>
      </c>
      <c r="AR78" s="519">
        <v>7620.32</v>
      </c>
      <c r="AS78" s="519">
        <v>35017.11</v>
      </c>
      <c r="AT78" s="519">
        <v>84246.99</v>
      </c>
      <c r="AU78" s="519">
        <v>4625.67</v>
      </c>
      <c r="AV78" s="519">
        <v>354.76</v>
      </c>
      <c r="AW78" s="510" t="s">
        <v>3139</v>
      </c>
      <c r="AX78" s="520">
        <f t="shared" si="27"/>
        <v>44742</v>
      </c>
      <c r="AY78" s="510"/>
      <c r="AZ78" s="519">
        <f t="shared" si="28"/>
        <v>544307.7669840001</v>
      </c>
      <c r="BA78" s="521">
        <f t="shared" si="29"/>
        <v>1</v>
      </c>
      <c r="BB78" s="519">
        <f t="shared" si="30"/>
        <v>544307.7669840001</v>
      </c>
      <c r="BC78" s="519"/>
      <c r="BD78" s="519">
        <f t="shared" si="31"/>
        <v>-20</v>
      </c>
      <c r="BE78" s="519">
        <f t="shared" si="50"/>
        <v>-20</v>
      </c>
      <c r="BF78" s="513" t="s">
        <v>1771</v>
      </c>
      <c r="BG78" s="514" t="s">
        <v>1771</v>
      </c>
      <c r="BH78" s="510" t="s">
        <v>1771</v>
      </c>
      <c r="BI78" s="628"/>
    </row>
    <row r="79" spans="1:61" s="523" customFormat="1" ht="144">
      <c r="A79" s="538" t="s">
        <v>5413</v>
      </c>
      <c r="B79" s="507" t="s">
        <v>3042</v>
      </c>
      <c r="C79" s="507" t="s">
        <v>3774</v>
      </c>
      <c r="D79" s="508">
        <v>4800017147</v>
      </c>
      <c r="E79" s="505" t="s">
        <v>5420</v>
      </c>
      <c r="F79" s="505" t="s">
        <v>5421</v>
      </c>
      <c r="G79" s="509" t="s">
        <v>5437</v>
      </c>
      <c r="H79" s="507" t="s">
        <v>5436</v>
      </c>
      <c r="I79" s="510">
        <v>1</v>
      </c>
      <c r="J79" s="510">
        <v>1</v>
      </c>
      <c r="K79" s="507">
        <f>20+15+79</f>
        <v>114</v>
      </c>
      <c r="L79" s="507">
        <f>1087+2138+9117.5</f>
        <v>12342.5</v>
      </c>
      <c r="M79" s="511">
        <v>44704</v>
      </c>
      <c r="N79" s="511">
        <v>44707</v>
      </c>
      <c r="O79" s="511">
        <v>44754</v>
      </c>
      <c r="P79" s="511">
        <v>44742</v>
      </c>
      <c r="Q79" s="511">
        <v>44749</v>
      </c>
      <c r="R79" s="512" t="s">
        <v>5531</v>
      </c>
      <c r="S79" s="515" t="s">
        <v>3752</v>
      </c>
      <c r="T79" s="510" t="s">
        <v>3681</v>
      </c>
      <c r="U79" s="516" t="s">
        <v>3031</v>
      </c>
      <c r="V79" s="359">
        <v>44740</v>
      </c>
      <c r="W79" s="510" t="s">
        <v>3147</v>
      </c>
      <c r="X79" s="510" t="s">
        <v>3147</v>
      </c>
      <c r="Y79" s="511">
        <v>44746</v>
      </c>
      <c r="Z79" s="510" t="s">
        <v>3252</v>
      </c>
      <c r="AA79" s="510" t="s">
        <v>3982</v>
      </c>
      <c r="AB79" s="510" t="s">
        <v>5519</v>
      </c>
      <c r="AC79" s="510" t="s">
        <v>2146</v>
      </c>
      <c r="AD79" s="511">
        <v>44747</v>
      </c>
      <c r="AE79" s="515">
        <v>7836.9018999999998</v>
      </c>
      <c r="AF79" s="507" t="s">
        <v>3238</v>
      </c>
      <c r="AG79" s="510" t="s">
        <v>3108</v>
      </c>
      <c r="AH79" s="517">
        <v>68280.820000000007</v>
      </c>
      <c r="AI79" s="517">
        <v>21516</v>
      </c>
      <c r="AJ79" s="517">
        <v>3</v>
      </c>
      <c r="AK79" s="517">
        <f t="shared" ref="AK79" si="56">SUM(AH79:AJ79)</f>
        <v>89799.82</v>
      </c>
      <c r="AL79" s="518">
        <v>5.3037999999999998</v>
      </c>
      <c r="AM79" s="519">
        <f t="shared" si="26"/>
        <v>476280.28531600005</v>
      </c>
      <c r="AN79" s="519">
        <v>0</v>
      </c>
      <c r="AO79" s="510">
        <v>9</v>
      </c>
      <c r="AP79" s="519">
        <v>34544.19</v>
      </c>
      <c r="AQ79" s="519">
        <v>38278.53</v>
      </c>
      <c r="AR79" s="519">
        <v>10001.89</v>
      </c>
      <c r="AS79" s="519">
        <v>45961.03</v>
      </c>
      <c r="AT79" s="519">
        <v>126511.98</v>
      </c>
      <c r="AU79" s="519">
        <v>9167.2199999999993</v>
      </c>
      <c r="AV79" s="519">
        <v>377.9</v>
      </c>
      <c r="AW79" s="510" t="s">
        <v>3139</v>
      </c>
      <c r="AX79" s="520">
        <f t="shared" si="27"/>
        <v>44749</v>
      </c>
      <c r="AY79" s="510"/>
      <c r="AZ79" s="519">
        <f t="shared" si="28"/>
        <v>714420.42797400011</v>
      </c>
      <c r="BA79" s="521">
        <f t="shared" si="29"/>
        <v>2</v>
      </c>
      <c r="BB79" s="519">
        <f t="shared" si="30"/>
        <v>357210.21398700005</v>
      </c>
      <c r="BC79" s="519"/>
      <c r="BD79" s="519">
        <f t="shared" si="31"/>
        <v>-10</v>
      </c>
      <c r="BE79" s="519">
        <f t="shared" si="50"/>
        <v>-10</v>
      </c>
      <c r="BF79" s="513" t="s">
        <v>1771</v>
      </c>
      <c r="BG79" s="514" t="s">
        <v>1771</v>
      </c>
      <c r="BH79" s="510" t="s">
        <v>1771</v>
      </c>
      <c r="BI79" s="628"/>
    </row>
    <row r="80" spans="1:61" s="523" customFormat="1" ht="132">
      <c r="A80" s="538" t="s">
        <v>5345</v>
      </c>
      <c r="B80" s="507" t="s">
        <v>3042</v>
      </c>
      <c r="C80" s="507" t="s">
        <v>3774</v>
      </c>
      <c r="D80" s="508" t="s">
        <v>5350</v>
      </c>
      <c r="E80" s="505" t="s">
        <v>5348</v>
      </c>
      <c r="F80" s="505" t="s">
        <v>5349</v>
      </c>
      <c r="G80" s="509" t="s">
        <v>5352</v>
      </c>
      <c r="H80" s="507" t="s">
        <v>5351</v>
      </c>
      <c r="I80" s="510" t="s">
        <v>1771</v>
      </c>
      <c r="J80" s="510">
        <v>1</v>
      </c>
      <c r="K80" s="507">
        <f>15+6+15+1+1+13</f>
        <v>51</v>
      </c>
      <c r="L80" s="507">
        <f>1939+665.2+1940+76.4+75.8+1388.5</f>
        <v>6084.9</v>
      </c>
      <c r="M80" s="511">
        <v>44677</v>
      </c>
      <c r="N80" s="511">
        <v>44678</v>
      </c>
      <c r="O80" s="511">
        <v>44678</v>
      </c>
      <c r="P80" s="511">
        <v>44747</v>
      </c>
      <c r="Q80" s="511">
        <v>44753</v>
      </c>
      <c r="R80" s="512" t="s">
        <v>5535</v>
      </c>
      <c r="S80" s="515" t="s">
        <v>3752</v>
      </c>
      <c r="T80" s="510" t="s">
        <v>3681</v>
      </c>
      <c r="U80" s="516" t="s">
        <v>3031</v>
      </c>
      <c r="V80" s="359">
        <v>44713</v>
      </c>
      <c r="W80" s="510" t="s">
        <v>3147</v>
      </c>
      <c r="X80" s="510" t="s">
        <v>3147</v>
      </c>
      <c r="Y80" s="511">
        <v>44750</v>
      </c>
      <c r="Z80" s="510" t="s">
        <v>3252</v>
      </c>
      <c r="AA80" s="510" t="s">
        <v>3982</v>
      </c>
      <c r="AB80" s="510" t="s">
        <v>5532</v>
      </c>
      <c r="AC80" s="510" t="s">
        <v>2146</v>
      </c>
      <c r="AD80" s="511">
        <v>44750</v>
      </c>
      <c r="AE80" s="515">
        <v>3701.5970000000002</v>
      </c>
      <c r="AF80" s="507" t="s">
        <v>3857</v>
      </c>
      <c r="AG80" s="510" t="s">
        <v>3108</v>
      </c>
      <c r="AH80" s="517">
        <v>483995.44</v>
      </c>
      <c r="AI80" s="517">
        <v>11107</v>
      </c>
      <c r="AJ80" s="517">
        <v>6</v>
      </c>
      <c r="AK80" s="517">
        <f t="shared" ref="AK80:AK82" si="57">SUM(AH80:AJ80)</f>
        <v>495108.44</v>
      </c>
      <c r="AL80" s="518">
        <v>5.3639999999999999</v>
      </c>
      <c r="AM80" s="519">
        <f t="shared" si="26"/>
        <v>2655761.6721600001</v>
      </c>
      <c r="AN80" s="519">
        <v>0</v>
      </c>
      <c r="AO80" s="510">
        <v>8</v>
      </c>
      <c r="AP80" s="519">
        <v>287282.42</v>
      </c>
      <c r="AQ80" s="519">
        <v>264181.14</v>
      </c>
      <c r="AR80" s="519">
        <v>55771</v>
      </c>
      <c r="AS80" s="519">
        <v>256281.02</v>
      </c>
      <c r="AT80" s="519">
        <v>715661.8</v>
      </c>
      <c r="AU80" s="519">
        <v>4786.2299999999996</v>
      </c>
      <c r="AV80" s="519">
        <v>354.76</v>
      </c>
      <c r="AW80" s="510" t="s">
        <v>3139</v>
      </c>
      <c r="AX80" s="520">
        <f t="shared" si="27"/>
        <v>44753</v>
      </c>
      <c r="AY80" s="510"/>
      <c r="AZ80" s="519">
        <f t="shared" si="28"/>
        <v>3983642.5082400003</v>
      </c>
      <c r="BA80" s="521">
        <f t="shared" si="29"/>
        <v>1</v>
      </c>
      <c r="BB80" s="519">
        <f t="shared" si="30"/>
        <v>3983642.5082400003</v>
      </c>
      <c r="BC80" s="519"/>
      <c r="BD80" s="519">
        <f t="shared" si="31"/>
        <v>-20</v>
      </c>
      <c r="BE80" s="519">
        <f t="shared" si="50"/>
        <v>-20</v>
      </c>
      <c r="BF80" s="513" t="s">
        <v>1771</v>
      </c>
      <c r="BG80" s="514" t="s">
        <v>1771</v>
      </c>
      <c r="BH80" s="510" t="s">
        <v>1771</v>
      </c>
      <c r="BI80" s="628"/>
    </row>
    <row r="81" spans="1:61" s="523" customFormat="1" ht="132">
      <c r="A81" s="538" t="s">
        <v>5346</v>
      </c>
      <c r="B81" s="507" t="s">
        <v>3042</v>
      </c>
      <c r="C81" s="507" t="s">
        <v>3774</v>
      </c>
      <c r="D81" s="508" t="s">
        <v>5356</v>
      </c>
      <c r="E81" s="505" t="s">
        <v>5353</v>
      </c>
      <c r="F81" s="505" t="s">
        <v>5354</v>
      </c>
      <c r="G81" s="509" t="s">
        <v>5355</v>
      </c>
      <c r="H81" s="507" t="s">
        <v>5351</v>
      </c>
      <c r="I81" s="510" t="s">
        <v>1771</v>
      </c>
      <c r="J81" s="510">
        <v>1</v>
      </c>
      <c r="K81" s="507">
        <f>15+15+7+4+4+4+1+1+44+1</f>
        <v>96</v>
      </c>
      <c r="L81" s="507">
        <f>2132.62+2088.5+1261.5+17.53+17.58+17.55+63.4+97.6+853.22+19.04</f>
        <v>6568.54</v>
      </c>
      <c r="M81" s="511">
        <v>44678</v>
      </c>
      <c r="N81" s="511">
        <v>44680</v>
      </c>
      <c r="O81" s="511">
        <v>44680</v>
      </c>
      <c r="P81" s="511">
        <v>44747</v>
      </c>
      <c r="Q81" s="511">
        <v>44753</v>
      </c>
      <c r="R81" s="512" t="s">
        <v>5536</v>
      </c>
      <c r="S81" s="515" t="s">
        <v>3752</v>
      </c>
      <c r="T81" s="510" t="s">
        <v>3681</v>
      </c>
      <c r="U81" s="516" t="s">
        <v>3031</v>
      </c>
      <c r="V81" s="359">
        <v>44713</v>
      </c>
      <c r="W81" s="510" t="s">
        <v>3147</v>
      </c>
      <c r="X81" s="510" t="s">
        <v>3147</v>
      </c>
      <c r="Y81" s="511">
        <v>44750</v>
      </c>
      <c r="Z81" s="510" t="s">
        <v>3252</v>
      </c>
      <c r="AA81" s="510" t="s">
        <v>3982</v>
      </c>
      <c r="AB81" s="510" t="s">
        <v>5533</v>
      </c>
      <c r="AC81" s="510" t="s">
        <v>2146</v>
      </c>
      <c r="AD81" s="511">
        <v>44750</v>
      </c>
      <c r="AE81" s="515">
        <v>4357.4672</v>
      </c>
      <c r="AF81" s="507" t="s">
        <v>3777</v>
      </c>
      <c r="AG81" s="510" t="s">
        <v>3108</v>
      </c>
      <c r="AH81" s="517">
        <v>412800</v>
      </c>
      <c r="AI81" s="517">
        <v>11107</v>
      </c>
      <c r="AJ81" s="517">
        <v>10</v>
      </c>
      <c r="AK81" s="517">
        <f t="shared" si="57"/>
        <v>423917</v>
      </c>
      <c r="AL81" s="518">
        <v>5.3639999999999999</v>
      </c>
      <c r="AM81" s="519">
        <f t="shared" si="26"/>
        <v>2273890.7880000002</v>
      </c>
      <c r="AN81" s="519">
        <v>0</v>
      </c>
      <c r="AO81" s="510">
        <v>22</v>
      </c>
      <c r="AP81" s="519">
        <v>237396.29</v>
      </c>
      <c r="AQ81" s="519">
        <v>227439.9</v>
      </c>
      <c r="AR81" s="519">
        <v>47751.71</v>
      </c>
      <c r="AS81" s="519">
        <v>219665.12</v>
      </c>
      <c r="AT81" s="519">
        <v>558841.68999999994</v>
      </c>
      <c r="AU81" s="519">
        <v>4786.2299999999996</v>
      </c>
      <c r="AV81" s="519">
        <v>570.66</v>
      </c>
      <c r="AW81" s="510" t="s">
        <v>3139</v>
      </c>
      <c r="AX81" s="520">
        <f t="shared" si="27"/>
        <v>44753</v>
      </c>
      <c r="AY81" s="510"/>
      <c r="AZ81" s="519">
        <f t="shared" si="28"/>
        <v>3410836.182</v>
      </c>
      <c r="BA81" s="521">
        <f t="shared" si="29"/>
        <v>1</v>
      </c>
      <c r="BB81" s="519">
        <f t="shared" si="30"/>
        <v>3410836.182</v>
      </c>
      <c r="BC81" s="519"/>
      <c r="BD81" s="519">
        <f t="shared" si="31"/>
        <v>120</v>
      </c>
      <c r="BE81" s="519">
        <f t="shared" si="50"/>
        <v>120</v>
      </c>
      <c r="BF81" s="513" t="s">
        <v>1771</v>
      </c>
      <c r="BG81" s="514" t="s">
        <v>1771</v>
      </c>
      <c r="BH81" s="510" t="s">
        <v>1771</v>
      </c>
      <c r="BI81" s="628"/>
    </row>
    <row r="82" spans="1:61" s="523" customFormat="1" ht="132">
      <c r="A82" s="538" t="s">
        <v>5347</v>
      </c>
      <c r="B82" s="507" t="s">
        <v>3042</v>
      </c>
      <c r="C82" s="507" t="s">
        <v>3774</v>
      </c>
      <c r="D82" s="508" t="s">
        <v>5362</v>
      </c>
      <c r="E82" s="505" t="s">
        <v>5394</v>
      </c>
      <c r="F82" s="505" t="s">
        <v>5357</v>
      </c>
      <c r="G82" s="509" t="s">
        <v>5363</v>
      </c>
      <c r="H82" s="507" t="s">
        <v>5351</v>
      </c>
      <c r="I82" s="510" t="s">
        <v>1771</v>
      </c>
      <c r="J82" s="510">
        <v>1</v>
      </c>
      <c r="K82" s="507">
        <f>11+4+1+20+16+5+5+3</f>
        <v>65</v>
      </c>
      <c r="L82" s="507">
        <f>151.44+17.53+60.4+248.68+303.77+244.42+168.7+360.5</f>
        <v>1555.44</v>
      </c>
      <c r="M82" s="511">
        <v>44680</v>
      </c>
      <c r="N82" s="511">
        <v>44682</v>
      </c>
      <c r="O82" s="511">
        <v>44682</v>
      </c>
      <c r="P82" s="511">
        <v>44747</v>
      </c>
      <c r="Q82" s="511">
        <v>44753</v>
      </c>
      <c r="R82" s="512" t="s">
        <v>5537</v>
      </c>
      <c r="S82" s="515" t="s">
        <v>3752</v>
      </c>
      <c r="T82" s="510" t="s">
        <v>3681</v>
      </c>
      <c r="U82" s="516" t="s">
        <v>3031</v>
      </c>
      <c r="V82" s="359">
        <v>44713</v>
      </c>
      <c r="W82" s="510" t="s">
        <v>3147</v>
      </c>
      <c r="X82" s="510" t="s">
        <v>3147</v>
      </c>
      <c r="Y82" s="511">
        <v>44750</v>
      </c>
      <c r="Z82" s="510" t="s">
        <v>3252</v>
      </c>
      <c r="AA82" s="510" t="s">
        <v>3982</v>
      </c>
      <c r="AB82" s="510" t="s">
        <v>5534</v>
      </c>
      <c r="AC82" s="510" t="s">
        <v>2146</v>
      </c>
      <c r="AD82" s="511">
        <v>44750</v>
      </c>
      <c r="AE82" s="515">
        <v>1033.73</v>
      </c>
      <c r="AF82" s="507" t="s">
        <v>4409</v>
      </c>
      <c r="AG82" s="510" t="s">
        <v>3108</v>
      </c>
      <c r="AH82" s="517">
        <v>402274.06</v>
      </c>
      <c r="AI82" s="517">
        <v>11107</v>
      </c>
      <c r="AJ82" s="517">
        <v>8</v>
      </c>
      <c r="AK82" s="517">
        <f t="shared" si="57"/>
        <v>413389.06</v>
      </c>
      <c r="AL82" s="518">
        <v>5.3639999999999999</v>
      </c>
      <c r="AM82" s="519">
        <f t="shared" si="26"/>
        <v>2217418.9178399998</v>
      </c>
      <c r="AN82" s="519">
        <v>0</v>
      </c>
      <c r="AO82" s="510">
        <v>17</v>
      </c>
      <c r="AP82" s="519">
        <v>254616.61</v>
      </c>
      <c r="AQ82" s="519">
        <v>230543.21</v>
      </c>
      <c r="AR82" s="519">
        <v>46565.79</v>
      </c>
      <c r="AS82" s="519">
        <v>214071.71</v>
      </c>
      <c r="AT82" s="519">
        <v>585246.47</v>
      </c>
      <c r="AU82" s="519">
        <v>4786.2299999999996</v>
      </c>
      <c r="AV82" s="519">
        <v>508.98</v>
      </c>
      <c r="AW82" s="510" t="s">
        <v>3139</v>
      </c>
      <c r="AX82" s="520">
        <f t="shared" si="27"/>
        <v>44753</v>
      </c>
      <c r="AY82" s="510"/>
      <c r="AZ82" s="519">
        <f t="shared" si="28"/>
        <v>3326128.3767599994</v>
      </c>
      <c r="BA82" s="521">
        <f t="shared" si="29"/>
        <v>1</v>
      </c>
      <c r="BB82" s="519">
        <f t="shared" si="30"/>
        <v>3326128.3767599994</v>
      </c>
      <c r="BC82" s="519"/>
      <c r="BD82" s="519">
        <f t="shared" si="31"/>
        <v>70</v>
      </c>
      <c r="BE82" s="519">
        <f t="shared" si="50"/>
        <v>70</v>
      </c>
      <c r="BF82" s="513" t="s">
        <v>1771</v>
      </c>
      <c r="BG82" s="514" t="s">
        <v>1771</v>
      </c>
      <c r="BH82" s="510" t="s">
        <v>1771</v>
      </c>
      <c r="BI82" s="628"/>
    </row>
    <row r="83" spans="1:61" s="523" customFormat="1" ht="132">
      <c r="A83" s="538" t="s">
        <v>5445</v>
      </c>
      <c r="B83" s="507" t="s">
        <v>3042</v>
      </c>
      <c r="C83" s="507" t="s">
        <v>3774</v>
      </c>
      <c r="D83" s="508" t="s">
        <v>5449</v>
      </c>
      <c r="E83" s="505" t="s">
        <v>5446</v>
      </c>
      <c r="F83" s="505" t="s">
        <v>5447</v>
      </c>
      <c r="G83" s="509" t="s">
        <v>5450</v>
      </c>
      <c r="H83" s="507" t="s">
        <v>5444</v>
      </c>
      <c r="I83" s="510" t="s">
        <v>1771</v>
      </c>
      <c r="J83" s="510">
        <v>1</v>
      </c>
      <c r="K83" s="507">
        <f>5+2+2+2+1+5+8+4+8+5</f>
        <v>42</v>
      </c>
      <c r="L83" s="507">
        <f>1117+131+131.5+129.5+0.56+915.5+1120.5+763.5+1136+1110</f>
        <v>6555.0599999999995</v>
      </c>
      <c r="M83" s="511">
        <v>44714</v>
      </c>
      <c r="N83" s="511">
        <v>44715</v>
      </c>
      <c r="O83" s="511">
        <v>44715</v>
      </c>
      <c r="P83" s="511">
        <v>44752</v>
      </c>
      <c r="Q83" s="511">
        <v>44757</v>
      </c>
      <c r="R83" s="512" t="s">
        <v>5548</v>
      </c>
      <c r="S83" s="515" t="s">
        <v>3752</v>
      </c>
      <c r="T83" s="510" t="s">
        <v>3128</v>
      </c>
      <c r="U83" s="516" t="s">
        <v>3031</v>
      </c>
      <c r="V83" s="359">
        <v>44747</v>
      </c>
      <c r="W83" s="510" t="s">
        <v>3337</v>
      </c>
      <c r="X83" s="510" t="s">
        <v>3341</v>
      </c>
      <c r="Y83" s="511">
        <v>44755</v>
      </c>
      <c r="Z83" s="510" t="s">
        <v>3252</v>
      </c>
      <c r="AA83" s="510" t="s">
        <v>3982</v>
      </c>
      <c r="AB83" s="510" t="s">
        <v>5539</v>
      </c>
      <c r="AC83" s="510" t="s">
        <v>2146</v>
      </c>
      <c r="AD83" s="511">
        <v>44756</v>
      </c>
      <c r="AE83" s="515">
        <v>4422.0396000000001</v>
      </c>
      <c r="AF83" s="507" t="s">
        <v>5448</v>
      </c>
      <c r="AG83" s="510" t="s">
        <v>3108</v>
      </c>
      <c r="AH83" s="517">
        <v>108315.46</v>
      </c>
      <c r="AI83" s="517">
        <v>11107</v>
      </c>
      <c r="AJ83" s="517">
        <v>10</v>
      </c>
      <c r="AK83" s="517">
        <f t="shared" ref="AK83:AK84" si="58">SUM(AH83:AJ83)</f>
        <v>119432.46</v>
      </c>
      <c r="AL83" s="518">
        <v>5.3992000000000004</v>
      </c>
      <c r="AM83" s="519">
        <f t="shared" si="26"/>
        <v>644839.73803200014</v>
      </c>
      <c r="AN83" s="519">
        <v>0</v>
      </c>
      <c r="AO83" s="510">
        <v>6</v>
      </c>
      <c r="AP83" s="519">
        <v>46779.199999999997</v>
      </c>
      <c r="AQ83" s="519">
        <v>52030.34</v>
      </c>
      <c r="AR83" s="519">
        <v>13541.63</v>
      </c>
      <c r="AS83" s="519">
        <v>62227.01</v>
      </c>
      <c r="AT83" s="519">
        <v>169578.59</v>
      </c>
      <c r="AU83" s="519">
        <v>4828.88</v>
      </c>
      <c r="AV83" s="519">
        <v>308.48</v>
      </c>
      <c r="AW83" s="510" t="s">
        <v>3139</v>
      </c>
      <c r="AX83" s="520">
        <f t="shared" si="27"/>
        <v>44757</v>
      </c>
      <c r="AY83" s="510"/>
      <c r="AZ83" s="519">
        <f t="shared" si="28"/>
        <v>967259.60704800021</v>
      </c>
      <c r="BA83" s="521">
        <f t="shared" si="29"/>
        <v>1</v>
      </c>
      <c r="BB83" s="519">
        <f t="shared" si="30"/>
        <v>967259.60704800021</v>
      </c>
      <c r="BC83" s="519"/>
      <c r="BD83" s="519">
        <f t="shared" si="31"/>
        <v>-40</v>
      </c>
      <c r="BE83" s="519">
        <f t="shared" si="50"/>
        <v>-40</v>
      </c>
      <c r="BF83" s="513" t="s">
        <v>1771</v>
      </c>
      <c r="BG83" s="514" t="s">
        <v>1771</v>
      </c>
      <c r="BH83" s="510" t="s">
        <v>1771</v>
      </c>
      <c r="BI83" s="628"/>
    </row>
    <row r="84" spans="1:61" s="523" customFormat="1" ht="132">
      <c r="A84" s="538" t="s">
        <v>5451</v>
      </c>
      <c r="B84" s="507" t="s">
        <v>3042</v>
      </c>
      <c r="C84" s="507" t="s">
        <v>3774</v>
      </c>
      <c r="D84" s="508" t="s">
        <v>5456</v>
      </c>
      <c r="E84" s="505" t="s">
        <v>5452</v>
      </c>
      <c r="F84" s="505" t="s">
        <v>5453</v>
      </c>
      <c r="G84" s="509" t="s">
        <v>5455</v>
      </c>
      <c r="H84" s="507" t="s">
        <v>5444</v>
      </c>
      <c r="I84" s="510" t="s">
        <v>1771</v>
      </c>
      <c r="J84" s="510">
        <v>1</v>
      </c>
      <c r="K84" s="507">
        <f>1+1+1+14+15+15+4</f>
        <v>51</v>
      </c>
      <c r="L84" s="507">
        <f>1.08+0.52+34.5+1473.5+1931+1922+571.48</f>
        <v>5934.08</v>
      </c>
      <c r="M84" s="511">
        <v>44721</v>
      </c>
      <c r="N84" s="511">
        <v>44722</v>
      </c>
      <c r="O84" s="511">
        <v>44722</v>
      </c>
      <c r="P84" s="511">
        <v>44752</v>
      </c>
      <c r="Q84" s="511">
        <v>44757</v>
      </c>
      <c r="R84" s="512" t="s">
        <v>5547</v>
      </c>
      <c r="S84" s="515" t="s">
        <v>3752</v>
      </c>
      <c r="T84" s="510" t="s">
        <v>3128</v>
      </c>
      <c r="U84" s="516" t="s">
        <v>3031</v>
      </c>
      <c r="V84" s="359">
        <v>44747</v>
      </c>
      <c r="W84" s="510" t="s">
        <v>3337</v>
      </c>
      <c r="X84" s="510" t="s">
        <v>3341</v>
      </c>
      <c r="Y84" s="511">
        <v>44755</v>
      </c>
      <c r="Z84" s="510" t="s">
        <v>3252</v>
      </c>
      <c r="AA84" s="510" t="s">
        <v>3982</v>
      </c>
      <c r="AB84" s="510" t="s">
        <v>5540</v>
      </c>
      <c r="AC84" s="510" t="s">
        <v>2146</v>
      </c>
      <c r="AD84" s="511">
        <v>44756</v>
      </c>
      <c r="AE84" s="515">
        <v>3860.8697999999999</v>
      </c>
      <c r="AF84" s="507" t="s">
        <v>5454</v>
      </c>
      <c r="AG84" s="510" t="s">
        <v>3108</v>
      </c>
      <c r="AH84" s="517">
        <v>78486.259999999995</v>
      </c>
      <c r="AI84" s="517">
        <v>11107</v>
      </c>
      <c r="AJ84" s="517">
        <v>7</v>
      </c>
      <c r="AK84" s="517">
        <f t="shared" si="58"/>
        <v>89600.26</v>
      </c>
      <c r="AL84" s="518">
        <v>5.3992000000000004</v>
      </c>
      <c r="AM84" s="519">
        <f t="shared" si="26"/>
        <v>483769.72379200003</v>
      </c>
      <c r="AN84" s="519">
        <v>0</v>
      </c>
      <c r="AO84" s="510">
        <v>10</v>
      </c>
      <c r="AP84" s="519">
        <v>35176.75</v>
      </c>
      <c r="AQ84" s="519">
        <v>39062.42</v>
      </c>
      <c r="AR84" s="519">
        <v>10159.16</v>
      </c>
      <c r="AS84" s="519">
        <v>46683.76</v>
      </c>
      <c r="AT84" s="519">
        <v>127540.76</v>
      </c>
      <c r="AU84" s="519">
        <v>4828.88</v>
      </c>
      <c r="AV84" s="519">
        <v>401.04</v>
      </c>
      <c r="AW84" s="510" t="s">
        <v>3139</v>
      </c>
      <c r="AX84" s="520">
        <f t="shared" si="27"/>
        <v>44757</v>
      </c>
      <c r="AY84" s="510"/>
      <c r="AZ84" s="519">
        <f t="shared" si="28"/>
        <v>725654.58568800008</v>
      </c>
      <c r="BA84" s="521">
        <f t="shared" si="29"/>
        <v>1</v>
      </c>
      <c r="BB84" s="519">
        <f t="shared" si="30"/>
        <v>725654.58568800008</v>
      </c>
      <c r="BC84" s="519"/>
      <c r="BD84" s="519">
        <f t="shared" si="31"/>
        <v>0</v>
      </c>
      <c r="BE84" s="519">
        <f t="shared" si="50"/>
        <v>0</v>
      </c>
      <c r="BF84" s="513" t="s">
        <v>1771</v>
      </c>
      <c r="BG84" s="514" t="s">
        <v>1771</v>
      </c>
      <c r="BH84" s="510" t="s">
        <v>1771</v>
      </c>
      <c r="BI84" s="628"/>
    </row>
    <row r="85" spans="1:61" s="523" customFormat="1" ht="132">
      <c r="A85" s="538" t="s">
        <v>5439</v>
      </c>
      <c r="B85" s="507" t="s">
        <v>3042</v>
      </c>
      <c r="C85" s="507" t="s">
        <v>3774</v>
      </c>
      <c r="D85" s="508" t="s">
        <v>5442</v>
      </c>
      <c r="E85" s="505" t="s">
        <v>5440</v>
      </c>
      <c r="F85" s="505" t="s">
        <v>5441</v>
      </c>
      <c r="G85" s="509" t="s">
        <v>5443</v>
      </c>
      <c r="H85" s="507" t="s">
        <v>5444</v>
      </c>
      <c r="I85" s="510" t="s">
        <v>1771</v>
      </c>
      <c r="J85" s="510">
        <v>1</v>
      </c>
      <c r="K85" s="507">
        <f>8+15+8+8+8</f>
        <v>47</v>
      </c>
      <c r="L85" s="507">
        <f>1052+2133+1115+1110.5+1449.96</f>
        <v>6860.46</v>
      </c>
      <c r="M85" s="511">
        <v>44707</v>
      </c>
      <c r="N85" s="511">
        <v>44712</v>
      </c>
      <c r="O85" s="511">
        <v>44712</v>
      </c>
      <c r="P85" s="511">
        <v>44752</v>
      </c>
      <c r="Q85" s="511">
        <v>44763</v>
      </c>
      <c r="R85" s="512" t="s">
        <v>5565</v>
      </c>
      <c r="S85" s="515" t="s">
        <v>3752</v>
      </c>
      <c r="T85" s="510" t="s">
        <v>3128</v>
      </c>
      <c r="U85" s="516" t="s">
        <v>3031</v>
      </c>
      <c r="V85" s="359">
        <v>44740</v>
      </c>
      <c r="W85" s="510" t="s">
        <v>3337</v>
      </c>
      <c r="X85" s="510" t="s">
        <v>3341</v>
      </c>
      <c r="Y85" s="511">
        <v>44755</v>
      </c>
      <c r="Z85" s="510" t="s">
        <v>3252</v>
      </c>
      <c r="AA85" s="510" t="s">
        <v>3982</v>
      </c>
      <c r="AB85" s="510" t="s">
        <v>5554</v>
      </c>
      <c r="AC85" s="510" t="s">
        <v>2146</v>
      </c>
      <c r="AD85" s="511">
        <v>44761</v>
      </c>
      <c r="AE85" s="515">
        <v>4482.5838999999996</v>
      </c>
      <c r="AF85" s="507" t="s">
        <v>3268</v>
      </c>
      <c r="AG85" s="510" t="s">
        <v>3108</v>
      </c>
      <c r="AH85" s="517">
        <v>38313.17</v>
      </c>
      <c r="AI85" s="517">
        <v>11107</v>
      </c>
      <c r="AJ85" s="517">
        <v>5</v>
      </c>
      <c r="AK85" s="517">
        <f t="shared" ref="AK85" si="59">SUM(AH85:AJ85)</f>
        <v>49425.17</v>
      </c>
      <c r="AL85" s="518">
        <v>5.3674999999999997</v>
      </c>
      <c r="AM85" s="519">
        <f t="shared" si="26"/>
        <v>265289.59997499996</v>
      </c>
      <c r="AN85" s="519">
        <v>0</v>
      </c>
      <c r="AO85" s="510">
        <v>5</v>
      </c>
      <c r="AP85" s="519">
        <v>19104.8</v>
      </c>
      <c r="AQ85" s="519">
        <v>21329.01</v>
      </c>
      <c r="AR85" s="519">
        <v>5571.08</v>
      </c>
      <c r="AS85" s="519">
        <v>25600.43</v>
      </c>
      <c r="AT85" s="519">
        <v>70393.17</v>
      </c>
      <c r="AU85" s="519">
        <v>4828.88</v>
      </c>
      <c r="AV85" s="519">
        <v>285.33999999999997</v>
      </c>
      <c r="AW85" s="510" t="s">
        <v>3139</v>
      </c>
      <c r="AX85" s="520">
        <f t="shared" si="27"/>
        <v>44763</v>
      </c>
      <c r="AY85" s="510"/>
      <c r="AZ85" s="519">
        <f t="shared" si="28"/>
        <v>397934.39996249997</v>
      </c>
      <c r="BA85" s="521">
        <f t="shared" si="29"/>
        <v>1</v>
      </c>
      <c r="BB85" s="519">
        <f t="shared" si="30"/>
        <v>397934.39996249997</v>
      </c>
      <c r="BC85" s="519"/>
      <c r="BD85" s="519">
        <f t="shared" si="31"/>
        <v>-50</v>
      </c>
      <c r="BE85" s="519">
        <f t="shared" si="50"/>
        <v>-50</v>
      </c>
      <c r="BF85" s="513" t="s">
        <v>1771</v>
      </c>
      <c r="BG85" s="514" t="s">
        <v>1771</v>
      </c>
      <c r="BH85" s="510" t="s">
        <v>1771</v>
      </c>
      <c r="BI85" s="628"/>
    </row>
    <row r="86" spans="1:61" s="523" customFormat="1" ht="132">
      <c r="A86" s="538" t="s">
        <v>5461</v>
      </c>
      <c r="B86" s="507" t="s">
        <v>3042</v>
      </c>
      <c r="C86" s="507" t="s">
        <v>3774</v>
      </c>
      <c r="D86" s="508" t="s">
        <v>5467</v>
      </c>
      <c r="E86" s="505" t="s">
        <v>5465</v>
      </c>
      <c r="F86" s="505" t="s">
        <v>5466</v>
      </c>
      <c r="G86" s="509" t="s">
        <v>5468</v>
      </c>
      <c r="H86" s="507" t="s">
        <v>5469</v>
      </c>
      <c r="I86" s="510" t="s">
        <v>1771</v>
      </c>
      <c r="J86" s="510">
        <v>1</v>
      </c>
      <c r="K86" s="507">
        <f>7+15+5+8+5+12</f>
        <v>52</v>
      </c>
      <c r="L86" s="507">
        <f>500+1931+1112.5+1138.5+1113+1797</f>
        <v>7592</v>
      </c>
      <c r="M86" s="511">
        <v>44722</v>
      </c>
      <c r="N86" s="511">
        <v>44729</v>
      </c>
      <c r="O86" s="511">
        <v>44729</v>
      </c>
      <c r="P86" s="511">
        <v>44760</v>
      </c>
      <c r="Q86" s="511">
        <v>44763</v>
      </c>
      <c r="R86" s="512" t="s">
        <v>5581</v>
      </c>
      <c r="S86" s="515" t="s">
        <v>3752</v>
      </c>
      <c r="T86" s="510" t="s">
        <v>3681</v>
      </c>
      <c r="U86" s="516" t="s">
        <v>3031</v>
      </c>
      <c r="V86" s="359">
        <v>44754</v>
      </c>
      <c r="W86" s="510" t="s">
        <v>3147</v>
      </c>
      <c r="X86" s="510" t="s">
        <v>3147</v>
      </c>
      <c r="Y86" s="511">
        <v>44762</v>
      </c>
      <c r="Z86" s="510" t="s">
        <v>3252</v>
      </c>
      <c r="AA86" s="510" t="s">
        <v>3982</v>
      </c>
      <c r="AB86" s="510" t="s">
        <v>5563</v>
      </c>
      <c r="AC86" s="510" t="s">
        <v>2146</v>
      </c>
      <c r="AD86" s="511">
        <v>44762</v>
      </c>
      <c r="AE86" s="515">
        <v>4909.9755999999998</v>
      </c>
      <c r="AF86" s="507" t="s">
        <v>4279</v>
      </c>
      <c r="AG86" s="510" t="s">
        <v>3108</v>
      </c>
      <c r="AH86" s="517">
        <v>108122.73</v>
      </c>
      <c r="AI86" s="517">
        <v>11107</v>
      </c>
      <c r="AJ86" s="517">
        <v>6</v>
      </c>
      <c r="AK86" s="517">
        <f t="shared" ref="AK86" si="60">SUM(AH86:AJ86)</f>
        <v>119235.73</v>
      </c>
      <c r="AL86" s="518">
        <v>5.3903999999999996</v>
      </c>
      <c r="AM86" s="519">
        <f t="shared" si="26"/>
        <v>642728.27899199992</v>
      </c>
      <c r="AN86" s="519">
        <v>0</v>
      </c>
      <c r="AO86" s="510">
        <v>9</v>
      </c>
      <c r="AP86" s="519">
        <v>46276.4</v>
      </c>
      <c r="AQ86" s="519">
        <v>51675.3</v>
      </c>
      <c r="AR86" s="519">
        <v>13497.28</v>
      </c>
      <c r="AS86" s="519">
        <v>62023.25</v>
      </c>
      <c r="AT86" s="519">
        <v>168961.28</v>
      </c>
      <c r="AU86" s="519">
        <v>4809.6899999999996</v>
      </c>
      <c r="AV86" s="519">
        <v>377.9</v>
      </c>
      <c r="AW86" s="510" t="s">
        <v>3139</v>
      </c>
      <c r="AX86" s="520">
        <f t="shared" si="27"/>
        <v>44763</v>
      </c>
      <c r="AY86" s="510"/>
      <c r="AZ86" s="519">
        <f t="shared" si="28"/>
        <v>964092.41848799982</v>
      </c>
      <c r="BA86" s="521">
        <f t="shared" si="29"/>
        <v>1</v>
      </c>
      <c r="BB86" s="519">
        <f t="shared" si="30"/>
        <v>964092.41848799982</v>
      </c>
      <c r="BC86" s="519"/>
      <c r="BD86" s="519">
        <f t="shared" si="31"/>
        <v>-10</v>
      </c>
      <c r="BE86" s="519">
        <f t="shared" si="50"/>
        <v>-10</v>
      </c>
      <c r="BF86" s="513" t="s">
        <v>1771</v>
      </c>
      <c r="BG86" s="514" t="s">
        <v>1771</v>
      </c>
      <c r="BH86" s="510" t="s">
        <v>1771</v>
      </c>
      <c r="BI86" s="628"/>
    </row>
    <row r="87" spans="1:61" s="523" customFormat="1" ht="132">
      <c r="A87" s="538" t="s">
        <v>5462</v>
      </c>
      <c r="B87" s="507" t="s">
        <v>3042</v>
      </c>
      <c r="C87" s="507" t="s">
        <v>3774</v>
      </c>
      <c r="D87" s="508" t="s">
        <v>5404</v>
      </c>
      <c r="E87" s="505" t="s">
        <v>5470</v>
      </c>
      <c r="F87" s="505" t="s">
        <v>5471</v>
      </c>
      <c r="G87" s="509" t="s">
        <v>5472</v>
      </c>
      <c r="H87" s="507" t="s">
        <v>5469</v>
      </c>
      <c r="I87" s="510" t="s">
        <v>1771</v>
      </c>
      <c r="J87" s="510">
        <v>1</v>
      </c>
      <c r="K87" s="507">
        <f>10+10+15+5+5+2</f>
        <v>47</v>
      </c>
      <c r="L87" s="507">
        <f>1896.5+1881.5+1937+1126+1109+118</f>
        <v>8068</v>
      </c>
      <c r="M87" s="511">
        <v>44727</v>
      </c>
      <c r="N87" s="511">
        <v>44730</v>
      </c>
      <c r="O87" s="511">
        <v>44730</v>
      </c>
      <c r="P87" s="511">
        <v>44760</v>
      </c>
      <c r="Q87" s="511">
        <v>44767</v>
      </c>
      <c r="R87" s="512" t="s">
        <v>5582</v>
      </c>
      <c r="S87" s="515" t="s">
        <v>3752</v>
      </c>
      <c r="T87" s="510" t="s">
        <v>3681</v>
      </c>
      <c r="U87" s="516" t="s">
        <v>3031</v>
      </c>
      <c r="V87" s="359">
        <v>44754</v>
      </c>
      <c r="W87" s="510" t="s">
        <v>3147</v>
      </c>
      <c r="X87" s="510" t="s">
        <v>3147</v>
      </c>
      <c r="Y87" s="511">
        <v>44762</v>
      </c>
      <c r="Z87" s="510" t="s">
        <v>3252</v>
      </c>
      <c r="AA87" s="510" t="s">
        <v>3982</v>
      </c>
      <c r="AB87" s="510" t="s">
        <v>5564</v>
      </c>
      <c r="AC87" s="510" t="s">
        <v>2146</v>
      </c>
      <c r="AD87" s="511">
        <v>44762</v>
      </c>
      <c r="AE87" s="515">
        <v>5657.6</v>
      </c>
      <c r="AF87" s="507" t="s">
        <v>4279</v>
      </c>
      <c r="AG87" s="510" t="s">
        <v>3108</v>
      </c>
      <c r="AH87" s="517">
        <v>170308.88</v>
      </c>
      <c r="AI87" s="517">
        <v>11107</v>
      </c>
      <c r="AJ87" s="517">
        <v>6</v>
      </c>
      <c r="AK87" s="517">
        <f t="shared" ref="AK87" si="61">SUM(AH87:AJ87)</f>
        <v>181421.88</v>
      </c>
      <c r="AL87" s="518">
        <v>5.3903999999999996</v>
      </c>
      <c r="AM87" s="519">
        <f t="shared" si="26"/>
        <v>977936.50195199996</v>
      </c>
      <c r="AN87" s="519">
        <v>0</v>
      </c>
      <c r="AO87" s="510">
        <v>5</v>
      </c>
      <c r="AP87" s="519">
        <v>36919.06</v>
      </c>
      <c r="AQ87" s="519">
        <v>56344.35</v>
      </c>
      <c r="AR87" s="519">
        <v>20536.669999999998</v>
      </c>
      <c r="AS87" s="519">
        <v>94370.86</v>
      </c>
      <c r="AT87" s="519">
        <v>214589.23</v>
      </c>
      <c r="AU87" s="519">
        <v>4809.6899999999996</v>
      </c>
      <c r="AV87" s="519">
        <v>285.33999999999997</v>
      </c>
      <c r="AW87" s="510" t="s">
        <v>3139</v>
      </c>
      <c r="AX87" s="520">
        <f t="shared" si="27"/>
        <v>44767</v>
      </c>
      <c r="AY87" s="510"/>
      <c r="AZ87" s="519">
        <f t="shared" si="28"/>
        <v>1466904.7529279999</v>
      </c>
      <c r="BA87" s="521">
        <f t="shared" si="29"/>
        <v>1</v>
      </c>
      <c r="BB87" s="519">
        <f t="shared" si="30"/>
        <v>1466904.7529279999</v>
      </c>
      <c r="BC87" s="519"/>
      <c r="BD87" s="519">
        <f t="shared" si="31"/>
        <v>-50</v>
      </c>
      <c r="BE87" s="519">
        <f t="shared" si="50"/>
        <v>-50</v>
      </c>
      <c r="BF87" s="513" t="s">
        <v>1771</v>
      </c>
      <c r="BG87" s="514" t="s">
        <v>1771</v>
      </c>
      <c r="BH87" s="510" t="s">
        <v>1771</v>
      </c>
      <c r="BI87" s="628"/>
    </row>
    <row r="88" spans="1:61" s="523" customFormat="1" ht="132">
      <c r="A88" s="538" t="s">
        <v>5464</v>
      </c>
      <c r="B88" s="507" t="s">
        <v>3042</v>
      </c>
      <c r="C88" s="507" t="s">
        <v>3774</v>
      </c>
      <c r="D88" s="508" t="s">
        <v>5483</v>
      </c>
      <c r="E88" s="505" t="s">
        <v>5481</v>
      </c>
      <c r="F88" s="505" t="s">
        <v>5482</v>
      </c>
      <c r="G88" s="509">
        <v>219309241</v>
      </c>
      <c r="H88" s="507" t="s">
        <v>5538</v>
      </c>
      <c r="I88" s="510" t="s">
        <v>1771</v>
      </c>
      <c r="J88" s="510">
        <v>1</v>
      </c>
      <c r="K88" s="507">
        <f>3+5+9+4+8+8+8</f>
        <v>45</v>
      </c>
      <c r="L88" s="507">
        <f>494.5+955.5+1454+581.5+1161.5+989.5+1139.5</f>
        <v>6776</v>
      </c>
      <c r="M88" s="511">
        <v>44732</v>
      </c>
      <c r="N88" s="511">
        <v>44730</v>
      </c>
      <c r="O88" s="511">
        <v>44730</v>
      </c>
      <c r="P88" s="511">
        <v>44776</v>
      </c>
      <c r="Q88" s="511">
        <v>44770</v>
      </c>
      <c r="R88" s="512" t="s">
        <v>5584</v>
      </c>
      <c r="S88" s="515" t="s">
        <v>3752</v>
      </c>
      <c r="T88" s="510" t="s">
        <v>3128</v>
      </c>
      <c r="U88" s="516" t="s">
        <v>3031</v>
      </c>
      <c r="V88" s="359">
        <v>44771</v>
      </c>
      <c r="W88" s="510" t="s">
        <v>3147</v>
      </c>
      <c r="X88" s="510" t="s">
        <v>3147</v>
      </c>
      <c r="Y88" s="511">
        <v>44767</v>
      </c>
      <c r="Z88" s="510" t="s">
        <v>3252</v>
      </c>
      <c r="AA88" s="510" t="s">
        <v>3982</v>
      </c>
      <c r="AB88" s="510" t="s">
        <v>5583</v>
      </c>
      <c r="AC88" s="510" t="s">
        <v>2146</v>
      </c>
      <c r="AD88" s="511">
        <v>44769</v>
      </c>
      <c r="AE88" s="515">
        <v>4672</v>
      </c>
      <c r="AF88" s="507" t="s">
        <v>4279</v>
      </c>
      <c r="AG88" s="510" t="s">
        <v>3108</v>
      </c>
      <c r="AH88" s="517">
        <v>65101.120000000003</v>
      </c>
      <c r="AI88" s="517">
        <v>8928</v>
      </c>
      <c r="AJ88" s="517">
        <v>7</v>
      </c>
      <c r="AK88" s="517">
        <f t="shared" ref="AK88" si="62">SUM(AH88:AJ88)</f>
        <v>74036.12</v>
      </c>
      <c r="AL88" s="518">
        <v>5.3608000000000002</v>
      </c>
      <c r="AM88" s="519">
        <f t="shared" si="26"/>
        <v>396892.83209599997</v>
      </c>
      <c r="AN88" s="519">
        <v>0</v>
      </c>
      <c r="AO88" s="510">
        <v>4</v>
      </c>
      <c r="AP88" s="519">
        <v>28576.3</v>
      </c>
      <c r="AQ88" s="519">
        <v>31910.17</v>
      </c>
      <c r="AR88" s="519">
        <v>8334.75</v>
      </c>
      <c r="AS88" s="519">
        <v>38300.160000000003</v>
      </c>
      <c r="AT88" s="524">
        <v>104547.66</v>
      </c>
      <c r="AU88" s="519">
        <v>3914.14</v>
      </c>
      <c r="AV88" s="519">
        <v>254.49</v>
      </c>
      <c r="AW88" s="510" t="s">
        <v>3139</v>
      </c>
      <c r="AX88" s="520">
        <f t="shared" si="27"/>
        <v>44770</v>
      </c>
      <c r="AY88" s="510"/>
      <c r="AZ88" s="519">
        <f t="shared" si="28"/>
        <v>595339.24814399995</v>
      </c>
      <c r="BA88" s="521">
        <f t="shared" si="29"/>
        <v>1</v>
      </c>
      <c r="BB88" s="519">
        <f t="shared" si="30"/>
        <v>595339.24814399995</v>
      </c>
      <c r="BC88" s="519"/>
      <c r="BD88" s="519">
        <f t="shared" si="31"/>
        <v>-60</v>
      </c>
      <c r="BE88" s="519">
        <f t="shared" si="50"/>
        <v>-60</v>
      </c>
      <c r="BF88" s="513" t="s">
        <v>1771</v>
      </c>
      <c r="BG88" s="514" t="s">
        <v>1771</v>
      </c>
      <c r="BH88" s="510" t="s">
        <v>1771</v>
      </c>
      <c r="BI88" s="628"/>
    </row>
    <row r="89" spans="1:61" s="523" customFormat="1" ht="132">
      <c r="A89" s="538" t="s">
        <v>5500</v>
      </c>
      <c r="B89" s="507" t="s">
        <v>3042</v>
      </c>
      <c r="C89" s="507" t="s">
        <v>3774</v>
      </c>
      <c r="D89" s="508">
        <v>4800017317</v>
      </c>
      <c r="E89" s="505" t="s">
        <v>5504</v>
      </c>
      <c r="F89" s="505" t="s">
        <v>5506</v>
      </c>
      <c r="G89" s="509" t="s">
        <v>5507</v>
      </c>
      <c r="H89" s="507" t="s">
        <v>5488</v>
      </c>
      <c r="I89" s="510" t="s">
        <v>1771</v>
      </c>
      <c r="J89" s="510">
        <v>1</v>
      </c>
      <c r="K89" s="507">
        <v>10</v>
      </c>
      <c r="L89" s="507">
        <v>66.86</v>
      </c>
      <c r="M89" s="511">
        <v>44735</v>
      </c>
      <c r="N89" s="511">
        <v>44735</v>
      </c>
      <c r="O89" s="511">
        <v>44735</v>
      </c>
      <c r="P89" s="511">
        <v>44778</v>
      </c>
      <c r="Q89" s="511">
        <f t="shared" ref="Q89:Q93" si="63">P89+5</f>
        <v>44783</v>
      </c>
      <c r="R89" s="512" t="s">
        <v>5631</v>
      </c>
      <c r="S89" s="515" t="s">
        <v>3752</v>
      </c>
      <c r="T89" s="510" t="s">
        <v>3128</v>
      </c>
      <c r="U89" s="516" t="s">
        <v>3031</v>
      </c>
      <c r="V89" s="359">
        <v>44761</v>
      </c>
      <c r="W89" s="510" t="s">
        <v>3337</v>
      </c>
      <c r="X89" s="510" t="s">
        <v>3341</v>
      </c>
      <c r="Y89" s="511">
        <v>44781</v>
      </c>
      <c r="Z89" s="510" t="s">
        <v>3252</v>
      </c>
      <c r="AA89" s="510" t="s">
        <v>3982</v>
      </c>
      <c r="AB89" s="510" t="s">
        <v>5605</v>
      </c>
      <c r="AC89" s="510" t="s">
        <v>2146</v>
      </c>
      <c r="AD89" s="511">
        <v>44782</v>
      </c>
      <c r="AE89" s="510">
        <v>41.89</v>
      </c>
      <c r="AF89" s="377"/>
      <c r="AG89" s="510" t="s">
        <v>3108</v>
      </c>
      <c r="AH89" s="517">
        <v>222.14</v>
      </c>
      <c r="AI89" s="517">
        <v>481.99</v>
      </c>
      <c r="AJ89" s="517">
        <v>1</v>
      </c>
      <c r="AK89" s="517">
        <f>SUM(AH89:AJ89)</f>
        <v>705.13</v>
      </c>
      <c r="AL89" s="518">
        <v>5.1246999999999998</v>
      </c>
      <c r="AM89" s="519">
        <f>AK89*AL89</f>
        <v>3613.5797109999999</v>
      </c>
      <c r="AN89" s="519">
        <v>0</v>
      </c>
      <c r="AO89" s="510">
        <v>8</v>
      </c>
      <c r="AP89" s="519">
        <v>24716.22</v>
      </c>
      <c r="AQ89" s="519">
        <v>31460.82</v>
      </c>
      <c r="AR89" s="519">
        <v>4147.8999999999996</v>
      </c>
      <c r="AS89" s="519">
        <v>19075.96</v>
      </c>
      <c r="AT89" s="519">
        <v>52516.02</v>
      </c>
      <c r="AU89" s="519">
        <v>112.7</v>
      </c>
      <c r="AV89" s="519">
        <v>354.76</v>
      </c>
      <c r="AW89" s="510" t="s">
        <v>3139</v>
      </c>
      <c r="AX89" s="520">
        <f>Q89</f>
        <v>44783</v>
      </c>
      <c r="AY89" s="510"/>
      <c r="AZ89" s="519">
        <f>(AM89*50%)+AM89</f>
        <v>5420.3695664999996</v>
      </c>
      <c r="BA89" s="521">
        <f>SUM(I89:J89)</f>
        <v>1</v>
      </c>
      <c r="BB89" s="519">
        <f>AZ89/BA89</f>
        <v>5420.3695664999996</v>
      </c>
      <c r="BC89" s="519"/>
      <c r="BD89" s="519">
        <f>(AO89-10)*10</f>
        <v>-20</v>
      </c>
      <c r="BE89" s="519">
        <f t="shared" si="50"/>
        <v>-20</v>
      </c>
      <c r="BF89" s="513" t="s">
        <v>1771</v>
      </c>
      <c r="BG89" s="514" t="s">
        <v>1771</v>
      </c>
      <c r="BH89" s="510" t="s">
        <v>1771</v>
      </c>
      <c r="BI89" s="628"/>
    </row>
    <row r="90" spans="1:61" s="523" customFormat="1" ht="132">
      <c r="A90" s="538" t="s">
        <v>5492</v>
      </c>
      <c r="B90" s="507" t="s">
        <v>3042</v>
      </c>
      <c r="C90" s="507" t="s">
        <v>3774</v>
      </c>
      <c r="D90" s="508" t="s">
        <v>5502</v>
      </c>
      <c r="E90" s="505" t="s">
        <v>5494</v>
      </c>
      <c r="F90" s="505" t="s">
        <v>5496</v>
      </c>
      <c r="G90" s="509" t="s">
        <v>5498</v>
      </c>
      <c r="H90" s="507" t="s">
        <v>5488</v>
      </c>
      <c r="I90" s="510" t="s">
        <v>1771</v>
      </c>
      <c r="J90" s="510">
        <v>1</v>
      </c>
      <c r="K90" s="507">
        <f>6+8+13+4+5+1+5+1+1+1+4</f>
        <v>49</v>
      </c>
      <c r="L90" s="507">
        <f>736+1081+1121.84+662+954.5+6.58+1133.5+2.64+16.45+16.43+859.5</f>
        <v>6590.4400000000005</v>
      </c>
      <c r="M90" s="511">
        <v>44741</v>
      </c>
      <c r="N90" s="511">
        <v>44742</v>
      </c>
      <c r="O90" s="511">
        <v>44742</v>
      </c>
      <c r="P90" s="511">
        <v>44778</v>
      </c>
      <c r="Q90" s="511">
        <f t="shared" si="63"/>
        <v>44783</v>
      </c>
      <c r="R90" s="512" t="s">
        <v>5632</v>
      </c>
      <c r="S90" s="515" t="s">
        <v>3752</v>
      </c>
      <c r="T90" s="510" t="s">
        <v>3128</v>
      </c>
      <c r="U90" s="516" t="s">
        <v>3031</v>
      </c>
      <c r="V90" s="359">
        <v>44761</v>
      </c>
      <c r="W90" s="510" t="s">
        <v>3337</v>
      </c>
      <c r="X90" s="510" t="s">
        <v>3341</v>
      </c>
      <c r="Y90" s="511">
        <v>44781</v>
      </c>
      <c r="Z90" s="510" t="s">
        <v>3252</v>
      </c>
      <c r="AA90" s="510" t="s">
        <v>3982</v>
      </c>
      <c r="AB90" s="510" t="s">
        <v>5603</v>
      </c>
      <c r="AC90" s="510" t="s">
        <v>2146</v>
      </c>
      <c r="AD90" s="511">
        <v>44782</v>
      </c>
      <c r="AE90" s="515">
        <v>4746.6499999999996</v>
      </c>
      <c r="AF90" s="377"/>
      <c r="AG90" s="510" t="s">
        <v>3108</v>
      </c>
      <c r="AH90" s="517">
        <v>94247.05</v>
      </c>
      <c r="AI90" s="517">
        <v>10551.65</v>
      </c>
      <c r="AJ90" s="517">
        <v>11</v>
      </c>
      <c r="AK90" s="517">
        <f t="shared" ref="AK90:AK91" si="64">SUM(AH90:AJ90)</f>
        <v>104809.7</v>
      </c>
      <c r="AL90" s="518">
        <v>5.1246999999999998</v>
      </c>
      <c r="AM90" s="519">
        <f t="shared" ref="AM90:AM99" si="65">AK90*AL90</f>
        <v>537118.26958999992</v>
      </c>
      <c r="AN90" s="519">
        <v>0</v>
      </c>
      <c r="AO90" s="510">
        <v>7</v>
      </c>
      <c r="AP90" s="519">
        <v>38960.1</v>
      </c>
      <c r="AQ90" s="519">
        <v>43125.89</v>
      </c>
      <c r="AR90" s="519">
        <v>11279.49</v>
      </c>
      <c r="AS90" s="519">
        <v>51831.91</v>
      </c>
      <c r="AT90" s="519">
        <v>141353.73000000001</v>
      </c>
      <c r="AU90" s="519">
        <v>4423.41</v>
      </c>
      <c r="AV90" s="519">
        <v>331.62</v>
      </c>
      <c r="AW90" s="510" t="s">
        <v>3139</v>
      </c>
      <c r="AX90" s="520">
        <f t="shared" ref="AX90:AX99" si="66">Q90</f>
        <v>44783</v>
      </c>
      <c r="AY90" s="510"/>
      <c r="AZ90" s="519">
        <f t="shared" ref="AZ90:AZ99" si="67">(AM90*50%)+AM90</f>
        <v>805677.40438499989</v>
      </c>
      <c r="BA90" s="521">
        <f t="shared" ref="BA90:BA99" si="68">SUM(I90:J90)</f>
        <v>1</v>
      </c>
      <c r="BB90" s="519">
        <f t="shared" ref="BB90:BB99" si="69">AZ90/BA90</f>
        <v>805677.40438499989</v>
      </c>
      <c r="BC90" s="519"/>
      <c r="BD90" s="519">
        <f t="shared" ref="BD90:BD99" si="70">(AO90-10)*10</f>
        <v>-30</v>
      </c>
      <c r="BE90" s="519">
        <f t="shared" si="50"/>
        <v>-30</v>
      </c>
      <c r="BF90" s="513" t="s">
        <v>1771</v>
      </c>
      <c r="BG90" s="514" t="s">
        <v>1771</v>
      </c>
      <c r="BH90" s="510" t="s">
        <v>1771</v>
      </c>
      <c r="BI90" s="628"/>
    </row>
    <row r="91" spans="1:61" s="523" customFormat="1" ht="132">
      <c r="A91" s="538" t="s">
        <v>5501</v>
      </c>
      <c r="B91" s="507" t="s">
        <v>3042</v>
      </c>
      <c r="C91" s="507" t="s">
        <v>3774</v>
      </c>
      <c r="D91" s="508">
        <v>4800017349</v>
      </c>
      <c r="E91" s="505" t="s">
        <v>5495</v>
      </c>
      <c r="F91" s="505" t="s">
        <v>5497</v>
      </c>
      <c r="G91" s="509" t="s">
        <v>5499</v>
      </c>
      <c r="H91" s="507" t="s">
        <v>5488</v>
      </c>
      <c r="I91" s="510" t="s">
        <v>1771</v>
      </c>
      <c r="J91" s="510">
        <v>1</v>
      </c>
      <c r="K91" s="507">
        <f>1+1+1+1</f>
        <v>4</v>
      </c>
      <c r="L91" s="507">
        <f>61.4+60.8+62+62.2</f>
        <v>246.39999999999998</v>
      </c>
      <c r="M91" s="511">
        <v>44741</v>
      </c>
      <c r="N91" s="511">
        <v>44742</v>
      </c>
      <c r="O91" s="511">
        <v>44742</v>
      </c>
      <c r="P91" s="511">
        <v>44778</v>
      </c>
      <c r="Q91" s="511">
        <f t="shared" si="63"/>
        <v>44783</v>
      </c>
      <c r="R91" s="512" t="s">
        <v>5633</v>
      </c>
      <c r="S91" s="515" t="s">
        <v>3752</v>
      </c>
      <c r="T91" s="510" t="s">
        <v>3128</v>
      </c>
      <c r="U91" s="516" t="s">
        <v>3031</v>
      </c>
      <c r="V91" s="359">
        <v>44761</v>
      </c>
      <c r="W91" s="510" t="s">
        <v>3337</v>
      </c>
      <c r="X91" s="510" t="s">
        <v>3341</v>
      </c>
      <c r="Y91" s="511">
        <v>44781</v>
      </c>
      <c r="Z91" s="510" t="s">
        <v>3252</v>
      </c>
      <c r="AA91" s="510" t="s">
        <v>3982</v>
      </c>
      <c r="AB91" s="510" t="s">
        <v>5602</v>
      </c>
      <c r="AC91" s="510" t="s">
        <v>2146</v>
      </c>
      <c r="AD91" s="511">
        <v>44782</v>
      </c>
      <c r="AE91" s="510">
        <v>127.48</v>
      </c>
      <c r="AF91" s="630"/>
      <c r="AG91" s="510" t="s">
        <v>3108</v>
      </c>
      <c r="AH91" s="517">
        <v>4897.41</v>
      </c>
      <c r="AI91" s="517">
        <v>555.35</v>
      </c>
      <c r="AJ91" s="517">
        <v>4</v>
      </c>
      <c r="AK91" s="517">
        <f t="shared" si="64"/>
        <v>5456.76</v>
      </c>
      <c r="AL91" s="518">
        <v>5.1246999999999998</v>
      </c>
      <c r="AM91" s="519">
        <f t="shared" si="65"/>
        <v>27964.257971999999</v>
      </c>
      <c r="AN91" s="519">
        <v>0</v>
      </c>
      <c r="AO91" s="510">
        <v>1</v>
      </c>
      <c r="AP91" s="519">
        <v>2237.14</v>
      </c>
      <c r="AQ91" s="519">
        <v>1963.09</v>
      </c>
      <c r="AR91" s="519">
        <v>587.25</v>
      </c>
      <c r="AS91" s="519">
        <v>2698.55</v>
      </c>
      <c r="AT91" s="519">
        <v>7439.97</v>
      </c>
      <c r="AU91" s="519">
        <v>251.75</v>
      </c>
      <c r="AV91" s="519">
        <v>154.22999999999999</v>
      </c>
      <c r="AW91" s="510" t="s">
        <v>3139</v>
      </c>
      <c r="AX91" s="520">
        <f t="shared" si="66"/>
        <v>44783</v>
      </c>
      <c r="AY91" s="510"/>
      <c r="AZ91" s="519">
        <f t="shared" si="67"/>
        <v>41946.386958000003</v>
      </c>
      <c r="BA91" s="521">
        <f t="shared" si="68"/>
        <v>1</v>
      </c>
      <c r="BB91" s="519">
        <f t="shared" si="69"/>
        <v>41946.386958000003</v>
      </c>
      <c r="BC91" s="519"/>
      <c r="BD91" s="519">
        <f t="shared" si="70"/>
        <v>-90</v>
      </c>
      <c r="BE91" s="519">
        <f t="shared" si="50"/>
        <v>-90</v>
      </c>
      <c r="BF91" s="513" t="s">
        <v>1771</v>
      </c>
      <c r="BG91" s="514" t="s">
        <v>1771</v>
      </c>
      <c r="BH91" s="510" t="s">
        <v>1771</v>
      </c>
      <c r="BI91" s="628"/>
    </row>
    <row r="92" spans="1:61" s="523" customFormat="1" ht="132">
      <c r="A92" s="538" t="s">
        <v>5493</v>
      </c>
      <c r="B92" s="507" t="s">
        <v>3042</v>
      </c>
      <c r="C92" s="507" t="s">
        <v>3774</v>
      </c>
      <c r="D92" s="508" t="s">
        <v>5517</v>
      </c>
      <c r="E92" s="505" t="s">
        <v>5511</v>
      </c>
      <c r="F92" s="505" t="s">
        <v>5513</v>
      </c>
      <c r="G92" s="509" t="s">
        <v>5515</v>
      </c>
      <c r="H92" s="507" t="s">
        <v>5488</v>
      </c>
      <c r="I92" s="510" t="s">
        <v>1771</v>
      </c>
      <c r="J92" s="510">
        <v>1</v>
      </c>
      <c r="K92" s="507">
        <f>5+1+15+1+14</f>
        <v>36</v>
      </c>
      <c r="L92" s="507">
        <f>691+68.5+1930+68.5+926.1</f>
        <v>3684.1</v>
      </c>
      <c r="M92" s="511">
        <v>44742</v>
      </c>
      <c r="N92" s="511">
        <v>44741</v>
      </c>
      <c r="O92" s="511">
        <v>44741</v>
      </c>
      <c r="P92" s="511">
        <v>44778</v>
      </c>
      <c r="Q92" s="511">
        <f t="shared" si="63"/>
        <v>44783</v>
      </c>
      <c r="R92" s="512" t="s">
        <v>5634</v>
      </c>
      <c r="S92" s="515" t="s">
        <v>3752</v>
      </c>
      <c r="T92" s="510" t="s">
        <v>3128</v>
      </c>
      <c r="U92" s="516" t="s">
        <v>3031</v>
      </c>
      <c r="V92" s="359">
        <v>44761</v>
      </c>
      <c r="W92" s="510" t="s">
        <v>3337</v>
      </c>
      <c r="X92" s="510" t="s">
        <v>3341</v>
      </c>
      <c r="Y92" s="511">
        <v>44781</v>
      </c>
      <c r="Z92" s="510" t="s">
        <v>3252</v>
      </c>
      <c r="AA92" s="510" t="s">
        <v>3982</v>
      </c>
      <c r="AB92" s="510" t="s">
        <v>5604</v>
      </c>
      <c r="AC92" s="510" t="s">
        <v>2146</v>
      </c>
      <c r="AD92" s="511">
        <v>44782</v>
      </c>
      <c r="AE92" s="515">
        <v>2214.6887900000002</v>
      </c>
      <c r="AF92" s="377"/>
      <c r="AG92" s="510" t="s">
        <v>3108</v>
      </c>
      <c r="AH92" s="517">
        <v>38001.919999999998</v>
      </c>
      <c r="AI92" s="517">
        <v>7997.04</v>
      </c>
      <c r="AJ92" s="517">
        <v>5</v>
      </c>
      <c r="AK92" s="517">
        <f t="shared" ref="AK92:AK93" si="71">SUM(AH92:AJ92)</f>
        <v>46003.96</v>
      </c>
      <c r="AL92" s="518">
        <v>5.1246999999999998</v>
      </c>
      <c r="AM92" s="519">
        <f t="shared" si="65"/>
        <v>235756.493812</v>
      </c>
      <c r="AN92" s="519">
        <v>0</v>
      </c>
      <c r="AO92" s="510">
        <v>10</v>
      </c>
      <c r="AP92" s="519">
        <v>17066.66</v>
      </c>
      <c r="AQ92" s="519">
        <v>19027.349999999999</v>
      </c>
      <c r="AR92" s="519">
        <v>4950.8999999999996</v>
      </c>
      <c r="AS92" s="519">
        <v>22750.5</v>
      </c>
      <c r="AT92" s="519">
        <v>62246.61</v>
      </c>
      <c r="AU92" s="519">
        <v>3357.32</v>
      </c>
      <c r="AV92" s="519">
        <v>401.04</v>
      </c>
      <c r="AW92" s="510" t="s">
        <v>3139</v>
      </c>
      <c r="AX92" s="520">
        <f t="shared" si="66"/>
        <v>44783</v>
      </c>
      <c r="AY92" s="510"/>
      <c r="AZ92" s="519">
        <f t="shared" si="67"/>
        <v>353634.74071799999</v>
      </c>
      <c r="BA92" s="521">
        <f t="shared" si="68"/>
        <v>1</v>
      </c>
      <c r="BB92" s="519">
        <f t="shared" si="69"/>
        <v>353634.74071799999</v>
      </c>
      <c r="BC92" s="519"/>
      <c r="BD92" s="519">
        <f t="shared" si="70"/>
        <v>0</v>
      </c>
      <c r="BE92" s="519">
        <f t="shared" si="50"/>
        <v>0</v>
      </c>
      <c r="BF92" s="513" t="s">
        <v>1771</v>
      </c>
      <c r="BG92" s="514" t="s">
        <v>1771</v>
      </c>
      <c r="BH92" s="510" t="s">
        <v>1771</v>
      </c>
      <c r="BI92" s="628"/>
    </row>
    <row r="93" spans="1:61" s="523" customFormat="1" ht="144">
      <c r="A93" s="538" t="s">
        <v>5510</v>
      </c>
      <c r="B93" s="507" t="s">
        <v>3042</v>
      </c>
      <c r="C93" s="507" t="s">
        <v>3774</v>
      </c>
      <c r="D93" s="508">
        <v>4800017349</v>
      </c>
      <c r="E93" s="505" t="s">
        <v>5512</v>
      </c>
      <c r="F93" s="505" t="s">
        <v>5514</v>
      </c>
      <c r="G93" s="509" t="s">
        <v>5516</v>
      </c>
      <c r="H93" s="507" t="s">
        <v>5488</v>
      </c>
      <c r="I93" s="510" t="s">
        <v>1771</v>
      </c>
      <c r="J93" s="510">
        <v>1</v>
      </c>
      <c r="K93" s="507">
        <f>1+1+1+1+1+2+2+1+1+1+29+1</f>
        <v>42</v>
      </c>
      <c r="L93" s="507">
        <f>59.8+61.2+60.8+61+60.8+129.6+127.8+2.29+2.23+2.07+598.67+60.4</f>
        <v>1226.6600000000001</v>
      </c>
      <c r="M93" s="511">
        <v>44742</v>
      </c>
      <c r="N93" s="511">
        <v>44741</v>
      </c>
      <c r="O93" s="511">
        <v>44741</v>
      </c>
      <c r="P93" s="511">
        <v>44778</v>
      </c>
      <c r="Q93" s="511">
        <f t="shared" si="63"/>
        <v>44783</v>
      </c>
      <c r="R93" s="512" t="s">
        <v>5635</v>
      </c>
      <c r="S93" s="515" t="s">
        <v>3752</v>
      </c>
      <c r="T93" s="510" t="s">
        <v>3128</v>
      </c>
      <c r="U93" s="516" t="s">
        <v>3031</v>
      </c>
      <c r="V93" s="359">
        <v>44761</v>
      </c>
      <c r="W93" s="510" t="s">
        <v>3337</v>
      </c>
      <c r="X93" s="510" t="s">
        <v>3341</v>
      </c>
      <c r="Y93" s="511">
        <v>44781</v>
      </c>
      <c r="Z93" s="510" t="s">
        <v>3252</v>
      </c>
      <c r="AA93" s="510" t="s">
        <v>3982</v>
      </c>
      <c r="AB93" s="510" t="s">
        <v>5607</v>
      </c>
      <c r="AC93" s="510" t="s">
        <v>2146</v>
      </c>
      <c r="AD93" s="511">
        <v>44782</v>
      </c>
      <c r="AE93" s="510">
        <v>711.52</v>
      </c>
      <c r="AF93" s="630"/>
      <c r="AG93" s="510" t="s">
        <v>3108</v>
      </c>
      <c r="AH93" s="517">
        <v>24499.87</v>
      </c>
      <c r="AI93" s="517">
        <v>3109.96</v>
      </c>
      <c r="AJ93" s="517">
        <v>12</v>
      </c>
      <c r="AK93" s="517">
        <f t="shared" si="71"/>
        <v>27621.829999999998</v>
      </c>
      <c r="AL93" s="518">
        <v>5.1246999999999998</v>
      </c>
      <c r="AM93" s="519">
        <f t="shared" si="65"/>
        <v>141553.59220099999</v>
      </c>
      <c r="AN93" s="519">
        <v>0</v>
      </c>
      <c r="AO93" s="510">
        <v>8</v>
      </c>
      <c r="AP93" s="519">
        <v>13552.47</v>
      </c>
      <c r="AQ93" s="519">
        <v>12061</v>
      </c>
      <c r="AR93" s="519">
        <v>2972.62</v>
      </c>
      <c r="AS93" s="519">
        <v>14143.67</v>
      </c>
      <c r="AT93" s="519">
        <v>33149.24</v>
      </c>
      <c r="AU93" s="519">
        <v>1317.84</v>
      </c>
      <c r="AV93" s="519">
        <v>354.76</v>
      </c>
      <c r="AW93" s="510" t="s">
        <v>3139</v>
      </c>
      <c r="AX93" s="520">
        <f t="shared" si="66"/>
        <v>44783</v>
      </c>
      <c r="AY93" s="510"/>
      <c r="AZ93" s="519">
        <f t="shared" si="67"/>
        <v>212330.3883015</v>
      </c>
      <c r="BA93" s="521">
        <f t="shared" si="68"/>
        <v>1</v>
      </c>
      <c r="BB93" s="519">
        <f t="shared" si="69"/>
        <v>212330.3883015</v>
      </c>
      <c r="BC93" s="519"/>
      <c r="BD93" s="519">
        <f t="shared" si="70"/>
        <v>-20</v>
      </c>
      <c r="BE93" s="519">
        <f t="shared" si="50"/>
        <v>-20</v>
      </c>
      <c r="BF93" s="513" t="s">
        <v>1771</v>
      </c>
      <c r="BG93" s="514" t="s">
        <v>1771</v>
      </c>
      <c r="BH93" s="510" t="s">
        <v>1771</v>
      </c>
      <c r="BI93" s="628"/>
    </row>
    <row r="94" spans="1:61" s="523" customFormat="1" ht="144">
      <c r="A94" s="538" t="s">
        <v>5484</v>
      </c>
      <c r="B94" s="507" t="s">
        <v>3042</v>
      </c>
      <c r="C94" s="507" t="s">
        <v>3774</v>
      </c>
      <c r="D94" s="508" t="s">
        <v>5487</v>
      </c>
      <c r="E94" s="505" t="s">
        <v>5503</v>
      </c>
      <c r="F94" s="505" t="s">
        <v>5505</v>
      </c>
      <c r="G94" s="509" t="s">
        <v>5486</v>
      </c>
      <c r="H94" s="507" t="s">
        <v>5488</v>
      </c>
      <c r="I94" s="632" t="s">
        <v>1771</v>
      </c>
      <c r="J94" s="632">
        <v>2</v>
      </c>
      <c r="K94" s="507">
        <v>92</v>
      </c>
      <c r="L94" s="507">
        <f>134.5+8.85+13.3+9.84+2095.5+1941+2103.5+2118.5+1947.5+708+753.5+8.01</f>
        <v>11842</v>
      </c>
      <c r="M94" s="511">
        <v>44735</v>
      </c>
      <c r="N94" s="511">
        <v>44735</v>
      </c>
      <c r="O94" s="511">
        <v>44735</v>
      </c>
      <c r="P94" s="511">
        <v>44778</v>
      </c>
      <c r="Q94" s="511">
        <v>44783</v>
      </c>
      <c r="R94" s="512" t="s">
        <v>5658</v>
      </c>
      <c r="S94" s="515" t="s">
        <v>3752</v>
      </c>
      <c r="T94" s="510" t="s">
        <v>3128</v>
      </c>
      <c r="U94" s="516" t="s">
        <v>3031</v>
      </c>
      <c r="V94" s="359">
        <v>44761</v>
      </c>
      <c r="W94" s="510" t="s">
        <v>3337</v>
      </c>
      <c r="X94" s="510" t="s">
        <v>3341</v>
      </c>
      <c r="Y94" s="511">
        <v>44781</v>
      </c>
      <c r="Z94" s="510" t="s">
        <v>3252</v>
      </c>
      <c r="AA94" s="510" t="s">
        <v>3982</v>
      </c>
      <c r="AB94" s="510" t="s">
        <v>5606</v>
      </c>
      <c r="AC94" s="510" t="s">
        <v>2146</v>
      </c>
      <c r="AD94" s="511">
        <v>44782</v>
      </c>
      <c r="AE94" s="515">
        <v>7387.9443000000001</v>
      </c>
      <c r="AF94" s="631" t="s">
        <v>4287</v>
      </c>
      <c r="AG94" s="510" t="s">
        <v>3108</v>
      </c>
      <c r="AH94" s="517">
        <v>100134.74</v>
      </c>
      <c r="AI94" s="517">
        <v>21991.86</v>
      </c>
      <c r="AJ94" s="517">
        <v>12</v>
      </c>
      <c r="AK94" s="517">
        <f t="shared" ref="AK94" si="72">SUM(AH94:AJ94)</f>
        <v>122138.6</v>
      </c>
      <c r="AL94" s="518">
        <v>5.1246999999999998</v>
      </c>
      <c r="AM94" s="519">
        <f t="shared" si="65"/>
        <v>625923.68342000002</v>
      </c>
      <c r="AN94" s="519">
        <v>0</v>
      </c>
      <c r="AO94" s="510">
        <v>8</v>
      </c>
      <c r="AP94" s="519">
        <v>45044.81</v>
      </c>
      <c r="AQ94" s="519">
        <v>50411.92</v>
      </c>
      <c r="AR94" s="519">
        <v>13144.41</v>
      </c>
      <c r="AS94" s="519">
        <v>60401.65</v>
      </c>
      <c r="AT94" s="519">
        <v>165388.9</v>
      </c>
      <c r="AU94" s="519">
        <v>9197.64</v>
      </c>
      <c r="AV94" s="519">
        <v>354.76</v>
      </c>
      <c r="AW94" s="510" t="s">
        <v>3139</v>
      </c>
      <c r="AX94" s="520">
        <f t="shared" si="66"/>
        <v>44783</v>
      </c>
      <c r="AY94" s="510"/>
      <c r="AZ94" s="519">
        <f t="shared" si="67"/>
        <v>938885.52512999997</v>
      </c>
      <c r="BA94" s="521">
        <f t="shared" si="68"/>
        <v>2</v>
      </c>
      <c r="BB94" s="519">
        <f t="shared" si="69"/>
        <v>469442.76256499998</v>
      </c>
      <c r="BC94" s="519"/>
      <c r="BD94" s="519">
        <f t="shared" si="70"/>
        <v>-20</v>
      </c>
      <c r="BE94" s="519">
        <f t="shared" si="50"/>
        <v>-20</v>
      </c>
      <c r="BF94" s="513" t="s">
        <v>1771</v>
      </c>
      <c r="BG94" s="514" t="s">
        <v>1771</v>
      </c>
      <c r="BH94" s="510" t="s">
        <v>1771</v>
      </c>
      <c r="BI94" s="628"/>
    </row>
    <row r="95" spans="1:61" s="523" customFormat="1" ht="204">
      <c r="A95" s="538" t="s">
        <v>5520</v>
      </c>
      <c r="B95" s="507" t="s">
        <v>3042</v>
      </c>
      <c r="C95" s="507" t="s">
        <v>3774</v>
      </c>
      <c r="D95" s="508" t="s">
        <v>5530</v>
      </c>
      <c r="E95" s="505" t="s">
        <v>5522</v>
      </c>
      <c r="F95" s="505" t="s">
        <v>5524</v>
      </c>
      <c r="G95" s="509" t="s">
        <v>5527</v>
      </c>
      <c r="H95" s="507" t="s">
        <v>5528</v>
      </c>
      <c r="I95" s="724" t="s">
        <v>1771</v>
      </c>
      <c r="J95" s="724">
        <v>2</v>
      </c>
      <c r="K95" s="507">
        <f>5+3+1+1+1+3+1+5+3+3+1+15+15+15+15+1+5</f>
        <v>93</v>
      </c>
      <c r="L95" s="507">
        <f>961+365.5+70.5+67+75+350.42+106.5+958+497.5+382.5+7.88+2138+2148.5+2138.5+2126+165+952</f>
        <v>13509.8</v>
      </c>
      <c r="M95" s="511">
        <v>44747</v>
      </c>
      <c r="N95" s="511"/>
      <c r="O95" s="511"/>
      <c r="P95" s="511">
        <v>44779</v>
      </c>
      <c r="Q95" s="511">
        <v>44785</v>
      </c>
      <c r="R95" s="512" t="s">
        <v>5659</v>
      </c>
      <c r="S95" s="515" t="s">
        <v>3752</v>
      </c>
      <c r="T95" s="510" t="s">
        <v>3681</v>
      </c>
      <c r="U95" s="516" t="s">
        <v>3031</v>
      </c>
      <c r="V95" s="359">
        <v>44775</v>
      </c>
      <c r="W95" s="510" t="s">
        <v>3147</v>
      </c>
      <c r="X95" s="510" t="s">
        <v>3147</v>
      </c>
      <c r="Y95" s="511">
        <v>44782</v>
      </c>
      <c r="Z95" s="510" t="s">
        <v>3252</v>
      </c>
      <c r="AA95" s="510" t="s">
        <v>3982</v>
      </c>
      <c r="AB95" s="510" t="s">
        <v>5662</v>
      </c>
      <c r="AC95" s="511" t="s">
        <v>2146</v>
      </c>
      <c r="AD95" s="511">
        <v>44784</v>
      </c>
      <c r="AE95" s="515">
        <v>13509.8</v>
      </c>
      <c r="AF95" s="727" t="s">
        <v>5529</v>
      </c>
      <c r="AG95" s="510" t="s">
        <v>3108</v>
      </c>
      <c r="AH95" s="517">
        <v>126407.19</v>
      </c>
      <c r="AI95" s="517">
        <v>22664.11</v>
      </c>
      <c r="AJ95" s="517">
        <v>17</v>
      </c>
      <c r="AK95" s="517">
        <f t="shared" ref="AK95:AK96" si="73">SUM(AH95:AJ95)</f>
        <v>149088.29999999999</v>
      </c>
      <c r="AL95" s="518">
        <v>5.0496999999999996</v>
      </c>
      <c r="AM95" s="519">
        <f t="shared" si="65"/>
        <v>752851.18850999989</v>
      </c>
      <c r="AN95" s="519">
        <v>0</v>
      </c>
      <c r="AO95" s="510">
        <v>16</v>
      </c>
      <c r="AP95" s="519">
        <v>54269.46</v>
      </c>
      <c r="AQ95" s="519">
        <v>60617.47</v>
      </c>
      <c r="AR95" s="519">
        <v>15809.88</v>
      </c>
      <c r="AS95" s="519">
        <v>72650.09</v>
      </c>
      <c r="AT95" s="519">
        <v>198743.18</v>
      </c>
      <c r="AU95" s="519">
        <v>9311.74</v>
      </c>
      <c r="AV95" s="519">
        <v>493.56</v>
      </c>
      <c r="AW95" s="510" t="s">
        <v>3139</v>
      </c>
      <c r="AX95" s="520">
        <f t="shared" si="66"/>
        <v>44785</v>
      </c>
      <c r="AY95" s="510"/>
      <c r="AZ95" s="519">
        <f t="shared" si="67"/>
        <v>1129276.7827649999</v>
      </c>
      <c r="BA95" s="521">
        <f t="shared" si="68"/>
        <v>2</v>
      </c>
      <c r="BB95" s="519">
        <f t="shared" si="69"/>
        <v>564638.39138249995</v>
      </c>
      <c r="BC95" s="519"/>
      <c r="BD95" s="519">
        <f t="shared" si="70"/>
        <v>60</v>
      </c>
      <c r="BE95" s="519">
        <f t="shared" si="50"/>
        <v>60</v>
      </c>
      <c r="BF95" s="513" t="s">
        <v>1771</v>
      </c>
      <c r="BG95" s="514" t="s">
        <v>1771</v>
      </c>
      <c r="BH95" s="510" t="s">
        <v>1771</v>
      </c>
      <c r="BI95" s="628"/>
    </row>
    <row r="96" spans="1:61" s="523" customFormat="1" ht="108">
      <c r="A96" s="538" t="s">
        <v>5521</v>
      </c>
      <c r="B96" s="507" t="s">
        <v>3042</v>
      </c>
      <c r="C96" s="507" t="s">
        <v>3774</v>
      </c>
      <c r="D96" s="508">
        <v>4800017349</v>
      </c>
      <c r="E96" s="505" t="s">
        <v>5523</v>
      </c>
      <c r="F96" s="505" t="s">
        <v>5525</v>
      </c>
      <c r="G96" s="509" t="s">
        <v>5526</v>
      </c>
      <c r="H96" s="507" t="s">
        <v>5528</v>
      </c>
      <c r="I96" s="725"/>
      <c r="J96" s="725"/>
      <c r="K96" s="507">
        <v>1</v>
      </c>
      <c r="L96" s="507">
        <v>61.2</v>
      </c>
      <c r="M96" s="511">
        <v>44747</v>
      </c>
      <c r="N96" s="511"/>
      <c r="O96" s="511"/>
      <c r="P96" s="511">
        <v>44779</v>
      </c>
      <c r="Q96" s="511">
        <v>44785</v>
      </c>
      <c r="R96" s="512" t="s">
        <v>5660</v>
      </c>
      <c r="S96" s="515" t="s">
        <v>3752</v>
      </c>
      <c r="T96" s="510" t="s">
        <v>3681</v>
      </c>
      <c r="U96" s="516" t="s">
        <v>3031</v>
      </c>
      <c r="V96" s="359">
        <v>44775</v>
      </c>
      <c r="W96" s="510" t="s">
        <v>3147</v>
      </c>
      <c r="X96" s="510" t="s">
        <v>3147</v>
      </c>
      <c r="Y96" s="511">
        <v>44782</v>
      </c>
      <c r="Z96" s="510" t="s">
        <v>3298</v>
      </c>
      <c r="AA96" s="510" t="s">
        <v>3982</v>
      </c>
      <c r="AB96" s="510" t="s">
        <v>5661</v>
      </c>
      <c r="AC96" s="511" t="s">
        <v>2146</v>
      </c>
      <c r="AD96" s="511">
        <v>44784</v>
      </c>
      <c r="AE96" s="510">
        <v>61.2</v>
      </c>
      <c r="AF96" s="728"/>
      <c r="AG96" s="510" t="s">
        <v>3108</v>
      </c>
      <c r="AH96" s="517">
        <v>1249.3</v>
      </c>
      <c r="AI96" s="517">
        <v>113.89</v>
      </c>
      <c r="AJ96" s="517">
        <v>1</v>
      </c>
      <c r="AK96" s="517">
        <f t="shared" si="73"/>
        <v>1364.19</v>
      </c>
      <c r="AL96" s="518">
        <v>5.0496999999999996</v>
      </c>
      <c r="AM96" s="519">
        <f t="shared" si="65"/>
        <v>6888.7502429999995</v>
      </c>
      <c r="AN96" s="519">
        <v>0</v>
      </c>
      <c r="AO96" s="510">
        <v>1</v>
      </c>
      <c r="AP96" s="519">
        <v>551.1</v>
      </c>
      <c r="AQ96" s="519">
        <v>483.59</v>
      </c>
      <c r="AR96" s="519">
        <v>144.66</v>
      </c>
      <c r="AS96" s="519">
        <v>664.76</v>
      </c>
      <c r="AT96" s="519">
        <v>1859.31</v>
      </c>
      <c r="AU96" s="519">
        <v>66.69</v>
      </c>
      <c r="AV96" s="519">
        <v>154.22999999999999</v>
      </c>
      <c r="AW96" s="510" t="s">
        <v>3139</v>
      </c>
      <c r="AX96" s="520">
        <f t="shared" si="66"/>
        <v>44785</v>
      </c>
      <c r="AY96" s="510"/>
      <c r="AZ96" s="519">
        <f t="shared" si="67"/>
        <v>10333.1253645</v>
      </c>
      <c r="BA96" s="521">
        <f t="shared" si="68"/>
        <v>0</v>
      </c>
      <c r="BB96" s="519" t="e">
        <f t="shared" si="69"/>
        <v>#DIV/0!</v>
      </c>
      <c r="BC96" s="519"/>
      <c r="BD96" s="519">
        <f t="shared" si="70"/>
        <v>-90</v>
      </c>
      <c r="BE96" s="519">
        <f t="shared" si="50"/>
        <v>-90</v>
      </c>
      <c r="BF96" s="513" t="s">
        <v>1771</v>
      </c>
      <c r="BG96" s="514" t="s">
        <v>1771</v>
      </c>
      <c r="BH96" s="510" t="s">
        <v>1771</v>
      </c>
      <c r="BI96" s="628"/>
    </row>
    <row r="97" spans="1:61" s="523" customFormat="1" ht="132">
      <c r="A97" s="538" t="s">
        <v>5463</v>
      </c>
      <c r="B97" s="507" t="s">
        <v>3042</v>
      </c>
      <c r="C97" s="507" t="s">
        <v>3774</v>
      </c>
      <c r="D97" s="508" t="s">
        <v>5480</v>
      </c>
      <c r="E97" s="505" t="s">
        <v>5478</v>
      </c>
      <c r="F97" s="505" t="s">
        <v>5479</v>
      </c>
      <c r="G97" s="509">
        <v>914383278</v>
      </c>
      <c r="H97" s="507" t="s">
        <v>5538</v>
      </c>
      <c r="I97" s="510" t="s">
        <v>1771</v>
      </c>
      <c r="J97" s="510">
        <v>1</v>
      </c>
      <c r="K97" s="507">
        <f>15+15+1+15</f>
        <v>46</v>
      </c>
      <c r="L97" s="507">
        <f>1932+1936+3.56+1935</f>
        <v>5806.5599999999995</v>
      </c>
      <c r="M97" s="511">
        <v>44732</v>
      </c>
      <c r="N97" s="511">
        <v>44729</v>
      </c>
      <c r="O97" s="511">
        <v>44729</v>
      </c>
      <c r="P97" s="511">
        <v>44766</v>
      </c>
      <c r="Q97" s="511">
        <v>44788</v>
      </c>
      <c r="R97" s="512" t="s">
        <v>5667</v>
      </c>
      <c r="S97" s="515" t="s">
        <v>3752</v>
      </c>
      <c r="T97" s="510" t="s">
        <v>3128</v>
      </c>
      <c r="U97" s="516" t="s">
        <v>3031</v>
      </c>
      <c r="V97" s="359">
        <v>44771</v>
      </c>
      <c r="W97" s="510" t="s">
        <v>3147</v>
      </c>
      <c r="X97" s="510" t="s">
        <v>3147</v>
      </c>
      <c r="Y97" s="511">
        <v>44767</v>
      </c>
      <c r="Z97" s="510" t="s">
        <v>3252</v>
      </c>
      <c r="AA97" s="510" t="s">
        <v>3982</v>
      </c>
      <c r="AB97" s="510" t="s">
        <v>5590</v>
      </c>
      <c r="AC97" s="510" t="s">
        <v>2146</v>
      </c>
      <c r="AD97" s="511">
        <v>44775</v>
      </c>
      <c r="AE97" s="515">
        <v>3601.5</v>
      </c>
      <c r="AF97" s="507" t="s">
        <v>3268</v>
      </c>
      <c r="AG97" s="510" t="s">
        <v>3108</v>
      </c>
      <c r="AH97" s="517">
        <v>85464.87</v>
      </c>
      <c r="AI97" s="517">
        <v>8928</v>
      </c>
      <c r="AJ97" s="517">
        <v>4</v>
      </c>
      <c r="AK97" s="517">
        <f t="shared" ref="AK97" si="74">SUM(AH97:AJ97)</f>
        <v>94396.87</v>
      </c>
      <c r="AL97" s="518">
        <v>5.1605999999999996</v>
      </c>
      <c r="AM97" s="519">
        <f t="shared" si="65"/>
        <v>487144.48732199991</v>
      </c>
      <c r="AN97" s="519">
        <v>0</v>
      </c>
      <c r="AO97" s="510">
        <v>3</v>
      </c>
      <c r="AP97" s="519">
        <v>35114.449999999997</v>
      </c>
      <c r="AQ97" s="519">
        <v>39164.120000000003</v>
      </c>
      <c r="AR97" s="519">
        <v>10230.030000000001</v>
      </c>
      <c r="AS97" s="519">
        <v>47009.43</v>
      </c>
      <c r="AT97" s="519">
        <v>128115.25</v>
      </c>
      <c r="AU97" s="519">
        <v>3914.14</v>
      </c>
      <c r="AV97" s="519">
        <v>223.64</v>
      </c>
      <c r="AW97" s="510" t="s">
        <v>3139</v>
      </c>
      <c r="AX97" s="520">
        <f t="shared" si="66"/>
        <v>44788</v>
      </c>
      <c r="AY97" s="510"/>
      <c r="AZ97" s="519">
        <f t="shared" si="67"/>
        <v>730716.7309829999</v>
      </c>
      <c r="BA97" s="521">
        <f t="shared" si="68"/>
        <v>1</v>
      </c>
      <c r="BB97" s="519">
        <f t="shared" si="69"/>
        <v>730716.7309829999</v>
      </c>
      <c r="BC97" s="519"/>
      <c r="BD97" s="519">
        <f t="shared" si="70"/>
        <v>-70</v>
      </c>
      <c r="BE97" s="519">
        <f t="shared" si="50"/>
        <v>-70</v>
      </c>
      <c r="BF97" s="513" t="s">
        <v>1771</v>
      </c>
      <c r="BG97" s="514" t="s">
        <v>1771</v>
      </c>
      <c r="BH97" s="510" t="s">
        <v>1771</v>
      </c>
      <c r="BI97" s="628"/>
    </row>
    <row r="98" spans="1:61" s="523" customFormat="1" ht="132">
      <c r="A98" s="538" t="s">
        <v>5541</v>
      </c>
      <c r="B98" s="507" t="s">
        <v>3042</v>
      </c>
      <c r="C98" s="507" t="s">
        <v>3774</v>
      </c>
      <c r="D98" s="508" t="s">
        <v>5546</v>
      </c>
      <c r="E98" s="505" t="s">
        <v>5542</v>
      </c>
      <c r="F98" s="505" t="s">
        <v>5543</v>
      </c>
      <c r="G98" s="509" t="s">
        <v>5544</v>
      </c>
      <c r="H98" s="507" t="s">
        <v>5545</v>
      </c>
      <c r="I98" s="510">
        <v>1</v>
      </c>
      <c r="J98" s="510" t="s">
        <v>1771</v>
      </c>
      <c r="K98" s="507">
        <f>4+23</f>
        <v>27</v>
      </c>
      <c r="L98" s="507">
        <f>541.5+3067.5</f>
        <v>3609</v>
      </c>
      <c r="M98" s="511">
        <v>44755</v>
      </c>
      <c r="N98" s="511">
        <v>44756</v>
      </c>
      <c r="O98" s="511">
        <v>44756</v>
      </c>
      <c r="P98" s="511">
        <v>44790</v>
      </c>
      <c r="Q98" s="511">
        <f t="shared" ref="Q98:Q102" si="75">P98+5</f>
        <v>44795</v>
      </c>
      <c r="R98" s="512" t="s">
        <v>5683</v>
      </c>
      <c r="S98" s="515" t="s">
        <v>3752</v>
      </c>
      <c r="T98" s="510" t="s">
        <v>3128</v>
      </c>
      <c r="U98" s="516" t="s">
        <v>3031</v>
      </c>
      <c r="V98" s="359">
        <v>44778</v>
      </c>
      <c r="W98" s="510" t="s">
        <v>3337</v>
      </c>
      <c r="X98" s="510" t="s">
        <v>3341</v>
      </c>
      <c r="Y98" s="511">
        <v>44792</v>
      </c>
      <c r="Z98" s="510" t="s">
        <v>3252</v>
      </c>
      <c r="AA98" s="510" t="s">
        <v>3982</v>
      </c>
      <c r="AB98" s="510" t="s">
        <v>5672</v>
      </c>
      <c r="AC98" s="510" t="s">
        <v>2146</v>
      </c>
      <c r="AD98" s="511">
        <v>44792</v>
      </c>
      <c r="AE98" s="515">
        <v>2687.0205000000001</v>
      </c>
      <c r="AF98" s="507" t="s">
        <v>4631</v>
      </c>
      <c r="AG98" s="510" t="s">
        <v>3108</v>
      </c>
      <c r="AH98" s="517">
        <v>11853.84</v>
      </c>
      <c r="AI98" s="517">
        <v>10550</v>
      </c>
      <c r="AJ98" s="517">
        <v>2</v>
      </c>
      <c r="AK98" s="517">
        <f t="shared" ref="AK98:AK99" si="76">SUM(AH98:AJ98)</f>
        <v>22405.84</v>
      </c>
      <c r="AL98" s="518">
        <v>5.1772999999999998</v>
      </c>
      <c r="AM98" s="519">
        <f t="shared" si="65"/>
        <v>116001.75543199999</v>
      </c>
      <c r="AN98" s="519">
        <v>0</v>
      </c>
      <c r="AO98" s="510">
        <v>4</v>
      </c>
      <c r="AP98" s="519">
        <v>8352.1200000000008</v>
      </c>
      <c r="AQ98" s="519">
        <v>9326.52</v>
      </c>
      <c r="AR98" s="519">
        <v>2436.0300000000002</v>
      </c>
      <c r="AS98" s="519">
        <v>11194.17</v>
      </c>
      <c r="AT98" s="519">
        <v>31308.62</v>
      </c>
      <c r="AU98" s="519">
        <v>4389.6400000000003</v>
      </c>
      <c r="AV98" s="519">
        <v>254.49</v>
      </c>
      <c r="AW98" s="510" t="s">
        <v>3139</v>
      </c>
      <c r="AX98" s="520">
        <f t="shared" si="66"/>
        <v>44795</v>
      </c>
      <c r="AY98" s="510"/>
      <c r="AZ98" s="519">
        <f t="shared" si="67"/>
        <v>174002.63314799999</v>
      </c>
      <c r="BA98" s="521">
        <f t="shared" si="68"/>
        <v>1</v>
      </c>
      <c r="BB98" s="519">
        <f t="shared" si="69"/>
        <v>174002.63314799999</v>
      </c>
      <c r="BC98" s="519"/>
      <c r="BD98" s="519">
        <f t="shared" si="70"/>
        <v>-60</v>
      </c>
      <c r="BE98" s="519">
        <f t="shared" si="50"/>
        <v>-60</v>
      </c>
      <c r="BF98" s="513" t="s">
        <v>1771</v>
      </c>
      <c r="BG98" s="514" t="s">
        <v>1771</v>
      </c>
      <c r="BH98" s="510" t="s">
        <v>1771</v>
      </c>
      <c r="BI98" s="628"/>
    </row>
    <row r="99" spans="1:61" s="523" customFormat="1" ht="144">
      <c r="A99" s="538" t="s">
        <v>5549</v>
      </c>
      <c r="B99" s="507" t="s">
        <v>3042</v>
      </c>
      <c r="C99" s="507" t="s">
        <v>3774</v>
      </c>
      <c r="D99" s="508" t="s">
        <v>5572</v>
      </c>
      <c r="E99" s="505" t="s">
        <v>5566</v>
      </c>
      <c r="F99" s="505" t="s">
        <v>5568</v>
      </c>
      <c r="G99" s="509" t="s">
        <v>5571</v>
      </c>
      <c r="H99" s="507" t="s">
        <v>5545</v>
      </c>
      <c r="I99" s="724" t="s">
        <v>1771</v>
      </c>
      <c r="J99" s="724">
        <v>1</v>
      </c>
      <c r="K99" s="507">
        <f>14+5+5+8+5+8</f>
        <v>45</v>
      </c>
      <c r="L99" s="507">
        <f>1969.78+957.5+954.5+1117+967+1079</f>
        <v>7044.78</v>
      </c>
      <c r="M99" s="511">
        <v>44757</v>
      </c>
      <c r="N99" s="511">
        <v>44757</v>
      </c>
      <c r="O99" s="511">
        <v>44757</v>
      </c>
      <c r="P99" s="511">
        <v>44790</v>
      </c>
      <c r="Q99" s="511">
        <f t="shared" si="75"/>
        <v>44795</v>
      </c>
      <c r="R99" s="512" t="s">
        <v>5684</v>
      </c>
      <c r="S99" s="515" t="s">
        <v>3752</v>
      </c>
      <c r="T99" s="510" t="s">
        <v>3128</v>
      </c>
      <c r="U99" s="516" t="s">
        <v>3031</v>
      </c>
      <c r="V99" s="359">
        <v>44775</v>
      </c>
      <c r="W99" s="510" t="s">
        <v>3337</v>
      </c>
      <c r="X99" s="510" t="s">
        <v>3341</v>
      </c>
      <c r="Y99" s="511">
        <v>44792</v>
      </c>
      <c r="Z99" s="510" t="s">
        <v>3252</v>
      </c>
      <c r="AA99" s="510" t="s">
        <v>3982</v>
      </c>
      <c r="AB99" s="510" t="s">
        <v>5671</v>
      </c>
      <c r="AC99" s="510" t="s">
        <v>2146</v>
      </c>
      <c r="AD99" s="511">
        <v>44792</v>
      </c>
      <c r="AE99" s="510">
        <v>31.47</v>
      </c>
      <c r="AF99" s="507" t="s">
        <v>4279</v>
      </c>
      <c r="AG99" s="510" t="s">
        <v>3108</v>
      </c>
      <c r="AH99" s="517">
        <v>75473.5</v>
      </c>
      <c r="AI99" s="517">
        <v>11275.11</v>
      </c>
      <c r="AJ99" s="517">
        <v>6</v>
      </c>
      <c r="AK99" s="517">
        <f t="shared" si="76"/>
        <v>86754.61</v>
      </c>
      <c r="AL99" s="518">
        <v>5.1772999999999998</v>
      </c>
      <c r="AM99" s="519">
        <f t="shared" si="65"/>
        <v>449154.642353</v>
      </c>
      <c r="AN99" s="519">
        <v>0</v>
      </c>
      <c r="AO99" s="510">
        <v>6</v>
      </c>
      <c r="AP99" s="519">
        <v>32380.12</v>
      </c>
      <c r="AQ99" s="519">
        <v>36109.67</v>
      </c>
      <c r="AR99" s="519">
        <v>9432.25</v>
      </c>
      <c r="AS99" s="519">
        <v>43343.42</v>
      </c>
      <c r="AT99" s="519">
        <v>118384.86</v>
      </c>
      <c r="AU99" s="519">
        <v>4689.97</v>
      </c>
      <c r="AV99" s="519">
        <v>308.48</v>
      </c>
      <c r="AW99" s="510" t="s">
        <v>3139</v>
      </c>
      <c r="AX99" s="520">
        <f t="shared" si="66"/>
        <v>44795</v>
      </c>
      <c r="AY99" s="510"/>
      <c r="AZ99" s="519">
        <f t="shared" si="67"/>
        <v>673731.96352949995</v>
      </c>
      <c r="BA99" s="521">
        <f t="shared" si="68"/>
        <v>1</v>
      </c>
      <c r="BB99" s="519">
        <f t="shared" si="69"/>
        <v>673731.96352949995</v>
      </c>
      <c r="BC99" s="519"/>
      <c r="BD99" s="519">
        <f t="shared" si="70"/>
        <v>-40</v>
      </c>
      <c r="BE99" s="519">
        <f t="shared" si="50"/>
        <v>-40</v>
      </c>
      <c r="BF99" s="513" t="s">
        <v>1771</v>
      </c>
      <c r="BG99" s="514" t="s">
        <v>1771</v>
      </c>
      <c r="BH99" s="510" t="s">
        <v>1771</v>
      </c>
      <c r="BI99" s="628"/>
    </row>
    <row r="100" spans="1:61" s="523" customFormat="1" ht="144">
      <c r="A100" s="538" t="s">
        <v>5553</v>
      </c>
      <c r="B100" s="507" t="s">
        <v>3042</v>
      </c>
      <c r="C100" s="507" t="s">
        <v>3774</v>
      </c>
      <c r="D100" s="508">
        <v>4800017349</v>
      </c>
      <c r="E100" s="505" t="s">
        <v>5567</v>
      </c>
      <c r="F100" s="505" t="s">
        <v>5569</v>
      </c>
      <c r="G100" s="509" t="s">
        <v>5570</v>
      </c>
      <c r="H100" s="507" t="s">
        <v>5545</v>
      </c>
      <c r="I100" s="725"/>
      <c r="J100" s="725"/>
      <c r="K100" s="507">
        <v>1</v>
      </c>
      <c r="L100" s="507">
        <v>61.2</v>
      </c>
      <c r="M100" s="511">
        <v>44757</v>
      </c>
      <c r="N100" s="511">
        <v>44757</v>
      </c>
      <c r="O100" s="511">
        <v>44757</v>
      </c>
      <c r="P100" s="511">
        <v>44790</v>
      </c>
      <c r="Q100" s="511">
        <f t="shared" si="75"/>
        <v>44795</v>
      </c>
      <c r="R100" s="512" t="s">
        <v>5685</v>
      </c>
      <c r="S100" s="515" t="s">
        <v>3752</v>
      </c>
      <c r="T100" s="510" t="s">
        <v>3128</v>
      </c>
      <c r="U100" s="516" t="s">
        <v>3031</v>
      </c>
      <c r="V100" s="359">
        <v>44775</v>
      </c>
      <c r="W100" s="510" t="s">
        <v>3337</v>
      </c>
      <c r="X100" s="510" t="s">
        <v>3341</v>
      </c>
      <c r="Y100" s="511">
        <v>44792</v>
      </c>
      <c r="Z100" s="510" t="s">
        <v>3252</v>
      </c>
      <c r="AA100" s="510" t="s">
        <v>3982</v>
      </c>
      <c r="AB100" s="510" t="s">
        <v>5670</v>
      </c>
      <c r="AC100" s="510" t="s">
        <v>2146</v>
      </c>
      <c r="AD100" s="511">
        <v>44792</v>
      </c>
      <c r="AE100" s="510">
        <v>31.47</v>
      </c>
      <c r="AF100" s="507" t="s">
        <v>5559</v>
      </c>
      <c r="AG100" s="510" t="s">
        <v>3108</v>
      </c>
      <c r="AH100" s="517">
        <v>1249.3</v>
      </c>
      <c r="AI100" s="517">
        <v>113.89</v>
      </c>
      <c r="AJ100" s="517">
        <v>1</v>
      </c>
      <c r="AK100" s="517">
        <f>SUM(AH100:AJ100)</f>
        <v>1364.19</v>
      </c>
      <c r="AL100" s="518">
        <v>5.1772999999999998</v>
      </c>
      <c r="AM100" s="519">
        <f>AK100*AL100</f>
        <v>7062.8208869999999</v>
      </c>
      <c r="AN100" s="519">
        <v>0</v>
      </c>
      <c r="AO100" s="510">
        <v>1</v>
      </c>
      <c r="AP100" s="519">
        <v>565.03</v>
      </c>
      <c r="AQ100" s="519">
        <v>495.8</v>
      </c>
      <c r="AR100" s="519">
        <v>148.32</v>
      </c>
      <c r="AS100" s="519">
        <v>681.56</v>
      </c>
      <c r="AT100" s="519">
        <v>1905.18</v>
      </c>
      <c r="AU100" s="519">
        <v>67.17</v>
      </c>
      <c r="AV100" s="519">
        <v>154.22999999999999</v>
      </c>
      <c r="AW100" s="510" t="s">
        <v>3139</v>
      </c>
      <c r="AX100" s="520">
        <f>Q100</f>
        <v>44795</v>
      </c>
      <c r="AY100" s="510"/>
      <c r="AZ100" s="519">
        <f>(AM100*50%)+AM100</f>
        <v>10594.231330499999</v>
      </c>
      <c r="BA100" s="521">
        <f>SUM(I100:J100)</f>
        <v>0</v>
      </c>
      <c r="BB100" s="519" t="e">
        <f>AZ100/BA100</f>
        <v>#DIV/0!</v>
      </c>
      <c r="BC100" s="519"/>
      <c r="BD100" s="519">
        <f>(AO100-10)*10</f>
        <v>-90</v>
      </c>
      <c r="BE100" s="519">
        <f t="shared" si="50"/>
        <v>-90</v>
      </c>
      <c r="BF100" s="513" t="s">
        <v>1771</v>
      </c>
      <c r="BG100" s="514" t="s">
        <v>1771</v>
      </c>
      <c r="BH100" s="510" t="s">
        <v>1771</v>
      </c>
      <c r="BI100" s="628"/>
    </row>
    <row r="101" spans="1:61" s="523" customFormat="1" ht="144">
      <c r="A101" s="538" t="s">
        <v>5552</v>
      </c>
      <c r="B101" s="507" t="s">
        <v>3042</v>
      </c>
      <c r="C101" s="507" t="s">
        <v>3774</v>
      </c>
      <c r="D101" s="508" t="s">
        <v>5578</v>
      </c>
      <c r="E101" s="505" t="s">
        <v>5574</v>
      </c>
      <c r="F101" s="505" t="s">
        <v>5576</v>
      </c>
      <c r="G101" s="509" t="s">
        <v>5580</v>
      </c>
      <c r="H101" s="507" t="s">
        <v>5545</v>
      </c>
      <c r="I101" s="724" t="s">
        <v>1771</v>
      </c>
      <c r="J101" s="724">
        <v>1</v>
      </c>
      <c r="K101" s="507">
        <f>1+8+15+3+2+8+1+8</f>
        <v>46</v>
      </c>
      <c r="L101" s="507">
        <f>14.38+1093.5+1932+350.5+207.5+1079.5+6.44+1082.5</f>
        <v>5766.32</v>
      </c>
      <c r="M101" s="511">
        <v>44761</v>
      </c>
      <c r="N101" s="511">
        <v>44759</v>
      </c>
      <c r="O101" s="511">
        <v>44759</v>
      </c>
      <c r="P101" s="511">
        <v>44790</v>
      </c>
      <c r="Q101" s="511">
        <f t="shared" si="75"/>
        <v>44795</v>
      </c>
      <c r="R101" s="512" t="s">
        <v>5686</v>
      </c>
      <c r="S101" s="515" t="s">
        <v>3752</v>
      </c>
      <c r="T101" s="510" t="s">
        <v>3128</v>
      </c>
      <c r="U101" s="516" t="s">
        <v>3031</v>
      </c>
      <c r="V101" s="359">
        <v>44775</v>
      </c>
      <c r="W101" s="510" t="s">
        <v>3337</v>
      </c>
      <c r="X101" s="510" t="s">
        <v>3341</v>
      </c>
      <c r="Y101" s="511">
        <v>44792</v>
      </c>
      <c r="Z101" s="510" t="s">
        <v>3252</v>
      </c>
      <c r="AA101" s="510" t="s">
        <v>3982</v>
      </c>
      <c r="AB101" s="510" t="s">
        <v>5669</v>
      </c>
      <c r="AC101" s="510" t="s">
        <v>2146</v>
      </c>
      <c r="AD101" s="511">
        <v>44792</v>
      </c>
      <c r="AE101" s="515">
        <v>3817.4551000000001</v>
      </c>
      <c r="AF101" s="507" t="s">
        <v>4279</v>
      </c>
      <c r="AG101" s="510" t="s">
        <v>3108</v>
      </c>
      <c r="AH101" s="517">
        <v>47987.78</v>
      </c>
      <c r="AI101" s="517">
        <v>10933.44</v>
      </c>
      <c r="AJ101" s="517">
        <v>8</v>
      </c>
      <c r="AK101" s="517">
        <f t="shared" ref="AK101:AK102" si="77">SUM(AH101:AJ101)</f>
        <v>58929.22</v>
      </c>
      <c r="AL101" s="518">
        <v>5.1772999999999998</v>
      </c>
      <c r="AM101" s="519">
        <f t="shared" ref="AM101:AM125" si="78">AK101*AL101</f>
        <v>305094.25070600002</v>
      </c>
      <c r="AN101" s="519">
        <v>0</v>
      </c>
      <c r="AO101" s="510">
        <v>6</v>
      </c>
      <c r="AP101" s="519">
        <v>21966.78</v>
      </c>
      <c r="AQ101" s="519">
        <v>24529.54</v>
      </c>
      <c r="AR101" s="519">
        <v>6406.97</v>
      </c>
      <c r="AS101" s="519">
        <v>29441.59</v>
      </c>
      <c r="AT101" s="519">
        <v>80729.23</v>
      </c>
      <c r="AU101" s="519">
        <v>4548.45</v>
      </c>
      <c r="AV101" s="519">
        <v>308.48</v>
      </c>
      <c r="AW101" s="510" t="s">
        <v>3139</v>
      </c>
      <c r="AX101" s="520">
        <f t="shared" ref="AX101:AX125" si="79">Q101</f>
        <v>44795</v>
      </c>
      <c r="AY101" s="510"/>
      <c r="AZ101" s="519">
        <f t="shared" ref="AZ101:AZ125" si="80">(AM101*50%)+AM101</f>
        <v>457641.37605900003</v>
      </c>
      <c r="BA101" s="521">
        <f t="shared" ref="BA101:BA125" si="81">SUM(I101:J101)</f>
        <v>1</v>
      </c>
      <c r="BB101" s="519">
        <f t="shared" ref="BB101:BB125" si="82">AZ101/BA101</f>
        <v>457641.37605900003</v>
      </c>
      <c r="BC101" s="519"/>
      <c r="BD101" s="519">
        <f t="shared" ref="BD101:BD125" si="83">(AO101-10)*10</f>
        <v>-40</v>
      </c>
      <c r="BE101" s="519">
        <f t="shared" si="50"/>
        <v>-40</v>
      </c>
      <c r="BF101" s="513" t="s">
        <v>1771</v>
      </c>
      <c r="BG101" s="514" t="s">
        <v>1771</v>
      </c>
      <c r="BH101" s="510" t="s">
        <v>1771</v>
      </c>
      <c r="BI101" s="628"/>
    </row>
    <row r="102" spans="1:61" s="523" customFormat="1" ht="144">
      <c r="A102" s="538" t="s">
        <v>5573</v>
      </c>
      <c r="B102" s="507" t="s">
        <v>3042</v>
      </c>
      <c r="C102" s="507" t="s">
        <v>3774</v>
      </c>
      <c r="D102" s="508">
        <v>4800017417</v>
      </c>
      <c r="E102" s="505" t="s">
        <v>5575</v>
      </c>
      <c r="F102" s="505" t="s">
        <v>5577</v>
      </c>
      <c r="G102" s="509" t="s">
        <v>5579</v>
      </c>
      <c r="H102" s="507" t="s">
        <v>5545</v>
      </c>
      <c r="I102" s="725"/>
      <c r="J102" s="725"/>
      <c r="K102" s="507">
        <v>13</v>
      </c>
      <c r="L102" s="507">
        <v>177.94</v>
      </c>
      <c r="M102" s="511">
        <v>44761</v>
      </c>
      <c r="N102" s="511">
        <v>44759</v>
      </c>
      <c r="O102" s="511">
        <v>44759</v>
      </c>
      <c r="P102" s="511">
        <v>44790</v>
      </c>
      <c r="Q102" s="511">
        <f t="shared" si="75"/>
        <v>44795</v>
      </c>
      <c r="R102" s="512" t="s">
        <v>5687</v>
      </c>
      <c r="S102" s="515" t="s">
        <v>3752</v>
      </c>
      <c r="T102" s="510" t="s">
        <v>3128</v>
      </c>
      <c r="U102" s="516" t="s">
        <v>3031</v>
      </c>
      <c r="V102" s="359">
        <v>44789</v>
      </c>
      <c r="W102" s="510" t="s">
        <v>3337</v>
      </c>
      <c r="X102" s="510" t="s">
        <v>3341</v>
      </c>
      <c r="Y102" s="511">
        <v>44792</v>
      </c>
      <c r="Z102" s="510" t="s">
        <v>3252</v>
      </c>
      <c r="AA102" s="510" t="s">
        <v>3982</v>
      </c>
      <c r="AB102" s="510" t="s">
        <v>5668</v>
      </c>
      <c r="AC102" s="510" t="s">
        <v>2146</v>
      </c>
      <c r="AD102" s="511">
        <v>44792</v>
      </c>
      <c r="AE102" s="510">
        <v>117.16500000000001</v>
      </c>
      <c r="AF102" s="507" t="s">
        <v>3460</v>
      </c>
      <c r="AG102" s="510" t="s">
        <v>3108</v>
      </c>
      <c r="AH102" s="517">
        <v>65937.78</v>
      </c>
      <c r="AI102" s="517">
        <v>455.56</v>
      </c>
      <c r="AJ102" s="517">
        <v>1</v>
      </c>
      <c r="AK102" s="517">
        <f t="shared" si="77"/>
        <v>66394.34</v>
      </c>
      <c r="AL102" s="518">
        <v>5.1772999999999998</v>
      </c>
      <c r="AM102" s="519">
        <f t="shared" si="78"/>
        <v>343743.41648199997</v>
      </c>
      <c r="AN102" s="519">
        <v>0</v>
      </c>
      <c r="AO102" s="510">
        <v>7</v>
      </c>
      <c r="AP102" s="519">
        <v>40593.93</v>
      </c>
      <c r="AQ102" s="519">
        <v>51565.67</v>
      </c>
      <c r="AR102" s="519">
        <v>7218.61</v>
      </c>
      <c r="AS102" s="519">
        <v>33182.22</v>
      </c>
      <c r="AT102" s="519">
        <v>85936.15</v>
      </c>
      <c r="AU102" s="519">
        <v>208.68</v>
      </c>
      <c r="AV102" s="519">
        <v>331.62</v>
      </c>
      <c r="AW102" s="510" t="s">
        <v>3139</v>
      </c>
      <c r="AX102" s="520">
        <f t="shared" si="79"/>
        <v>44795</v>
      </c>
      <c r="AY102" s="510"/>
      <c r="AZ102" s="519">
        <f t="shared" si="80"/>
        <v>515615.12472299999</v>
      </c>
      <c r="BA102" s="521">
        <f t="shared" si="81"/>
        <v>0</v>
      </c>
      <c r="BB102" s="519" t="e">
        <f t="shared" si="82"/>
        <v>#DIV/0!</v>
      </c>
      <c r="BC102" s="519"/>
      <c r="BD102" s="519">
        <f t="shared" si="83"/>
        <v>-30</v>
      </c>
      <c r="BE102" s="519">
        <f t="shared" si="50"/>
        <v>-30</v>
      </c>
      <c r="BF102" s="513" t="s">
        <v>1771</v>
      </c>
      <c r="BG102" s="514" t="s">
        <v>1771</v>
      </c>
      <c r="BH102" s="510" t="s">
        <v>1771</v>
      </c>
      <c r="BI102" s="628"/>
    </row>
    <row r="103" spans="1:61" s="523" customFormat="1" ht="132">
      <c r="A103" s="538" t="s">
        <v>5550</v>
      </c>
      <c r="B103" s="507" t="s">
        <v>3042</v>
      </c>
      <c r="C103" s="507" t="s">
        <v>3774</v>
      </c>
      <c r="D103" s="508" t="s">
        <v>5560</v>
      </c>
      <c r="E103" s="505" t="s">
        <v>5557</v>
      </c>
      <c r="F103" s="505" t="s">
        <v>5555</v>
      </c>
      <c r="G103" s="509" t="s">
        <v>5561</v>
      </c>
      <c r="H103" s="507" t="s">
        <v>5545</v>
      </c>
      <c r="I103" s="724">
        <v>1</v>
      </c>
      <c r="J103" s="724" t="s">
        <v>1771</v>
      </c>
      <c r="K103" s="507">
        <f>8+2+3+4+2</f>
        <v>19</v>
      </c>
      <c r="L103" s="507">
        <f>1084.5+291+206+437.94+89.96</f>
        <v>2109.4</v>
      </c>
      <c r="M103" s="511">
        <v>44760</v>
      </c>
      <c r="N103" s="511">
        <v>44761</v>
      </c>
      <c r="O103" s="511">
        <v>44761</v>
      </c>
      <c r="P103" s="511">
        <v>44790</v>
      </c>
      <c r="Q103" s="511">
        <v>44797</v>
      </c>
      <c r="R103" s="512" t="s">
        <v>5691</v>
      </c>
      <c r="S103" s="515" t="s">
        <v>3752</v>
      </c>
      <c r="T103" s="510" t="s">
        <v>3128</v>
      </c>
      <c r="U103" s="516" t="s">
        <v>3031</v>
      </c>
      <c r="V103" s="359">
        <v>44789</v>
      </c>
      <c r="W103" s="510" t="s">
        <v>3337</v>
      </c>
      <c r="X103" s="510" t="s">
        <v>3341</v>
      </c>
      <c r="Y103" s="511">
        <v>44795</v>
      </c>
      <c r="Z103" s="510" t="s">
        <v>3252</v>
      </c>
      <c r="AA103" s="510" t="s">
        <v>3982</v>
      </c>
      <c r="AB103" s="510" t="s">
        <v>5688</v>
      </c>
      <c r="AC103" s="510" t="s">
        <v>2146</v>
      </c>
      <c r="AD103" s="511">
        <v>44796</v>
      </c>
      <c r="AE103" s="515">
        <v>1336.4677099999999</v>
      </c>
      <c r="AF103" s="507" t="s">
        <v>4282</v>
      </c>
      <c r="AG103" s="510" t="s">
        <v>3108</v>
      </c>
      <c r="AH103" s="517">
        <v>14397.5</v>
      </c>
      <c r="AI103" s="517">
        <v>10233.5</v>
      </c>
      <c r="AJ103" s="517">
        <v>5</v>
      </c>
      <c r="AK103" s="517">
        <f t="shared" ref="AK103:AK104" si="84">SUM(AH103:AJ103)</f>
        <v>24636</v>
      </c>
      <c r="AL103" s="518">
        <v>5.1708999999999996</v>
      </c>
      <c r="AM103" s="519">
        <f t="shared" si="78"/>
        <v>127390.29239999999</v>
      </c>
      <c r="AN103" s="519">
        <v>0</v>
      </c>
      <c r="AO103" s="510">
        <v>11</v>
      </c>
      <c r="AP103" s="519">
        <v>9788.83</v>
      </c>
      <c r="AQ103" s="519">
        <v>10426.68</v>
      </c>
      <c r="AR103" s="519">
        <v>2675.2</v>
      </c>
      <c r="AS103" s="519">
        <v>12293.16</v>
      </c>
      <c r="AT103" s="519">
        <v>34427.81</v>
      </c>
      <c r="AU103" s="519">
        <v>4273.9399999999996</v>
      </c>
      <c r="AV103" s="519">
        <v>416.46</v>
      </c>
      <c r="AW103" s="510" t="s">
        <v>3139</v>
      </c>
      <c r="AX103" s="520">
        <f t="shared" si="79"/>
        <v>44797</v>
      </c>
      <c r="AY103" s="510"/>
      <c r="AZ103" s="519">
        <f t="shared" si="80"/>
        <v>191085.43859999999</v>
      </c>
      <c r="BA103" s="521">
        <f t="shared" si="81"/>
        <v>1</v>
      </c>
      <c r="BB103" s="519">
        <f t="shared" si="82"/>
        <v>191085.43859999999</v>
      </c>
      <c r="BC103" s="519"/>
      <c r="BD103" s="519">
        <f t="shared" si="83"/>
        <v>10</v>
      </c>
      <c r="BE103" s="519">
        <f t="shared" si="50"/>
        <v>10</v>
      </c>
      <c r="BF103" s="513" t="s">
        <v>1771</v>
      </c>
      <c r="BG103" s="514" t="s">
        <v>1771</v>
      </c>
      <c r="BH103" s="510" t="s">
        <v>1771</v>
      </c>
      <c r="BI103" s="628"/>
    </row>
    <row r="104" spans="1:61" s="523" customFormat="1" ht="132">
      <c r="A104" s="538" t="s">
        <v>5551</v>
      </c>
      <c r="B104" s="507" t="s">
        <v>3042</v>
      </c>
      <c r="C104" s="507" t="s">
        <v>3774</v>
      </c>
      <c r="D104" s="508">
        <v>4800017428</v>
      </c>
      <c r="E104" s="505" t="s">
        <v>5558</v>
      </c>
      <c r="F104" s="505" t="s">
        <v>5556</v>
      </c>
      <c r="G104" s="509" t="s">
        <v>5562</v>
      </c>
      <c r="H104" s="507" t="s">
        <v>5545</v>
      </c>
      <c r="I104" s="725"/>
      <c r="J104" s="725"/>
      <c r="K104" s="507">
        <v>1</v>
      </c>
      <c r="L104" s="507">
        <v>62</v>
      </c>
      <c r="M104" s="511">
        <v>44760</v>
      </c>
      <c r="N104" s="511">
        <v>44761</v>
      </c>
      <c r="O104" s="511">
        <v>44761</v>
      </c>
      <c r="P104" s="511">
        <v>44790</v>
      </c>
      <c r="Q104" s="511">
        <v>44797</v>
      </c>
      <c r="R104" s="512" t="s">
        <v>5690</v>
      </c>
      <c r="S104" s="515" t="s">
        <v>3752</v>
      </c>
      <c r="T104" s="510" t="s">
        <v>3128</v>
      </c>
      <c r="U104" s="516" t="s">
        <v>3031</v>
      </c>
      <c r="V104" s="359">
        <v>44789</v>
      </c>
      <c r="W104" s="510" t="s">
        <v>3337</v>
      </c>
      <c r="X104" s="510" t="s">
        <v>3341</v>
      </c>
      <c r="Y104" s="511">
        <v>44795</v>
      </c>
      <c r="Z104" s="510" t="s">
        <v>3252</v>
      </c>
      <c r="AA104" s="510" t="s">
        <v>3982</v>
      </c>
      <c r="AB104" s="510" t="s">
        <v>5689</v>
      </c>
      <c r="AC104" s="510" t="s">
        <v>2146</v>
      </c>
      <c r="AD104" s="511">
        <v>44796</v>
      </c>
      <c r="AE104" s="510">
        <v>32.270000000000003</v>
      </c>
      <c r="AF104" s="507" t="s">
        <v>3460</v>
      </c>
      <c r="AG104" s="510" t="s">
        <v>3108</v>
      </c>
      <c r="AH104" s="517">
        <v>1039.54</v>
      </c>
      <c r="AI104" s="517">
        <v>316.5</v>
      </c>
      <c r="AJ104" s="517">
        <v>1</v>
      </c>
      <c r="AK104" s="517">
        <f t="shared" si="84"/>
        <v>1357.04</v>
      </c>
      <c r="AL104" s="518">
        <v>5.1708999999999996</v>
      </c>
      <c r="AM104" s="519">
        <f t="shared" si="78"/>
        <v>7017.1181359999991</v>
      </c>
      <c r="AN104" s="519">
        <v>0</v>
      </c>
      <c r="AO104" s="510">
        <v>1</v>
      </c>
      <c r="AP104" s="519">
        <v>561.37</v>
      </c>
      <c r="AQ104" s="519">
        <v>492.6</v>
      </c>
      <c r="AR104" s="519">
        <v>147.36000000000001</v>
      </c>
      <c r="AS104" s="519">
        <v>677.15</v>
      </c>
      <c r="AT104" s="519">
        <v>1911.68</v>
      </c>
      <c r="AU104" s="519">
        <v>151.56</v>
      </c>
      <c r="AV104" s="519">
        <v>154.22999999999999</v>
      </c>
      <c r="AW104" s="510" t="s">
        <v>3139</v>
      </c>
      <c r="AX104" s="520">
        <f t="shared" si="79"/>
        <v>44797</v>
      </c>
      <c r="AY104" s="510"/>
      <c r="AZ104" s="519">
        <f t="shared" si="80"/>
        <v>10525.677204</v>
      </c>
      <c r="BA104" s="521">
        <f t="shared" si="81"/>
        <v>0</v>
      </c>
      <c r="BB104" s="519" t="e">
        <f t="shared" si="82"/>
        <v>#DIV/0!</v>
      </c>
      <c r="BC104" s="519"/>
      <c r="BD104" s="519">
        <f t="shared" si="83"/>
        <v>-90</v>
      </c>
      <c r="BE104" s="519">
        <f t="shared" si="50"/>
        <v>-90</v>
      </c>
      <c r="BF104" s="513" t="s">
        <v>1771</v>
      </c>
      <c r="BG104" s="514" t="s">
        <v>1771</v>
      </c>
      <c r="BH104" s="510" t="s">
        <v>1771</v>
      </c>
      <c r="BI104" s="628"/>
    </row>
    <row r="105" spans="1:61" s="523" customFormat="1" ht="132">
      <c r="A105" s="538" t="s">
        <v>5587</v>
      </c>
      <c r="B105" s="507" t="s">
        <v>3042</v>
      </c>
      <c r="C105" s="507" t="s">
        <v>3774</v>
      </c>
      <c r="D105" s="508">
        <v>4800017382</v>
      </c>
      <c r="E105" s="505" t="s">
        <v>5585</v>
      </c>
      <c r="F105" s="505" t="s">
        <v>5586</v>
      </c>
      <c r="G105" s="509" t="s">
        <v>5588</v>
      </c>
      <c r="H105" s="507" t="s">
        <v>5589</v>
      </c>
      <c r="I105" s="510" t="s">
        <v>1771</v>
      </c>
      <c r="J105" s="510">
        <v>1</v>
      </c>
      <c r="K105" s="507">
        <f>15+15+31</f>
        <v>61</v>
      </c>
      <c r="L105" s="507">
        <f>1925.5+1930+3221</f>
        <v>7076.5</v>
      </c>
      <c r="M105" s="511">
        <v>44769</v>
      </c>
      <c r="N105" s="511">
        <v>44770</v>
      </c>
      <c r="O105" s="511">
        <v>44770</v>
      </c>
      <c r="P105" s="511">
        <v>44805</v>
      </c>
      <c r="Q105" s="511">
        <f>P105+5</f>
        <v>44810</v>
      </c>
      <c r="R105" s="512" t="s">
        <v>5756</v>
      </c>
      <c r="S105" s="515" t="s">
        <v>3752</v>
      </c>
      <c r="T105" s="510" t="s">
        <v>3128</v>
      </c>
      <c r="U105" s="516" t="s">
        <v>3031</v>
      </c>
      <c r="V105" s="359">
        <v>44792</v>
      </c>
      <c r="W105" s="510" t="s">
        <v>3337</v>
      </c>
      <c r="X105" s="510" t="s">
        <v>3341</v>
      </c>
      <c r="Y105" s="511">
        <v>44806</v>
      </c>
      <c r="Z105" s="510" t="s">
        <v>3298</v>
      </c>
      <c r="AA105" s="510" t="s">
        <v>3982</v>
      </c>
      <c r="AB105" s="510" t="s">
        <v>5736</v>
      </c>
      <c r="AC105" s="510" t="s">
        <v>2146</v>
      </c>
      <c r="AD105" s="511">
        <v>44809</v>
      </c>
      <c r="AE105" s="515">
        <v>4415.6926000000003</v>
      </c>
      <c r="AF105" s="507" t="s">
        <v>3238</v>
      </c>
      <c r="AG105" s="510" t="s">
        <v>3108</v>
      </c>
      <c r="AH105" s="517">
        <v>77602.91</v>
      </c>
      <c r="AI105" s="517">
        <v>11389</v>
      </c>
      <c r="AJ105" s="517">
        <v>3</v>
      </c>
      <c r="AK105" s="517">
        <f t="shared" ref="AK105" si="85">SUM(AH105:AJ105)</f>
        <v>88994.91</v>
      </c>
      <c r="AL105" s="518">
        <v>5.1878000000000002</v>
      </c>
      <c r="AM105" s="519">
        <f t="shared" si="78"/>
        <v>461687.79409800004</v>
      </c>
      <c r="AN105" s="519">
        <v>0</v>
      </c>
      <c r="AO105" s="510">
        <v>8</v>
      </c>
      <c r="AP105" s="519">
        <v>33323.69</v>
      </c>
      <c r="AQ105" s="519">
        <v>37114.959999999999</v>
      </c>
      <c r="AR105" s="519">
        <v>9695.43</v>
      </c>
      <c r="AS105" s="519">
        <v>44552.87</v>
      </c>
      <c r="AT105" s="519">
        <v>121691.6</v>
      </c>
      <c r="AU105" s="519">
        <v>4758.46</v>
      </c>
      <c r="AV105" s="519">
        <v>354.76</v>
      </c>
      <c r="AW105" s="510" t="s">
        <v>3139</v>
      </c>
      <c r="AX105" s="520">
        <f t="shared" si="79"/>
        <v>44810</v>
      </c>
      <c r="AY105" s="510"/>
      <c r="AZ105" s="519">
        <f t="shared" si="80"/>
        <v>692531.69114700006</v>
      </c>
      <c r="BA105" s="521">
        <f t="shared" si="81"/>
        <v>1</v>
      </c>
      <c r="BB105" s="519">
        <f t="shared" si="82"/>
        <v>692531.69114700006</v>
      </c>
      <c r="BC105" s="519"/>
      <c r="BD105" s="519">
        <f t="shared" si="83"/>
        <v>-20</v>
      </c>
      <c r="BE105" s="519">
        <f t="shared" si="50"/>
        <v>-20</v>
      </c>
      <c r="BF105" s="513" t="s">
        <v>1771</v>
      </c>
      <c r="BG105" s="514" t="s">
        <v>1771</v>
      </c>
      <c r="BH105" s="510" t="s">
        <v>1771</v>
      </c>
      <c r="BI105" s="628"/>
    </row>
    <row r="106" spans="1:61" s="523" customFormat="1" ht="132">
      <c r="A106" s="538" t="s">
        <v>5591</v>
      </c>
      <c r="B106" s="507" t="s">
        <v>3042</v>
      </c>
      <c r="C106" s="507" t="s">
        <v>3774</v>
      </c>
      <c r="D106" s="508" t="s">
        <v>5598</v>
      </c>
      <c r="E106" s="505" t="s">
        <v>5595</v>
      </c>
      <c r="F106" s="505" t="s">
        <v>5593</v>
      </c>
      <c r="G106" s="509" t="s">
        <v>5597</v>
      </c>
      <c r="H106" s="507" t="s">
        <v>5601</v>
      </c>
      <c r="I106" s="724">
        <v>1</v>
      </c>
      <c r="J106" s="724" t="s">
        <v>1771</v>
      </c>
      <c r="K106" s="507">
        <f>1+1+1+15</f>
        <v>18</v>
      </c>
      <c r="L106" s="507">
        <f>0.64+12.74+7.89+1903</f>
        <v>1924.27</v>
      </c>
      <c r="M106" s="511">
        <v>44775</v>
      </c>
      <c r="N106" s="511">
        <v>44775</v>
      </c>
      <c r="O106" s="511">
        <v>44775</v>
      </c>
      <c r="P106" s="511">
        <v>44812</v>
      </c>
      <c r="Q106" s="511">
        <v>44816</v>
      </c>
      <c r="R106" s="512" t="s">
        <v>5757</v>
      </c>
      <c r="S106" s="515" t="s">
        <v>3752</v>
      </c>
      <c r="T106" s="510" t="s">
        <v>3128</v>
      </c>
      <c r="U106" s="516" t="s">
        <v>3031</v>
      </c>
      <c r="V106" s="359" t="s">
        <v>1771</v>
      </c>
      <c r="W106" s="510" t="s">
        <v>3337</v>
      </c>
      <c r="X106" s="510" t="s">
        <v>3341</v>
      </c>
      <c r="Y106" s="511">
        <v>44813</v>
      </c>
      <c r="Z106" s="510" t="s">
        <v>3252</v>
      </c>
      <c r="AA106" s="510" t="s">
        <v>3982</v>
      </c>
      <c r="AB106" s="510" t="s">
        <v>5748</v>
      </c>
      <c r="AC106" s="510" t="s">
        <v>2146</v>
      </c>
      <c r="AD106" s="511">
        <v>44813</v>
      </c>
      <c r="AE106" s="515">
        <v>1216.99</v>
      </c>
      <c r="AF106" s="507" t="s">
        <v>3359</v>
      </c>
      <c r="AG106" s="510" t="s">
        <v>3108</v>
      </c>
      <c r="AH106" s="517">
        <v>23309.18</v>
      </c>
      <c r="AI106" s="517">
        <v>8651</v>
      </c>
      <c r="AJ106" s="517">
        <v>4</v>
      </c>
      <c r="AK106" s="517">
        <f t="shared" ref="AK106:AK112" si="86">SUM(AH106:AJ106)</f>
        <v>31964.18</v>
      </c>
      <c r="AL106" s="518">
        <v>5.2154999999999996</v>
      </c>
      <c r="AM106" s="519">
        <f t="shared" si="78"/>
        <v>166709.18078999998</v>
      </c>
      <c r="AN106" s="519">
        <v>0</v>
      </c>
      <c r="AO106" s="510">
        <v>3</v>
      </c>
      <c r="AP106" s="519">
        <v>12003.06</v>
      </c>
      <c r="AQ106" s="519">
        <v>13403.4</v>
      </c>
      <c r="AR106" s="519">
        <v>3500.89</v>
      </c>
      <c r="AS106" s="519">
        <v>16087.43</v>
      </c>
      <c r="AT106" s="519">
        <v>44375.199999999997</v>
      </c>
      <c r="AU106" s="519">
        <v>3629.54</v>
      </c>
      <c r="AV106" s="519">
        <v>223.64</v>
      </c>
      <c r="AW106" s="510" t="s">
        <v>3139</v>
      </c>
      <c r="AX106" s="520">
        <f t="shared" si="79"/>
        <v>44816</v>
      </c>
      <c r="AY106" s="510"/>
      <c r="AZ106" s="519">
        <f t="shared" si="80"/>
        <v>250063.77118499996</v>
      </c>
      <c r="BA106" s="521">
        <f t="shared" si="81"/>
        <v>1</v>
      </c>
      <c r="BB106" s="519">
        <f t="shared" si="82"/>
        <v>250063.77118499996</v>
      </c>
      <c r="BC106" s="519"/>
      <c r="BD106" s="519">
        <f t="shared" si="83"/>
        <v>-70</v>
      </c>
      <c r="BE106" s="519">
        <f t="shared" si="50"/>
        <v>-70</v>
      </c>
      <c r="BF106" s="513" t="s">
        <v>1771</v>
      </c>
      <c r="BG106" s="514" t="s">
        <v>1771</v>
      </c>
      <c r="BH106" s="510" t="s">
        <v>1771</v>
      </c>
      <c r="BI106" s="628"/>
    </row>
    <row r="107" spans="1:61" s="523" customFormat="1" ht="132">
      <c r="A107" s="538" t="s">
        <v>5592</v>
      </c>
      <c r="B107" s="507" t="s">
        <v>3042</v>
      </c>
      <c r="C107" s="507" t="s">
        <v>3774</v>
      </c>
      <c r="D107" s="508" t="s">
        <v>5599</v>
      </c>
      <c r="E107" s="505" t="s">
        <v>5596</v>
      </c>
      <c r="F107" s="505" t="s">
        <v>5594</v>
      </c>
      <c r="G107" s="509" t="s">
        <v>5600</v>
      </c>
      <c r="H107" s="507" t="s">
        <v>5601</v>
      </c>
      <c r="I107" s="725"/>
      <c r="J107" s="725"/>
      <c r="K107" s="507">
        <f>1+6+1+12+8</f>
        <v>28</v>
      </c>
      <c r="L107" s="507">
        <f>62+24.14+6.64+145.86+127.75</f>
        <v>366.39</v>
      </c>
      <c r="M107" s="511">
        <v>44775</v>
      </c>
      <c r="N107" s="511">
        <v>44775</v>
      </c>
      <c r="O107" s="511">
        <v>44775</v>
      </c>
      <c r="P107" s="511">
        <v>44812</v>
      </c>
      <c r="Q107" s="511">
        <v>44816</v>
      </c>
      <c r="R107" s="512" t="s">
        <v>5758</v>
      </c>
      <c r="S107" s="515" t="s">
        <v>3752</v>
      </c>
      <c r="T107" s="510" t="s">
        <v>3128</v>
      </c>
      <c r="U107" s="516" t="s">
        <v>3031</v>
      </c>
      <c r="V107" s="359">
        <v>44803</v>
      </c>
      <c r="W107" s="510" t="s">
        <v>3337</v>
      </c>
      <c r="X107" s="510" t="s">
        <v>3341</v>
      </c>
      <c r="Y107" s="511">
        <v>44813</v>
      </c>
      <c r="Z107" s="510" t="s">
        <v>3252</v>
      </c>
      <c r="AA107" s="510" t="s">
        <v>3982</v>
      </c>
      <c r="AB107" s="510" t="s">
        <v>5747</v>
      </c>
      <c r="AC107" s="510" t="s">
        <v>2146</v>
      </c>
      <c r="AD107" s="511">
        <v>44813</v>
      </c>
      <c r="AE107" s="510">
        <v>232.79499999999999</v>
      </c>
      <c r="AF107" s="507" t="s">
        <v>3460</v>
      </c>
      <c r="AG107" s="510" t="s">
        <v>3108</v>
      </c>
      <c r="AH107" s="517">
        <v>92705.85</v>
      </c>
      <c r="AI107" s="517">
        <v>1899</v>
      </c>
      <c r="AJ107" s="517">
        <v>5</v>
      </c>
      <c r="AK107" s="517">
        <f t="shared" si="86"/>
        <v>94609.85</v>
      </c>
      <c r="AL107" s="518">
        <v>5.2154999999999996</v>
      </c>
      <c r="AM107" s="519">
        <f t="shared" si="78"/>
        <v>493437.67267499998</v>
      </c>
      <c r="AN107" s="519">
        <v>0</v>
      </c>
      <c r="AO107" s="510">
        <v>11</v>
      </c>
      <c r="AP107" s="519">
        <v>46644.88</v>
      </c>
      <c r="AQ107" s="519">
        <v>58000.02</v>
      </c>
      <c r="AR107" s="519">
        <v>10362.19</v>
      </c>
      <c r="AS107" s="519">
        <v>47627.8</v>
      </c>
      <c r="AT107" s="519">
        <v>122082.18</v>
      </c>
      <c r="AU107" s="519">
        <v>812.33</v>
      </c>
      <c r="AV107" s="519">
        <v>416.46</v>
      </c>
      <c r="AW107" s="510" t="s">
        <v>3139</v>
      </c>
      <c r="AX107" s="520">
        <f t="shared" si="79"/>
        <v>44816</v>
      </c>
      <c r="AY107" s="510"/>
      <c r="AZ107" s="519">
        <f t="shared" si="80"/>
        <v>740156.50901249994</v>
      </c>
      <c r="BA107" s="521">
        <f t="shared" si="81"/>
        <v>0</v>
      </c>
      <c r="BB107" s="519" t="e">
        <f t="shared" si="82"/>
        <v>#DIV/0!</v>
      </c>
      <c r="BC107" s="519"/>
      <c r="BD107" s="519">
        <f t="shared" si="83"/>
        <v>10</v>
      </c>
      <c r="BE107" s="519">
        <f t="shared" si="50"/>
        <v>10</v>
      </c>
      <c r="BF107" s="513" t="s">
        <v>1771</v>
      </c>
      <c r="BG107" s="514" t="s">
        <v>1771</v>
      </c>
      <c r="BH107" s="510" t="s">
        <v>1771</v>
      </c>
      <c r="BI107" s="628"/>
    </row>
    <row r="108" spans="1:61" s="523" customFormat="1" ht="132">
      <c r="A108" s="538" t="s">
        <v>5608</v>
      </c>
      <c r="B108" s="507" t="s">
        <v>3042</v>
      </c>
      <c r="C108" s="507" t="s">
        <v>3774</v>
      </c>
      <c r="D108" s="508" t="s">
        <v>5616</v>
      </c>
      <c r="E108" s="505" t="s">
        <v>5613</v>
      </c>
      <c r="F108" s="505" t="s">
        <v>5614</v>
      </c>
      <c r="G108" s="509" t="s">
        <v>5615</v>
      </c>
      <c r="H108" s="507" t="s">
        <v>5601</v>
      </c>
      <c r="I108" s="510" t="s">
        <v>1771</v>
      </c>
      <c r="J108" s="510">
        <v>1</v>
      </c>
      <c r="K108" s="507">
        <f>10+10+10+4+18</f>
        <v>52</v>
      </c>
      <c r="L108" s="507">
        <f>1679.5+1676.5+1126+657+3560</f>
        <v>8699</v>
      </c>
      <c r="M108" s="511">
        <v>44774</v>
      </c>
      <c r="N108" s="511">
        <v>44775</v>
      </c>
      <c r="O108" s="511">
        <v>44775</v>
      </c>
      <c r="P108" s="511">
        <v>44812</v>
      </c>
      <c r="Q108" s="511">
        <v>44816</v>
      </c>
      <c r="R108" s="512" t="s">
        <v>5759</v>
      </c>
      <c r="S108" s="515" t="s">
        <v>3752</v>
      </c>
      <c r="T108" s="510" t="s">
        <v>3128</v>
      </c>
      <c r="U108" s="516" t="s">
        <v>3031</v>
      </c>
      <c r="V108" s="359">
        <v>44803</v>
      </c>
      <c r="W108" s="510" t="s">
        <v>3337</v>
      </c>
      <c r="X108" s="510" t="s">
        <v>3341</v>
      </c>
      <c r="Y108" s="511">
        <v>44813</v>
      </c>
      <c r="Z108" s="510" t="s">
        <v>3252</v>
      </c>
      <c r="AA108" s="510" t="s">
        <v>3982</v>
      </c>
      <c r="AB108" s="510" t="s">
        <v>5746</v>
      </c>
      <c r="AC108" s="510" t="s">
        <v>2146</v>
      </c>
      <c r="AD108" s="511">
        <v>44813</v>
      </c>
      <c r="AE108" s="515">
        <v>7400.4999900000003</v>
      </c>
      <c r="AF108" s="507" t="s">
        <v>4631</v>
      </c>
      <c r="AG108" s="510" t="s">
        <v>3108</v>
      </c>
      <c r="AH108" s="517">
        <v>52937.82</v>
      </c>
      <c r="AI108" s="517">
        <v>11389</v>
      </c>
      <c r="AJ108" s="517">
        <v>5</v>
      </c>
      <c r="AK108" s="517">
        <f t="shared" si="86"/>
        <v>64331.82</v>
      </c>
      <c r="AL108" s="518">
        <v>5.2154999999999996</v>
      </c>
      <c r="AM108" s="519">
        <f t="shared" si="78"/>
        <v>335522.60720999999</v>
      </c>
      <c r="AN108" s="519">
        <v>0</v>
      </c>
      <c r="AO108" s="510">
        <v>6</v>
      </c>
      <c r="AP108" s="519">
        <v>24157.62</v>
      </c>
      <c r="AQ108" s="519">
        <v>26975.98</v>
      </c>
      <c r="AR108" s="519">
        <v>7045.97</v>
      </c>
      <c r="AS108" s="519">
        <v>32377.91</v>
      </c>
      <c r="AT108" s="519">
        <v>88723.39</v>
      </c>
      <c r="AU108" s="519">
        <v>4771.9399999999996</v>
      </c>
      <c r="AV108" s="519">
        <v>308.48</v>
      </c>
      <c r="AW108" s="510" t="s">
        <v>3139</v>
      </c>
      <c r="AX108" s="520">
        <f t="shared" si="79"/>
        <v>44816</v>
      </c>
      <c r="AY108" s="510"/>
      <c r="AZ108" s="519">
        <f t="shared" si="80"/>
        <v>503283.91081499995</v>
      </c>
      <c r="BA108" s="521">
        <f t="shared" si="81"/>
        <v>1</v>
      </c>
      <c r="BB108" s="519">
        <f t="shared" si="82"/>
        <v>503283.91081499995</v>
      </c>
      <c r="BC108" s="519"/>
      <c r="BD108" s="519">
        <f t="shared" si="83"/>
        <v>-40</v>
      </c>
      <c r="BE108" s="519">
        <f t="shared" si="50"/>
        <v>-40</v>
      </c>
      <c r="BF108" s="513" t="s">
        <v>1771</v>
      </c>
      <c r="BG108" s="514" t="s">
        <v>1771</v>
      </c>
      <c r="BH108" s="510" t="s">
        <v>1771</v>
      </c>
      <c r="BI108" s="628"/>
    </row>
    <row r="109" spans="1:61" s="523" customFormat="1" ht="132">
      <c r="A109" s="538" t="s">
        <v>5609</v>
      </c>
      <c r="B109" s="507" t="s">
        <v>3042</v>
      </c>
      <c r="C109" s="507" t="s">
        <v>3774</v>
      </c>
      <c r="D109" s="508" t="s">
        <v>5617</v>
      </c>
      <c r="E109" s="505" t="s">
        <v>5622</v>
      </c>
      <c r="F109" s="505" t="s">
        <v>5623</v>
      </c>
      <c r="G109" s="509" t="s">
        <v>5624</v>
      </c>
      <c r="H109" s="507" t="s">
        <v>5625</v>
      </c>
      <c r="I109" s="510" t="s">
        <v>1771</v>
      </c>
      <c r="J109" s="510">
        <v>1</v>
      </c>
      <c r="K109" s="507">
        <f>14+47+8</f>
        <v>69</v>
      </c>
      <c r="L109" s="507">
        <f>1262.5+6203.54+1015.5</f>
        <v>8481.5400000000009</v>
      </c>
      <c r="M109" s="511">
        <v>44782</v>
      </c>
      <c r="N109" s="511">
        <v>44780</v>
      </c>
      <c r="O109" s="511">
        <v>44780</v>
      </c>
      <c r="P109" s="511">
        <v>44810</v>
      </c>
      <c r="Q109" s="511">
        <v>44816</v>
      </c>
      <c r="R109" s="512" t="s">
        <v>5760</v>
      </c>
      <c r="S109" s="515" t="s">
        <v>3752</v>
      </c>
      <c r="T109" s="510" t="s">
        <v>3681</v>
      </c>
      <c r="U109" s="516" t="s">
        <v>3031</v>
      </c>
      <c r="V109" s="359">
        <v>44810</v>
      </c>
      <c r="W109" s="510" t="s">
        <v>3147</v>
      </c>
      <c r="X109" s="510" t="s">
        <v>3147</v>
      </c>
      <c r="Y109" s="511">
        <v>44813</v>
      </c>
      <c r="Z109" s="510" t="s">
        <v>3252</v>
      </c>
      <c r="AA109" s="510" t="s">
        <v>3982</v>
      </c>
      <c r="AB109" s="510" t="s">
        <v>5744</v>
      </c>
      <c r="AC109" s="510" t="s">
        <v>2146</v>
      </c>
      <c r="AD109" s="511">
        <v>44813</v>
      </c>
      <c r="AE109" s="515">
        <v>6474.91003</v>
      </c>
      <c r="AF109" s="507" t="s">
        <v>4279</v>
      </c>
      <c r="AG109" s="510" t="s">
        <v>3108</v>
      </c>
      <c r="AH109" s="517">
        <v>47578.04</v>
      </c>
      <c r="AI109" s="517">
        <v>11389</v>
      </c>
      <c r="AJ109" s="517">
        <v>3</v>
      </c>
      <c r="AK109" s="517">
        <f t="shared" si="86"/>
        <v>58970.04</v>
      </c>
      <c r="AL109" s="518">
        <v>5.2154999999999996</v>
      </c>
      <c r="AM109" s="519">
        <f t="shared" si="78"/>
        <v>307558.24361999996</v>
      </c>
      <c r="AN109" s="519">
        <v>0</v>
      </c>
      <c r="AO109" s="510">
        <v>16</v>
      </c>
      <c r="AP109" s="519">
        <v>22364.06</v>
      </c>
      <c r="AQ109" s="519">
        <v>24717.91</v>
      </c>
      <c r="AR109" s="519">
        <v>6458.71</v>
      </c>
      <c r="AS109" s="519">
        <v>29679.33</v>
      </c>
      <c r="AT109" s="519">
        <v>81511.92</v>
      </c>
      <c r="AU109" s="519">
        <v>4778.59</v>
      </c>
      <c r="AV109" s="519">
        <v>493.56</v>
      </c>
      <c r="AW109" s="510" t="s">
        <v>3139</v>
      </c>
      <c r="AX109" s="520">
        <f t="shared" si="79"/>
        <v>44816</v>
      </c>
      <c r="AY109" s="510"/>
      <c r="AZ109" s="519">
        <f t="shared" si="80"/>
        <v>461337.36542999995</v>
      </c>
      <c r="BA109" s="521">
        <f t="shared" si="81"/>
        <v>1</v>
      </c>
      <c r="BB109" s="519">
        <f t="shared" si="82"/>
        <v>461337.36542999995</v>
      </c>
      <c r="BC109" s="519"/>
      <c r="BD109" s="519">
        <f t="shared" si="83"/>
        <v>60</v>
      </c>
      <c r="BE109" s="519">
        <f t="shared" si="50"/>
        <v>60</v>
      </c>
      <c r="BF109" s="513" t="s">
        <v>1771</v>
      </c>
      <c r="BG109" s="514" t="s">
        <v>1771</v>
      </c>
      <c r="BH109" s="510" t="s">
        <v>1771</v>
      </c>
      <c r="BI109" s="628"/>
    </row>
    <row r="110" spans="1:61" s="523" customFormat="1" ht="132">
      <c r="A110" s="538" t="s">
        <v>5610</v>
      </c>
      <c r="B110" s="507" t="s">
        <v>3042</v>
      </c>
      <c r="C110" s="507" t="s">
        <v>3774</v>
      </c>
      <c r="D110" s="508" t="s">
        <v>5629</v>
      </c>
      <c r="E110" s="505" t="s">
        <v>5626</v>
      </c>
      <c r="F110" s="505" t="s">
        <v>5627</v>
      </c>
      <c r="G110" s="509" t="s">
        <v>5630</v>
      </c>
      <c r="H110" s="507" t="s">
        <v>5625</v>
      </c>
      <c r="I110" s="510" t="s">
        <v>1771</v>
      </c>
      <c r="J110" s="510">
        <v>1</v>
      </c>
      <c r="K110" s="507">
        <f>1+10+5+10+6+8+1</f>
        <v>41</v>
      </c>
      <c r="L110" s="507">
        <f>71.5+1679.5+1051.5+1679.5+774.5+1114+69</f>
        <v>6439.5</v>
      </c>
      <c r="M110" s="511">
        <v>44777</v>
      </c>
      <c r="N110" s="511">
        <v>44778</v>
      </c>
      <c r="O110" s="511">
        <v>44778</v>
      </c>
      <c r="P110" s="511">
        <v>44810</v>
      </c>
      <c r="Q110" s="511">
        <v>44818</v>
      </c>
      <c r="R110" s="512" t="s">
        <v>5761</v>
      </c>
      <c r="S110" s="515" t="s">
        <v>3752</v>
      </c>
      <c r="T110" s="510" t="s">
        <v>3681</v>
      </c>
      <c r="U110" s="516" t="s">
        <v>3031</v>
      </c>
      <c r="V110" s="359">
        <v>44810</v>
      </c>
      <c r="W110" s="510" t="s">
        <v>3147</v>
      </c>
      <c r="X110" s="510" t="s">
        <v>3147</v>
      </c>
      <c r="Y110" s="511">
        <v>44810</v>
      </c>
      <c r="Z110" s="510" t="s">
        <v>3252</v>
      </c>
      <c r="AA110" s="510" t="s">
        <v>3982</v>
      </c>
      <c r="AB110" s="510" t="s">
        <v>5742</v>
      </c>
      <c r="AC110" s="510" t="s">
        <v>2146</v>
      </c>
      <c r="AD110" s="511">
        <v>44810</v>
      </c>
      <c r="AE110" s="515">
        <v>5523.5</v>
      </c>
      <c r="AF110" s="507" t="s">
        <v>5628</v>
      </c>
      <c r="AG110" s="510" t="s">
        <v>3108</v>
      </c>
      <c r="AH110" s="517">
        <v>46912.69</v>
      </c>
      <c r="AI110" s="517">
        <v>11389</v>
      </c>
      <c r="AJ110" s="517">
        <v>7</v>
      </c>
      <c r="AK110" s="517">
        <f t="shared" si="86"/>
        <v>58308.69</v>
      </c>
      <c r="AL110" s="518">
        <v>5.1685999999999996</v>
      </c>
      <c r="AM110" s="519">
        <f t="shared" si="78"/>
        <v>301374.29513400001</v>
      </c>
      <c r="AN110" s="519">
        <v>0</v>
      </c>
      <c r="AO110" s="510">
        <v>5</v>
      </c>
      <c r="AP110" s="519">
        <v>21817.83</v>
      </c>
      <c r="AQ110" s="519">
        <v>24418.98</v>
      </c>
      <c r="AR110" s="519">
        <v>6328.86</v>
      </c>
      <c r="AS110" s="519">
        <v>29082.61</v>
      </c>
      <c r="AT110" s="519">
        <v>79818.59</v>
      </c>
      <c r="AU110" s="519">
        <v>4729.21</v>
      </c>
      <c r="AV110" s="519">
        <v>285.33999999999997</v>
      </c>
      <c r="AW110" s="510" t="s">
        <v>3139</v>
      </c>
      <c r="AX110" s="520">
        <f t="shared" si="79"/>
        <v>44818</v>
      </c>
      <c r="AY110" s="510"/>
      <c r="AZ110" s="519">
        <f t="shared" si="80"/>
        <v>452061.44270100002</v>
      </c>
      <c r="BA110" s="521">
        <f t="shared" si="81"/>
        <v>1</v>
      </c>
      <c r="BB110" s="519">
        <f t="shared" si="82"/>
        <v>452061.44270100002</v>
      </c>
      <c r="BC110" s="519"/>
      <c r="BD110" s="519">
        <f t="shared" si="83"/>
        <v>-50</v>
      </c>
      <c r="BE110" s="519">
        <f t="shared" si="50"/>
        <v>-50</v>
      </c>
      <c r="BF110" s="513" t="s">
        <v>1771</v>
      </c>
      <c r="BG110" s="514" t="s">
        <v>1771</v>
      </c>
      <c r="BH110" s="510" t="s">
        <v>1771</v>
      </c>
      <c r="BI110" s="628"/>
    </row>
    <row r="111" spans="1:61" s="523" customFormat="1" ht="120">
      <c r="A111" s="538" t="s">
        <v>5611</v>
      </c>
      <c r="B111" s="507" t="s">
        <v>3042</v>
      </c>
      <c r="C111" s="507" t="s">
        <v>3774</v>
      </c>
      <c r="D111" s="508" t="s">
        <v>5617</v>
      </c>
      <c r="E111" s="505" t="s">
        <v>5618</v>
      </c>
      <c r="F111" s="505" t="s">
        <v>5621</v>
      </c>
      <c r="G111" s="509" t="s">
        <v>5656</v>
      </c>
      <c r="H111" s="507" t="s">
        <v>5625</v>
      </c>
      <c r="I111" s="724" t="s">
        <v>1771</v>
      </c>
      <c r="J111" s="724">
        <v>1</v>
      </c>
      <c r="K111" s="507">
        <f>19+7+5+5+5+7</f>
        <v>48</v>
      </c>
      <c r="L111" s="507">
        <f>1447+1145+1052+1066+1066+940.5</f>
        <v>6716.5</v>
      </c>
      <c r="M111" s="511">
        <v>44778</v>
      </c>
      <c r="N111" s="511">
        <v>44778</v>
      </c>
      <c r="O111" s="511">
        <v>44778</v>
      </c>
      <c r="P111" s="511">
        <v>44810</v>
      </c>
      <c r="Q111" s="511">
        <v>44816</v>
      </c>
      <c r="R111" s="512" t="s">
        <v>5762</v>
      </c>
      <c r="S111" s="515" t="s">
        <v>3752</v>
      </c>
      <c r="T111" s="510" t="s">
        <v>3681</v>
      </c>
      <c r="U111" s="516" t="s">
        <v>3031</v>
      </c>
      <c r="V111" s="359">
        <v>44810</v>
      </c>
      <c r="W111" s="510" t="s">
        <v>3147</v>
      </c>
      <c r="X111" s="510" t="s">
        <v>3147</v>
      </c>
      <c r="Y111" s="511">
        <v>44813</v>
      </c>
      <c r="Z111" s="510" t="s">
        <v>3252</v>
      </c>
      <c r="AA111" s="510" t="s">
        <v>3982</v>
      </c>
      <c r="AB111" s="510" t="s">
        <v>5743</v>
      </c>
      <c r="AC111" s="510" t="s">
        <v>2146</v>
      </c>
      <c r="AD111" s="511">
        <v>44813</v>
      </c>
      <c r="AE111" s="515">
        <v>5609.96</v>
      </c>
      <c r="AF111" s="507" t="s">
        <v>4279</v>
      </c>
      <c r="AG111" s="510" t="s">
        <v>3108</v>
      </c>
      <c r="AH111" s="517">
        <v>79613.14</v>
      </c>
      <c r="AI111" s="517">
        <v>10477.879999999999</v>
      </c>
      <c r="AJ111" s="517">
        <v>6</v>
      </c>
      <c r="AK111" s="517">
        <f t="shared" ref="AK111" si="87">SUM(AH111:AJ111)</f>
        <v>90097.02</v>
      </c>
      <c r="AL111" s="518">
        <v>5.2154999999999996</v>
      </c>
      <c r="AM111" s="519">
        <f t="shared" si="78"/>
        <v>469901.00780999998</v>
      </c>
      <c r="AN111" s="519">
        <v>0</v>
      </c>
      <c r="AO111" s="510">
        <v>8</v>
      </c>
      <c r="AP111" s="519">
        <v>34303.519999999997</v>
      </c>
      <c r="AQ111" s="519">
        <v>37787.4</v>
      </c>
      <c r="AR111" s="519">
        <v>9867.91</v>
      </c>
      <c r="AS111" s="519">
        <v>45345.42</v>
      </c>
      <c r="AT111" s="519">
        <v>123842.26</v>
      </c>
      <c r="AU111" s="519">
        <v>4397.8999999999996</v>
      </c>
      <c r="AV111" s="519">
        <v>354.76</v>
      </c>
      <c r="AW111" s="510" t="s">
        <v>3139</v>
      </c>
      <c r="AX111" s="520">
        <f t="shared" si="79"/>
        <v>44816</v>
      </c>
      <c r="AY111" s="510"/>
      <c r="AZ111" s="519">
        <f t="shared" si="80"/>
        <v>704851.51171500003</v>
      </c>
      <c r="BA111" s="521">
        <f>SUM(I111:J111)</f>
        <v>1</v>
      </c>
      <c r="BB111" s="519">
        <f t="shared" si="82"/>
        <v>704851.51171500003</v>
      </c>
      <c r="BC111" s="519"/>
      <c r="BD111" s="519">
        <f t="shared" si="83"/>
        <v>-20</v>
      </c>
      <c r="BE111" s="519">
        <f t="shared" si="50"/>
        <v>-20</v>
      </c>
      <c r="BF111" s="513" t="s">
        <v>1771</v>
      </c>
      <c r="BG111" s="514" t="s">
        <v>1771</v>
      </c>
      <c r="BH111" s="510" t="s">
        <v>1771</v>
      </c>
      <c r="BI111" s="628"/>
    </row>
    <row r="112" spans="1:61" s="523" customFormat="1" ht="132">
      <c r="A112" s="538" t="s">
        <v>5612</v>
      </c>
      <c r="B112" s="507" t="s">
        <v>3042</v>
      </c>
      <c r="C112" s="507" t="s">
        <v>3774</v>
      </c>
      <c r="D112" s="508">
        <v>4800017428</v>
      </c>
      <c r="E112" s="505" t="s">
        <v>5619</v>
      </c>
      <c r="F112" s="505" t="s">
        <v>5620</v>
      </c>
      <c r="G112" s="509" t="s">
        <v>5657</v>
      </c>
      <c r="H112" s="507" t="s">
        <v>5625</v>
      </c>
      <c r="I112" s="725"/>
      <c r="J112" s="725"/>
      <c r="K112" s="507">
        <v>26</v>
      </c>
      <c r="L112" s="507">
        <v>375.94</v>
      </c>
      <c r="M112" s="511">
        <v>44778</v>
      </c>
      <c r="N112" s="511">
        <v>44778</v>
      </c>
      <c r="O112" s="511">
        <v>44778</v>
      </c>
      <c r="P112" s="511">
        <v>44810</v>
      </c>
      <c r="Q112" s="511">
        <v>44816</v>
      </c>
      <c r="R112" s="512" t="s">
        <v>5763</v>
      </c>
      <c r="S112" s="515" t="s">
        <v>3752</v>
      </c>
      <c r="T112" s="510" t="s">
        <v>3681</v>
      </c>
      <c r="U112" s="516" t="s">
        <v>3031</v>
      </c>
      <c r="V112" s="359">
        <v>44810</v>
      </c>
      <c r="W112" s="510" t="s">
        <v>3147</v>
      </c>
      <c r="X112" s="510" t="s">
        <v>3147</v>
      </c>
      <c r="Y112" s="511">
        <v>44813</v>
      </c>
      <c r="Z112" s="510" t="s">
        <v>3252</v>
      </c>
      <c r="AA112" s="510" t="s">
        <v>3982</v>
      </c>
      <c r="AB112" s="510" t="s">
        <v>5745</v>
      </c>
      <c r="AC112" s="510" t="s">
        <v>2146</v>
      </c>
      <c r="AD112" s="511">
        <v>44813</v>
      </c>
      <c r="AE112" s="510">
        <v>217.77</v>
      </c>
      <c r="AF112" s="507" t="s">
        <v>3460</v>
      </c>
      <c r="AG112" s="510" t="s">
        <v>3108</v>
      </c>
      <c r="AH112" s="517">
        <v>28412.720000000001</v>
      </c>
      <c r="AI112" s="517">
        <v>911.12</v>
      </c>
      <c r="AJ112" s="517">
        <v>1</v>
      </c>
      <c r="AK112" s="517">
        <f t="shared" si="86"/>
        <v>29324.84</v>
      </c>
      <c r="AL112" s="518">
        <v>5.2154999999999996</v>
      </c>
      <c r="AM112" s="519">
        <f t="shared" si="78"/>
        <v>152943.70301999999</v>
      </c>
      <c r="AN112" s="519">
        <v>0</v>
      </c>
      <c r="AO112" s="510">
        <v>5</v>
      </c>
      <c r="AP112" s="519">
        <v>14636.51</v>
      </c>
      <c r="AQ112" s="519">
        <v>23164.67</v>
      </c>
      <c r="AR112" s="519">
        <v>3211.81</v>
      </c>
      <c r="AS112" s="519">
        <v>14872.78</v>
      </c>
      <c r="AT112" s="519">
        <v>29719.22</v>
      </c>
      <c r="AU112" s="519">
        <v>400.68</v>
      </c>
      <c r="AV112" s="519">
        <v>285.33999999999997</v>
      </c>
      <c r="AW112" s="510" t="s">
        <v>3139</v>
      </c>
      <c r="AX112" s="520">
        <f t="shared" si="79"/>
        <v>44816</v>
      </c>
      <c r="AY112" s="510"/>
      <c r="AZ112" s="519">
        <f t="shared" si="80"/>
        <v>229415.55452999996</v>
      </c>
      <c r="BA112" s="521">
        <f t="shared" si="81"/>
        <v>0</v>
      </c>
      <c r="BB112" s="519" t="e">
        <f t="shared" si="82"/>
        <v>#DIV/0!</v>
      </c>
      <c r="BC112" s="519"/>
      <c r="BD112" s="519">
        <f t="shared" si="83"/>
        <v>-50</v>
      </c>
      <c r="BE112" s="519">
        <f t="shared" si="50"/>
        <v>-50</v>
      </c>
      <c r="BF112" s="513" t="s">
        <v>1771</v>
      </c>
      <c r="BG112" s="514" t="s">
        <v>1771</v>
      </c>
      <c r="BH112" s="510" t="s">
        <v>1771</v>
      </c>
      <c r="BI112" s="628"/>
    </row>
    <row r="113" spans="1:61" s="523" customFormat="1" ht="132">
      <c r="A113" s="538" t="s">
        <v>5637</v>
      </c>
      <c r="B113" s="507" t="s">
        <v>3042</v>
      </c>
      <c r="C113" s="507" t="s">
        <v>3774</v>
      </c>
      <c r="D113" s="508" t="s">
        <v>5644</v>
      </c>
      <c r="E113" s="505" t="s">
        <v>5638</v>
      </c>
      <c r="F113" s="505" t="s">
        <v>5640</v>
      </c>
      <c r="G113" s="509" t="s">
        <v>5642</v>
      </c>
      <c r="H113" s="507" t="s">
        <v>5643</v>
      </c>
      <c r="I113" s="724">
        <v>1</v>
      </c>
      <c r="J113" s="724" t="s">
        <v>1771</v>
      </c>
      <c r="K113" s="507">
        <f>15+3</f>
        <v>18</v>
      </c>
      <c r="L113" s="507">
        <f>1905+503.5</f>
        <v>2408.5</v>
      </c>
      <c r="M113" s="511">
        <v>44783</v>
      </c>
      <c r="N113" s="511">
        <v>44784</v>
      </c>
      <c r="O113" s="511">
        <v>44784</v>
      </c>
      <c r="P113" s="511">
        <v>44819</v>
      </c>
      <c r="Q113" s="511">
        <v>44823</v>
      </c>
      <c r="R113" s="512" t="s">
        <v>5798</v>
      </c>
      <c r="S113" s="515" t="s">
        <v>3752</v>
      </c>
      <c r="T113" s="510" t="s">
        <v>3128</v>
      </c>
      <c r="U113" s="516" t="s">
        <v>3031</v>
      </c>
      <c r="V113" s="359">
        <v>44810</v>
      </c>
      <c r="W113" s="510" t="s">
        <v>3337</v>
      </c>
      <c r="X113" s="510" t="s">
        <v>3341</v>
      </c>
      <c r="Y113" s="511">
        <v>44820</v>
      </c>
      <c r="Z113" s="510" t="s">
        <v>3252</v>
      </c>
      <c r="AA113" s="510" t="s">
        <v>3982</v>
      </c>
      <c r="AB113" s="510" t="s">
        <v>5777</v>
      </c>
      <c r="AC113" s="510" t="s">
        <v>2146</v>
      </c>
      <c r="AD113" s="511">
        <v>44820</v>
      </c>
      <c r="AE113" s="515">
        <v>2164</v>
      </c>
      <c r="AF113" s="507" t="s">
        <v>4279</v>
      </c>
      <c r="AG113" s="510" t="s">
        <v>3108</v>
      </c>
      <c r="AH113" s="517">
        <v>31523.05</v>
      </c>
      <c r="AI113" s="517">
        <v>10022.5</v>
      </c>
      <c r="AJ113" s="517">
        <v>2</v>
      </c>
      <c r="AK113" s="517">
        <f t="shared" ref="AK113:AK116" si="88">SUM(AH113:AJ113)</f>
        <v>41547.550000000003</v>
      </c>
      <c r="AL113" s="518">
        <v>5.2210999999999999</v>
      </c>
      <c r="AM113" s="519">
        <f t="shared" si="78"/>
        <v>216923.91330499999</v>
      </c>
      <c r="AN113" s="519">
        <v>0</v>
      </c>
      <c r="AO113" s="510">
        <v>2</v>
      </c>
      <c r="AP113" s="519">
        <v>15618.52</v>
      </c>
      <c r="AQ113" s="519">
        <v>17440.669999999998</v>
      </c>
      <c r="AR113" s="519">
        <v>4555.3999999999996</v>
      </c>
      <c r="AS113" s="519">
        <v>20933.150000000001</v>
      </c>
      <c r="AT113" s="519">
        <v>57606.58</v>
      </c>
      <c r="AU113" s="519">
        <v>4206.2700000000004</v>
      </c>
      <c r="AV113" s="519">
        <v>192.79</v>
      </c>
      <c r="AW113" s="510" t="s">
        <v>3139</v>
      </c>
      <c r="AX113" s="520">
        <f t="shared" si="79"/>
        <v>44823</v>
      </c>
      <c r="AY113" s="510"/>
      <c r="AZ113" s="519">
        <f t="shared" si="80"/>
        <v>325385.86995750002</v>
      </c>
      <c r="BA113" s="521">
        <f t="shared" si="81"/>
        <v>1</v>
      </c>
      <c r="BB113" s="519">
        <f t="shared" si="82"/>
        <v>325385.86995750002</v>
      </c>
      <c r="BC113" s="519"/>
      <c r="BD113" s="519">
        <f t="shared" si="83"/>
        <v>-80</v>
      </c>
      <c r="BE113" s="519">
        <f t="shared" si="50"/>
        <v>-80</v>
      </c>
      <c r="BF113" s="513" t="s">
        <v>1771</v>
      </c>
      <c r="BG113" s="514" t="s">
        <v>1771</v>
      </c>
      <c r="BH113" s="510" t="s">
        <v>1771</v>
      </c>
      <c r="BI113" s="628"/>
    </row>
    <row r="114" spans="1:61" s="523" customFormat="1" ht="132">
      <c r="A114" s="538" t="s">
        <v>5636</v>
      </c>
      <c r="B114" s="507" t="s">
        <v>3042</v>
      </c>
      <c r="C114" s="507" t="s">
        <v>3774</v>
      </c>
      <c r="D114" s="508">
        <v>4800017512</v>
      </c>
      <c r="E114" s="505" t="s">
        <v>5639</v>
      </c>
      <c r="F114" s="505" t="s">
        <v>5641</v>
      </c>
      <c r="G114" s="509" t="s">
        <v>5645</v>
      </c>
      <c r="H114" s="507" t="s">
        <v>5643</v>
      </c>
      <c r="I114" s="725"/>
      <c r="J114" s="725"/>
      <c r="K114" s="507">
        <v>9</v>
      </c>
      <c r="L114" s="507">
        <v>125.38</v>
      </c>
      <c r="M114" s="511">
        <v>44783</v>
      </c>
      <c r="N114" s="511">
        <v>44784</v>
      </c>
      <c r="O114" s="511">
        <v>44784</v>
      </c>
      <c r="P114" s="511">
        <v>44819</v>
      </c>
      <c r="Q114" s="511">
        <v>44823</v>
      </c>
      <c r="R114" s="512" t="s">
        <v>5799</v>
      </c>
      <c r="S114" s="515" t="s">
        <v>3752</v>
      </c>
      <c r="T114" s="510" t="s">
        <v>3128</v>
      </c>
      <c r="U114" s="516" t="s">
        <v>3031</v>
      </c>
      <c r="V114" s="359">
        <v>44810</v>
      </c>
      <c r="W114" s="510" t="s">
        <v>3337</v>
      </c>
      <c r="X114" s="510" t="s">
        <v>3341</v>
      </c>
      <c r="Y114" s="511">
        <v>44820</v>
      </c>
      <c r="Z114" s="510" t="s">
        <v>3252</v>
      </c>
      <c r="AA114" s="510" t="s">
        <v>3982</v>
      </c>
      <c r="AB114" s="510" t="s">
        <v>5780</v>
      </c>
      <c r="AC114" s="510" t="s">
        <v>2146</v>
      </c>
      <c r="AD114" s="511">
        <v>44820</v>
      </c>
      <c r="AE114" s="510">
        <v>88.165000000000006</v>
      </c>
      <c r="AF114" s="507" t="s">
        <v>3460</v>
      </c>
      <c r="AG114" s="510" t="s">
        <v>3108</v>
      </c>
      <c r="AH114" s="517">
        <v>2585.91</v>
      </c>
      <c r="AI114" s="517">
        <v>527.5</v>
      </c>
      <c r="AJ114" s="517">
        <v>1</v>
      </c>
      <c r="AK114" s="517">
        <f t="shared" si="88"/>
        <v>3114.41</v>
      </c>
      <c r="AL114" s="518">
        <v>5.2210999999999999</v>
      </c>
      <c r="AM114" s="519">
        <f t="shared" si="78"/>
        <v>16260.646050999998</v>
      </c>
      <c r="AN114" s="519">
        <v>0</v>
      </c>
      <c r="AO114" s="510">
        <v>8</v>
      </c>
      <c r="AP114" s="519">
        <v>1624.13</v>
      </c>
      <c r="AQ114" s="519">
        <v>1307.9000000000001</v>
      </c>
      <c r="AR114" s="519">
        <v>341.48</v>
      </c>
      <c r="AS114" s="519">
        <v>1591.29</v>
      </c>
      <c r="AT114" s="519">
        <v>4012.83</v>
      </c>
      <c r="AU114" s="519">
        <v>240.33</v>
      </c>
      <c r="AV114" s="519">
        <v>354.76</v>
      </c>
      <c r="AW114" s="510" t="s">
        <v>3139</v>
      </c>
      <c r="AX114" s="520">
        <f t="shared" si="79"/>
        <v>44823</v>
      </c>
      <c r="AY114" s="510"/>
      <c r="AZ114" s="519">
        <f t="shared" si="80"/>
        <v>24390.969076499998</v>
      </c>
      <c r="BA114" s="521">
        <f t="shared" si="81"/>
        <v>0</v>
      </c>
      <c r="BB114" s="519" t="e">
        <f t="shared" si="82"/>
        <v>#DIV/0!</v>
      </c>
      <c r="BC114" s="519"/>
      <c r="BD114" s="519">
        <f t="shared" si="83"/>
        <v>-20</v>
      </c>
      <c r="BE114" s="519">
        <f t="shared" si="50"/>
        <v>-20</v>
      </c>
      <c r="BF114" s="513" t="s">
        <v>1771</v>
      </c>
      <c r="BG114" s="514" t="s">
        <v>1771</v>
      </c>
      <c r="BH114" s="510" t="s">
        <v>1771</v>
      </c>
      <c r="BI114" s="628"/>
    </row>
    <row r="115" spans="1:61" s="523" customFormat="1" ht="132">
      <c r="A115" s="538" t="s">
        <v>5646</v>
      </c>
      <c r="B115" s="507" t="s">
        <v>3042</v>
      </c>
      <c r="C115" s="507" t="s">
        <v>3774</v>
      </c>
      <c r="D115" s="508" t="s">
        <v>5650</v>
      </c>
      <c r="E115" s="505" t="s">
        <v>5647</v>
      </c>
      <c r="F115" s="505" t="s">
        <v>5648</v>
      </c>
      <c r="G115" s="509" t="s">
        <v>5649</v>
      </c>
      <c r="H115" s="507" t="s">
        <v>5643</v>
      </c>
      <c r="I115" s="510" t="s">
        <v>1771</v>
      </c>
      <c r="J115" s="510">
        <v>1</v>
      </c>
      <c r="K115" s="507">
        <f>3+5+5+10+5+3+1+5+3</f>
        <v>40</v>
      </c>
      <c r="L115" s="507">
        <f>204.5+980.5+1050.5+1742+959+200.5+8.02+964.5+201.5</f>
        <v>6311.02</v>
      </c>
      <c r="M115" s="511">
        <v>44784</v>
      </c>
      <c r="N115" s="511">
        <v>44784</v>
      </c>
      <c r="O115" s="511">
        <v>44784</v>
      </c>
      <c r="P115" s="511">
        <v>44819</v>
      </c>
      <c r="Q115" s="511">
        <v>44823</v>
      </c>
      <c r="R115" s="512" t="s">
        <v>5800</v>
      </c>
      <c r="S115" s="515" t="s">
        <v>3752</v>
      </c>
      <c r="T115" s="510" t="s">
        <v>3128</v>
      </c>
      <c r="U115" s="516" t="s">
        <v>3031</v>
      </c>
      <c r="V115" s="359">
        <v>44810</v>
      </c>
      <c r="W115" s="510" t="s">
        <v>3337</v>
      </c>
      <c r="X115" s="510" t="s">
        <v>3341</v>
      </c>
      <c r="Y115" s="511">
        <v>44820</v>
      </c>
      <c r="Z115" s="510" t="s">
        <v>3252</v>
      </c>
      <c r="AA115" s="510" t="s">
        <v>3982</v>
      </c>
      <c r="AB115" s="510" t="s">
        <v>5779</v>
      </c>
      <c r="AC115" s="510" t="s">
        <v>2146</v>
      </c>
      <c r="AD115" s="511">
        <v>44820</v>
      </c>
      <c r="AE115" s="515">
        <v>5442.7100099999998</v>
      </c>
      <c r="AF115" s="507" t="s">
        <v>5448</v>
      </c>
      <c r="AG115" s="510" t="s">
        <v>3108</v>
      </c>
      <c r="AH115" s="517">
        <v>86256.21</v>
      </c>
      <c r="AI115" s="517">
        <v>11389</v>
      </c>
      <c r="AJ115" s="517">
        <v>9</v>
      </c>
      <c r="AK115" s="517">
        <f t="shared" si="88"/>
        <v>97654.21</v>
      </c>
      <c r="AL115" s="518">
        <v>5.2210999999999999</v>
      </c>
      <c r="AM115" s="519">
        <f t="shared" si="78"/>
        <v>509862.395831</v>
      </c>
      <c r="AN115" s="519">
        <v>0</v>
      </c>
      <c r="AO115" s="510">
        <v>11</v>
      </c>
      <c r="AP115" s="519">
        <v>37120.910000000003</v>
      </c>
      <c r="AQ115" s="519">
        <v>41526.639999999999</v>
      </c>
      <c r="AR115" s="519">
        <v>10707.1</v>
      </c>
      <c r="AS115" s="519">
        <v>49201.69</v>
      </c>
      <c r="AT115" s="519">
        <v>134360.18</v>
      </c>
      <c r="AU115" s="519">
        <v>4777.04</v>
      </c>
      <c r="AV115" s="519">
        <v>416.46</v>
      </c>
      <c r="AW115" s="510" t="s">
        <v>3139</v>
      </c>
      <c r="AX115" s="520">
        <f t="shared" si="79"/>
        <v>44823</v>
      </c>
      <c r="AY115" s="510"/>
      <c r="AZ115" s="519">
        <f t="shared" si="80"/>
        <v>764793.59374649997</v>
      </c>
      <c r="BA115" s="521">
        <f t="shared" si="81"/>
        <v>1</v>
      </c>
      <c r="BB115" s="519">
        <f t="shared" si="82"/>
        <v>764793.59374649997</v>
      </c>
      <c r="BC115" s="519"/>
      <c r="BD115" s="519">
        <f t="shared" si="83"/>
        <v>10</v>
      </c>
      <c r="BE115" s="519">
        <f t="shared" si="50"/>
        <v>10</v>
      </c>
      <c r="BF115" s="513" t="s">
        <v>1771</v>
      </c>
      <c r="BG115" s="514" t="s">
        <v>1771</v>
      </c>
      <c r="BH115" s="510" t="s">
        <v>1771</v>
      </c>
      <c r="BI115" s="628"/>
    </row>
    <row r="116" spans="1:61" s="523" customFormat="1" ht="132">
      <c r="A116" s="538" t="s">
        <v>5652</v>
      </c>
      <c r="B116" s="507" t="s">
        <v>3042</v>
      </c>
      <c r="C116" s="507" t="s">
        <v>3774</v>
      </c>
      <c r="D116" s="508" t="s">
        <v>5655</v>
      </c>
      <c r="E116" s="505" t="s">
        <v>5651</v>
      </c>
      <c r="F116" s="505" t="s">
        <v>5653</v>
      </c>
      <c r="G116" s="509" t="s">
        <v>5654</v>
      </c>
      <c r="H116" s="507" t="s">
        <v>5643</v>
      </c>
      <c r="I116" s="510">
        <v>1</v>
      </c>
      <c r="J116" s="510" t="s">
        <v>1771</v>
      </c>
      <c r="K116" s="507">
        <f>15+1+5</f>
        <v>21</v>
      </c>
      <c r="L116" s="507">
        <f>1898+91+634.5</f>
        <v>2623.5</v>
      </c>
      <c r="M116" s="511">
        <v>44783</v>
      </c>
      <c r="N116" s="511">
        <v>44784</v>
      </c>
      <c r="O116" s="511">
        <v>44784</v>
      </c>
      <c r="P116" s="511">
        <v>44819</v>
      </c>
      <c r="Q116" s="511">
        <v>44823</v>
      </c>
      <c r="R116" s="512" t="s">
        <v>5801</v>
      </c>
      <c r="S116" s="515" t="s">
        <v>3752</v>
      </c>
      <c r="T116" s="510" t="s">
        <v>3128</v>
      </c>
      <c r="U116" s="516" t="s">
        <v>3031</v>
      </c>
      <c r="V116" s="359">
        <v>44810</v>
      </c>
      <c r="W116" s="510" t="s">
        <v>3337</v>
      </c>
      <c r="X116" s="510" t="s">
        <v>3341</v>
      </c>
      <c r="Y116" s="511">
        <v>44820</v>
      </c>
      <c r="Z116" s="510" t="s">
        <v>3252</v>
      </c>
      <c r="AA116" s="510" t="s">
        <v>3982</v>
      </c>
      <c r="AB116" s="510" t="s">
        <v>5778</v>
      </c>
      <c r="AC116" s="510" t="s">
        <v>2146</v>
      </c>
      <c r="AD116" s="511">
        <v>44820</v>
      </c>
      <c r="AE116" s="515">
        <v>2372.5</v>
      </c>
      <c r="AF116" s="507" t="s">
        <v>3238</v>
      </c>
      <c r="AG116" s="510" t="s">
        <v>3108</v>
      </c>
      <c r="AH116" s="517">
        <v>32671.82</v>
      </c>
      <c r="AI116" s="517">
        <v>10550</v>
      </c>
      <c r="AJ116" s="517">
        <v>3</v>
      </c>
      <c r="AK116" s="517">
        <f t="shared" si="88"/>
        <v>43224.82</v>
      </c>
      <c r="AL116" s="518">
        <v>5.2210999999999999</v>
      </c>
      <c r="AM116" s="519">
        <f t="shared" si="78"/>
        <v>225681.10770199998</v>
      </c>
      <c r="AN116" s="519">
        <v>0</v>
      </c>
      <c r="AO116" s="510">
        <v>3</v>
      </c>
      <c r="AP116" s="519">
        <v>16249.03</v>
      </c>
      <c r="AQ116" s="519">
        <v>18144.740000000002</v>
      </c>
      <c r="AR116" s="519">
        <v>4739.3</v>
      </c>
      <c r="AS116" s="519">
        <v>21778.22</v>
      </c>
      <c r="AT116" s="519">
        <v>59948.29</v>
      </c>
      <c r="AU116" s="519">
        <v>4426.6000000000004</v>
      </c>
      <c r="AV116" s="519">
        <v>223.64</v>
      </c>
      <c r="AW116" s="510" t="s">
        <v>3139</v>
      </c>
      <c r="AX116" s="520">
        <f t="shared" si="79"/>
        <v>44823</v>
      </c>
      <c r="AY116" s="510"/>
      <c r="AZ116" s="519">
        <f t="shared" si="80"/>
        <v>338521.66155299998</v>
      </c>
      <c r="BA116" s="521">
        <f t="shared" si="81"/>
        <v>1</v>
      </c>
      <c r="BB116" s="519">
        <f t="shared" si="82"/>
        <v>338521.66155299998</v>
      </c>
      <c r="BC116" s="519"/>
      <c r="BD116" s="519">
        <f t="shared" si="83"/>
        <v>-70</v>
      </c>
      <c r="BE116" s="519">
        <f t="shared" si="50"/>
        <v>-70</v>
      </c>
      <c r="BF116" s="513" t="s">
        <v>1771</v>
      </c>
      <c r="BG116" s="514" t="s">
        <v>1771</v>
      </c>
      <c r="BH116" s="510" t="s">
        <v>1771</v>
      </c>
      <c r="BI116" s="628"/>
    </row>
    <row r="117" spans="1:61" s="523" customFormat="1" ht="120">
      <c r="A117" s="538" t="s">
        <v>5663</v>
      </c>
      <c r="B117" s="507" t="s">
        <v>3042</v>
      </c>
      <c r="C117" s="507" t="s">
        <v>3774</v>
      </c>
      <c r="D117" s="508" t="s">
        <v>5666</v>
      </c>
      <c r="E117" s="505" t="s">
        <v>5664</v>
      </c>
      <c r="F117" s="505" t="s">
        <v>5665</v>
      </c>
      <c r="G117" s="509" t="s">
        <v>5682</v>
      </c>
      <c r="H117" s="507" t="s">
        <v>5680</v>
      </c>
      <c r="I117" s="510" t="s">
        <v>1771</v>
      </c>
      <c r="J117" s="510">
        <v>1</v>
      </c>
      <c r="K117" s="507">
        <f>15+5+2+11</f>
        <v>33</v>
      </c>
      <c r="L117" s="507">
        <f>2123+700.5+189+818.5</f>
        <v>3831</v>
      </c>
      <c r="M117" s="511">
        <v>44789</v>
      </c>
      <c r="N117" s="511">
        <v>44795</v>
      </c>
      <c r="O117" s="511">
        <v>44795</v>
      </c>
      <c r="P117" s="511">
        <v>44831</v>
      </c>
      <c r="Q117" s="511">
        <v>44837</v>
      </c>
      <c r="R117" s="512" t="s">
        <v>5834</v>
      </c>
      <c r="S117" s="515" t="s">
        <v>3752</v>
      </c>
      <c r="T117" s="510" t="s">
        <v>3681</v>
      </c>
      <c r="U117" s="516" t="s">
        <v>3031</v>
      </c>
      <c r="V117" s="511">
        <v>44824</v>
      </c>
      <c r="W117" s="510" t="s">
        <v>3147</v>
      </c>
      <c r="X117" s="510" t="s">
        <v>3147</v>
      </c>
      <c r="Y117" s="511">
        <v>44833</v>
      </c>
      <c r="Z117" s="510" t="s">
        <v>3252</v>
      </c>
      <c r="AA117" s="510" t="s">
        <v>3982</v>
      </c>
      <c r="AB117" s="510" t="s">
        <v>5807</v>
      </c>
      <c r="AC117" s="510" t="s">
        <v>2146</v>
      </c>
      <c r="AD117" s="511">
        <v>44833</v>
      </c>
      <c r="AE117" s="515">
        <v>3080</v>
      </c>
      <c r="AF117" s="507" t="s">
        <v>5448</v>
      </c>
      <c r="AG117" s="510" t="s">
        <v>3108</v>
      </c>
      <c r="AH117" s="517">
        <v>9820.51</v>
      </c>
      <c r="AI117" s="517">
        <v>11389</v>
      </c>
      <c r="AJ117" s="517">
        <v>4</v>
      </c>
      <c r="AK117" s="517">
        <f t="shared" ref="AK117:AK122" si="89">SUM(AH117:AJ117)</f>
        <v>21213.510000000002</v>
      </c>
      <c r="AL117" s="518">
        <v>5.3593999999999999</v>
      </c>
      <c r="AM117" s="519">
        <f t="shared" si="78"/>
        <v>113691.685494</v>
      </c>
      <c r="AN117" s="519">
        <v>0</v>
      </c>
      <c r="AO117" s="510">
        <v>4</v>
      </c>
      <c r="AP117" s="519">
        <v>8865.59</v>
      </c>
      <c r="AQ117" s="519">
        <v>10218.719999999999</v>
      </c>
      <c r="AR117" s="519">
        <v>2387.52</v>
      </c>
      <c r="AS117" s="519">
        <v>10971.24</v>
      </c>
      <c r="AT117" s="519">
        <v>30967.34</v>
      </c>
      <c r="AU117" s="519">
        <v>4903.05</v>
      </c>
      <c r="AV117" s="519">
        <v>254.49</v>
      </c>
      <c r="AW117" s="510" t="s">
        <v>3139</v>
      </c>
      <c r="AX117" s="520">
        <f t="shared" si="79"/>
        <v>44837</v>
      </c>
      <c r="AY117" s="510"/>
      <c r="AZ117" s="519">
        <f t="shared" si="80"/>
        <v>170537.52824100002</v>
      </c>
      <c r="BA117" s="521">
        <f t="shared" si="81"/>
        <v>1</v>
      </c>
      <c r="BB117" s="519">
        <f t="shared" si="82"/>
        <v>170537.52824100002</v>
      </c>
      <c r="BC117" s="519"/>
      <c r="BD117" s="519">
        <f t="shared" si="83"/>
        <v>-60</v>
      </c>
      <c r="BE117" s="519">
        <f t="shared" si="50"/>
        <v>-60</v>
      </c>
      <c r="BF117" s="513" t="s">
        <v>1771</v>
      </c>
      <c r="BG117" s="514" t="s">
        <v>1771</v>
      </c>
      <c r="BH117" s="510" t="s">
        <v>1771</v>
      </c>
      <c r="BI117" s="628"/>
    </row>
    <row r="118" spans="1:61" s="523" customFormat="1" ht="120">
      <c r="A118" s="538" t="s">
        <v>5673</v>
      </c>
      <c r="B118" s="507" t="s">
        <v>3042</v>
      </c>
      <c r="C118" s="507" t="s">
        <v>3774</v>
      </c>
      <c r="D118" s="508" t="s">
        <v>5655</v>
      </c>
      <c r="E118" s="505" t="s">
        <v>5676</v>
      </c>
      <c r="F118" s="505" t="s">
        <v>5677</v>
      </c>
      <c r="G118" s="509" t="s">
        <v>5681</v>
      </c>
      <c r="H118" s="507" t="s">
        <v>5680</v>
      </c>
      <c r="I118" s="724" t="s">
        <v>1771</v>
      </c>
      <c r="J118" s="724">
        <v>1</v>
      </c>
      <c r="K118" s="507">
        <f>1+15+15+15</f>
        <v>46</v>
      </c>
      <c r="L118" s="507">
        <f>30.48+1894+2127.5+2115.5</f>
        <v>6167.48</v>
      </c>
      <c r="M118" s="511">
        <v>44789</v>
      </c>
      <c r="N118" s="511">
        <v>44788</v>
      </c>
      <c r="O118" s="511">
        <v>44788</v>
      </c>
      <c r="P118" s="511">
        <v>44831</v>
      </c>
      <c r="Q118" s="511">
        <v>44837</v>
      </c>
      <c r="R118" s="512" t="s">
        <v>5835</v>
      </c>
      <c r="S118" s="515" t="s">
        <v>3752</v>
      </c>
      <c r="T118" s="510" t="s">
        <v>3681</v>
      </c>
      <c r="U118" s="516" t="s">
        <v>3031</v>
      </c>
      <c r="V118" s="511">
        <v>44824</v>
      </c>
      <c r="W118" s="510" t="s">
        <v>3147</v>
      </c>
      <c r="X118" s="510" t="s">
        <v>3147</v>
      </c>
      <c r="Y118" s="511">
        <v>44833</v>
      </c>
      <c r="Z118" s="510" t="s">
        <v>3252</v>
      </c>
      <c r="AA118" s="510" t="s">
        <v>3982</v>
      </c>
      <c r="AB118" s="510" t="s">
        <v>5808</v>
      </c>
      <c r="AC118" s="510" t="s">
        <v>2146</v>
      </c>
      <c r="AD118" s="511">
        <v>44833</v>
      </c>
      <c r="AE118" s="515">
        <v>5303.71</v>
      </c>
      <c r="AF118" s="507" t="s">
        <v>3238</v>
      </c>
      <c r="AG118" s="510" t="s">
        <v>3108</v>
      </c>
      <c r="AH118" s="517">
        <v>47814.879999999997</v>
      </c>
      <c r="AI118" s="517">
        <v>11161.22</v>
      </c>
      <c r="AJ118" s="517">
        <v>4</v>
      </c>
      <c r="AK118" s="517">
        <f t="shared" si="89"/>
        <v>58980.1</v>
      </c>
      <c r="AL118" s="518">
        <v>5.3593999999999999</v>
      </c>
      <c r="AM118" s="519">
        <f t="shared" si="78"/>
        <v>316097.94793999998</v>
      </c>
      <c r="AN118" s="519">
        <v>0</v>
      </c>
      <c r="AO118" s="510">
        <v>3</v>
      </c>
      <c r="AP118" s="519">
        <v>22759.05</v>
      </c>
      <c r="AQ118" s="519">
        <v>25414.25</v>
      </c>
      <c r="AR118" s="519">
        <v>6638.05</v>
      </c>
      <c r="AS118" s="519">
        <v>30503.439999999999</v>
      </c>
      <c r="AT118" s="519">
        <v>83640.179999999993</v>
      </c>
      <c r="AU118" s="519">
        <v>4805.3900000000003</v>
      </c>
      <c r="AV118" s="519">
        <v>223.64</v>
      </c>
      <c r="AW118" s="510" t="s">
        <v>3139</v>
      </c>
      <c r="AX118" s="520">
        <f t="shared" si="79"/>
        <v>44837</v>
      </c>
      <c r="AY118" s="510"/>
      <c r="AZ118" s="519">
        <f t="shared" si="80"/>
        <v>474146.92190999998</v>
      </c>
      <c r="BA118" s="521">
        <f t="shared" si="81"/>
        <v>1</v>
      </c>
      <c r="BB118" s="519">
        <f t="shared" si="82"/>
        <v>474146.92190999998</v>
      </c>
      <c r="BC118" s="519"/>
      <c r="BD118" s="519">
        <f t="shared" si="83"/>
        <v>-70</v>
      </c>
      <c r="BE118" s="519">
        <f t="shared" si="50"/>
        <v>-70</v>
      </c>
      <c r="BF118" s="513" t="s">
        <v>1771</v>
      </c>
      <c r="BG118" s="514" t="s">
        <v>1771</v>
      </c>
      <c r="BH118" s="510" t="s">
        <v>1771</v>
      </c>
      <c r="BI118" s="628"/>
    </row>
    <row r="119" spans="1:61" s="523" customFormat="1" ht="120">
      <c r="A119" s="538" t="s">
        <v>5674</v>
      </c>
      <c r="B119" s="507" t="s">
        <v>3042</v>
      </c>
      <c r="C119" s="507" t="s">
        <v>3774</v>
      </c>
      <c r="D119" s="508">
        <v>4800017497</v>
      </c>
      <c r="E119" s="505" t="s">
        <v>5675</v>
      </c>
      <c r="F119" s="505" t="s">
        <v>5678</v>
      </c>
      <c r="G119" s="509" t="s">
        <v>5679</v>
      </c>
      <c r="H119" s="507" t="s">
        <v>5680</v>
      </c>
      <c r="I119" s="725"/>
      <c r="J119" s="725"/>
      <c r="K119" s="507">
        <v>4</v>
      </c>
      <c r="L119" s="507">
        <v>114.89</v>
      </c>
      <c r="M119" s="511">
        <v>44789</v>
      </c>
      <c r="N119" s="511">
        <v>44788</v>
      </c>
      <c r="O119" s="511">
        <v>44788</v>
      </c>
      <c r="P119" s="511">
        <v>44831</v>
      </c>
      <c r="Q119" s="511">
        <v>44837</v>
      </c>
      <c r="R119" s="512" t="s">
        <v>5836</v>
      </c>
      <c r="S119" s="515" t="s">
        <v>3752</v>
      </c>
      <c r="T119" s="510" t="s">
        <v>3681</v>
      </c>
      <c r="U119" s="516" t="s">
        <v>3031</v>
      </c>
      <c r="V119" s="511">
        <v>44824</v>
      </c>
      <c r="W119" s="510" t="s">
        <v>3147</v>
      </c>
      <c r="X119" s="510" t="s">
        <v>3147</v>
      </c>
      <c r="Y119" s="511">
        <v>44833</v>
      </c>
      <c r="Z119" s="510" t="s">
        <v>3252</v>
      </c>
      <c r="AA119" s="510" t="s">
        <v>3982</v>
      </c>
      <c r="AB119" s="510" t="s">
        <v>5809</v>
      </c>
      <c r="AC119" s="510" t="s">
        <v>2146</v>
      </c>
      <c r="AD119" s="511">
        <v>44833</v>
      </c>
      <c r="AE119" s="510">
        <v>74.709999999999994</v>
      </c>
      <c r="AF119" s="507" t="s">
        <v>3460</v>
      </c>
      <c r="AG119" s="510" t="s">
        <v>3108</v>
      </c>
      <c r="AH119" s="517">
        <v>14021.4</v>
      </c>
      <c r="AI119" s="517">
        <v>227.78</v>
      </c>
      <c r="AJ119" s="517">
        <v>1</v>
      </c>
      <c r="AK119" s="517">
        <f t="shared" si="89"/>
        <v>14250.18</v>
      </c>
      <c r="AL119" s="518">
        <v>5.3593999999999999</v>
      </c>
      <c r="AM119" s="519">
        <f t="shared" si="78"/>
        <v>76372.414692000006</v>
      </c>
      <c r="AN119" s="519">
        <v>0</v>
      </c>
      <c r="AO119" s="510">
        <v>2</v>
      </c>
      <c r="AP119" s="519">
        <v>7271.13</v>
      </c>
      <c r="AQ119" s="519">
        <v>12198.68</v>
      </c>
      <c r="AR119" s="519">
        <v>1603.82</v>
      </c>
      <c r="AS119" s="519">
        <v>7369.94</v>
      </c>
      <c r="AT119" s="519">
        <v>14556.34</v>
      </c>
      <c r="AU119" s="519">
        <v>117.66</v>
      </c>
      <c r="AV119" s="519">
        <v>192.79</v>
      </c>
      <c r="AW119" s="510" t="s">
        <v>3139</v>
      </c>
      <c r="AX119" s="520">
        <f t="shared" si="79"/>
        <v>44837</v>
      </c>
      <c r="AY119" s="510"/>
      <c r="AZ119" s="519">
        <f t="shared" si="80"/>
        <v>114558.622038</v>
      </c>
      <c r="BA119" s="521">
        <f t="shared" si="81"/>
        <v>0</v>
      </c>
      <c r="BB119" s="519" t="e">
        <f t="shared" si="82"/>
        <v>#DIV/0!</v>
      </c>
      <c r="BC119" s="519"/>
      <c r="BD119" s="519">
        <f t="shared" si="83"/>
        <v>-80</v>
      </c>
      <c r="BE119" s="519">
        <f t="shared" si="50"/>
        <v>-80</v>
      </c>
      <c r="BF119" s="513" t="s">
        <v>1771</v>
      </c>
      <c r="BG119" s="514" t="s">
        <v>1771</v>
      </c>
      <c r="BH119" s="510" t="s">
        <v>1771</v>
      </c>
      <c r="BI119" s="628"/>
    </row>
    <row r="120" spans="1:61" s="523" customFormat="1" ht="120">
      <c r="A120" s="538" t="s">
        <v>5693</v>
      </c>
      <c r="B120" s="507" t="s">
        <v>3042</v>
      </c>
      <c r="C120" s="507" t="s">
        <v>5694</v>
      </c>
      <c r="D120" s="508" t="s">
        <v>5697</v>
      </c>
      <c r="E120" s="505" t="s">
        <v>5692</v>
      </c>
      <c r="F120" s="505" t="s">
        <v>5695</v>
      </c>
      <c r="G120" s="509" t="s">
        <v>5696</v>
      </c>
      <c r="H120" s="507" t="s">
        <v>5680</v>
      </c>
      <c r="I120" s="510">
        <v>1</v>
      </c>
      <c r="J120" s="510" t="s">
        <v>1771</v>
      </c>
      <c r="K120" s="507">
        <f>1+2+1+1+1+1+20</f>
        <v>27</v>
      </c>
      <c r="L120" s="507">
        <f>1.84+185.36+8.03+92.5+14.01+1.78+2576.5</f>
        <v>2880.02</v>
      </c>
      <c r="M120" s="511">
        <v>44796</v>
      </c>
      <c r="N120" s="511">
        <v>44799</v>
      </c>
      <c r="O120" s="511">
        <v>44799</v>
      </c>
      <c r="P120" s="511">
        <v>44831</v>
      </c>
      <c r="Q120" s="511">
        <v>44837</v>
      </c>
      <c r="R120" s="512" t="s">
        <v>5837</v>
      </c>
      <c r="S120" s="515" t="s">
        <v>3752</v>
      </c>
      <c r="T120" s="510" t="s">
        <v>3681</v>
      </c>
      <c r="U120" s="516" t="s">
        <v>3031</v>
      </c>
      <c r="V120" s="511">
        <v>44824</v>
      </c>
      <c r="W120" s="510" t="s">
        <v>3147</v>
      </c>
      <c r="X120" s="510" t="s">
        <v>3147</v>
      </c>
      <c r="Y120" s="511">
        <v>44833</v>
      </c>
      <c r="Z120" s="510" t="s">
        <v>3252</v>
      </c>
      <c r="AA120" s="510" t="s">
        <v>3982</v>
      </c>
      <c r="AB120" s="510" t="s">
        <v>5810</v>
      </c>
      <c r="AC120" s="510" t="s">
        <v>2146</v>
      </c>
      <c r="AD120" s="511">
        <v>44833</v>
      </c>
      <c r="AE120" s="515">
        <v>2645.39</v>
      </c>
      <c r="AF120" s="507" t="s">
        <v>5448</v>
      </c>
      <c r="AG120" s="510" t="s">
        <v>3108</v>
      </c>
      <c r="AH120" s="517">
        <v>13366.53</v>
      </c>
      <c r="AI120" s="517">
        <v>10550</v>
      </c>
      <c r="AJ120" s="517">
        <v>7</v>
      </c>
      <c r="AK120" s="517">
        <f t="shared" si="89"/>
        <v>23923.53</v>
      </c>
      <c r="AL120" s="518">
        <v>5.3593999999999999</v>
      </c>
      <c r="AM120" s="519">
        <f t="shared" si="78"/>
        <v>128215.76668199999</v>
      </c>
      <c r="AN120" s="519">
        <v>0</v>
      </c>
      <c r="AO120" s="510">
        <v>8</v>
      </c>
      <c r="AP120" s="519">
        <v>9401.64</v>
      </c>
      <c r="AQ120" s="519">
        <v>10389.17</v>
      </c>
      <c r="AR120" s="519">
        <v>2692.54</v>
      </c>
      <c r="AS120" s="519">
        <v>12372.81</v>
      </c>
      <c r="AT120" s="519">
        <v>34590.89</v>
      </c>
      <c r="AU120" s="519">
        <v>4543.33</v>
      </c>
      <c r="AV120" s="519">
        <v>354.76</v>
      </c>
      <c r="AW120" s="510" t="s">
        <v>3139</v>
      </c>
      <c r="AX120" s="520">
        <f t="shared" si="79"/>
        <v>44837</v>
      </c>
      <c r="AY120" s="510"/>
      <c r="AZ120" s="519">
        <f t="shared" si="80"/>
        <v>192323.65002299997</v>
      </c>
      <c r="BA120" s="521">
        <f t="shared" si="81"/>
        <v>1</v>
      </c>
      <c r="BB120" s="519">
        <f t="shared" si="82"/>
        <v>192323.65002299997</v>
      </c>
      <c r="BC120" s="519"/>
      <c r="BD120" s="519">
        <f t="shared" si="83"/>
        <v>-20</v>
      </c>
      <c r="BE120" s="519">
        <f t="shared" si="50"/>
        <v>-20</v>
      </c>
      <c r="BF120" s="513" t="s">
        <v>1771</v>
      </c>
      <c r="BG120" s="514" t="s">
        <v>1771</v>
      </c>
      <c r="BH120" s="510" t="s">
        <v>1771</v>
      </c>
      <c r="BI120" s="628"/>
    </row>
    <row r="121" spans="1:61" s="523" customFormat="1" ht="120">
      <c r="A121" s="538" t="s">
        <v>5698</v>
      </c>
      <c r="B121" s="507" t="s">
        <v>3042</v>
      </c>
      <c r="C121" s="507" t="s">
        <v>5694</v>
      </c>
      <c r="D121" s="508" t="s">
        <v>5704</v>
      </c>
      <c r="E121" s="505" t="s">
        <v>5699</v>
      </c>
      <c r="F121" s="505" t="s">
        <v>5700</v>
      </c>
      <c r="G121" s="509" t="s">
        <v>5706</v>
      </c>
      <c r="H121" s="507" t="s">
        <v>5680</v>
      </c>
      <c r="I121" s="724" t="s">
        <v>1771</v>
      </c>
      <c r="J121" s="724">
        <v>1</v>
      </c>
      <c r="K121" s="507">
        <f>4+13</f>
        <v>17</v>
      </c>
      <c r="L121" s="507">
        <f>17.41+308.36</f>
        <v>325.77000000000004</v>
      </c>
      <c r="M121" s="511">
        <v>44796</v>
      </c>
      <c r="N121" s="511">
        <v>44795</v>
      </c>
      <c r="O121" s="511">
        <v>44795</v>
      </c>
      <c r="P121" s="511">
        <v>44831</v>
      </c>
      <c r="Q121" s="511">
        <v>44837</v>
      </c>
      <c r="R121" s="512" t="s">
        <v>5838</v>
      </c>
      <c r="S121" s="515" t="s">
        <v>3752</v>
      </c>
      <c r="T121" s="510" t="s">
        <v>3681</v>
      </c>
      <c r="U121" s="516" t="s">
        <v>3031</v>
      </c>
      <c r="V121" s="511">
        <v>44824</v>
      </c>
      <c r="W121" s="510" t="s">
        <v>3147</v>
      </c>
      <c r="X121" s="510" t="s">
        <v>3147</v>
      </c>
      <c r="Y121" s="511">
        <v>44833</v>
      </c>
      <c r="Z121" s="510" t="s">
        <v>3252</v>
      </c>
      <c r="AA121" s="510" t="s">
        <v>3982</v>
      </c>
      <c r="AB121" s="510" t="s">
        <v>5811</v>
      </c>
      <c r="AC121" s="510" t="s">
        <v>2146</v>
      </c>
      <c r="AD121" s="511">
        <v>44833</v>
      </c>
      <c r="AE121" s="510">
        <v>189.78</v>
      </c>
      <c r="AF121" s="507" t="s">
        <v>3460</v>
      </c>
      <c r="AG121" s="510" t="s">
        <v>3108</v>
      </c>
      <c r="AH121" s="517">
        <v>7121.49</v>
      </c>
      <c r="AI121" s="517">
        <v>683.34</v>
      </c>
      <c r="AJ121" s="517">
        <v>2</v>
      </c>
      <c r="AK121" s="517">
        <f t="shared" si="89"/>
        <v>7806.83</v>
      </c>
      <c r="AL121" s="518">
        <v>5.3593999999999999</v>
      </c>
      <c r="AM121" s="519">
        <f t="shared" si="78"/>
        <v>41839.924701999997</v>
      </c>
      <c r="AN121" s="519">
        <v>0</v>
      </c>
      <c r="AO121" s="510">
        <v>7</v>
      </c>
      <c r="AP121" s="519">
        <v>3951.3</v>
      </c>
      <c r="AQ121" s="519">
        <v>4207.46</v>
      </c>
      <c r="AR121" s="519">
        <v>878.63</v>
      </c>
      <c r="AS121" s="519">
        <v>4125.04</v>
      </c>
      <c r="AT121" s="519">
        <v>9802.99</v>
      </c>
      <c r="AU121" s="519">
        <v>312.98</v>
      </c>
      <c r="AV121" s="519">
        <v>331.62</v>
      </c>
      <c r="AW121" s="510" t="s">
        <v>3139</v>
      </c>
      <c r="AX121" s="520">
        <f t="shared" si="79"/>
        <v>44837</v>
      </c>
      <c r="AY121" s="510"/>
      <c r="AZ121" s="519">
        <f t="shared" si="80"/>
        <v>62759.887052999999</v>
      </c>
      <c r="BA121" s="521">
        <f t="shared" si="81"/>
        <v>1</v>
      </c>
      <c r="BB121" s="519">
        <f t="shared" si="82"/>
        <v>62759.887052999999</v>
      </c>
      <c r="BC121" s="519"/>
      <c r="BD121" s="519">
        <f t="shared" si="83"/>
        <v>-30</v>
      </c>
      <c r="BE121" s="519">
        <f t="shared" si="50"/>
        <v>-30</v>
      </c>
      <c r="BF121" s="513" t="s">
        <v>1771</v>
      </c>
      <c r="BG121" s="514" t="s">
        <v>1771</v>
      </c>
      <c r="BH121" s="510" t="s">
        <v>1771</v>
      </c>
      <c r="BI121" s="628"/>
    </row>
    <row r="122" spans="1:61" s="523" customFormat="1" ht="120">
      <c r="A122" s="538" t="s">
        <v>5701</v>
      </c>
      <c r="B122" s="507" t="s">
        <v>3042</v>
      </c>
      <c r="C122" s="507" t="s">
        <v>5694</v>
      </c>
      <c r="D122" s="508">
        <v>4800017476</v>
      </c>
      <c r="E122" s="505" t="s">
        <v>5702</v>
      </c>
      <c r="F122" s="505" t="s">
        <v>5703</v>
      </c>
      <c r="G122" s="509" t="s">
        <v>5705</v>
      </c>
      <c r="H122" s="507" t="s">
        <v>5680</v>
      </c>
      <c r="I122" s="725"/>
      <c r="J122" s="725"/>
      <c r="K122" s="507">
        <f>5+5+5+4+4+5+5+5</f>
        <v>38</v>
      </c>
      <c r="L122" s="507">
        <f>964.5+963.5+965+656.5+780.5+964.5+957+965.5</f>
        <v>7217</v>
      </c>
      <c r="M122" s="511">
        <v>44796</v>
      </c>
      <c r="N122" s="511">
        <v>44795</v>
      </c>
      <c r="O122" s="511">
        <v>44795</v>
      </c>
      <c r="P122" s="511">
        <v>44831</v>
      </c>
      <c r="Q122" s="511">
        <v>44837</v>
      </c>
      <c r="R122" s="512" t="s">
        <v>5839</v>
      </c>
      <c r="S122" s="515" t="s">
        <v>3752</v>
      </c>
      <c r="T122" s="510" t="s">
        <v>3681</v>
      </c>
      <c r="U122" s="516" t="s">
        <v>3031</v>
      </c>
      <c r="V122" s="511">
        <v>44824</v>
      </c>
      <c r="W122" s="510" t="s">
        <v>3147</v>
      </c>
      <c r="X122" s="510" t="s">
        <v>3147</v>
      </c>
      <c r="Y122" s="511">
        <v>44833</v>
      </c>
      <c r="Z122" s="510" t="s">
        <v>3252</v>
      </c>
      <c r="AA122" s="510" t="s">
        <v>3982</v>
      </c>
      <c r="AB122" s="510" t="s">
        <v>5806</v>
      </c>
      <c r="AC122" s="510" t="s">
        <v>2146</v>
      </c>
      <c r="AD122" s="511">
        <v>44833</v>
      </c>
      <c r="AE122" s="515">
        <v>6300</v>
      </c>
      <c r="AF122" s="507" t="s">
        <v>4631</v>
      </c>
      <c r="AG122" s="510" t="s">
        <v>3108</v>
      </c>
      <c r="AH122" s="517">
        <v>145169.32</v>
      </c>
      <c r="AI122" s="517">
        <v>10705.66</v>
      </c>
      <c r="AJ122" s="517">
        <v>8</v>
      </c>
      <c r="AK122" s="517">
        <f t="shared" si="89"/>
        <v>155882.98000000001</v>
      </c>
      <c r="AL122" s="518">
        <v>5.3593999999999999</v>
      </c>
      <c r="AM122" s="519">
        <f t="shared" si="78"/>
        <v>835439.24301199999</v>
      </c>
      <c r="AN122" s="519">
        <v>0</v>
      </c>
      <c r="AO122" s="510">
        <v>4</v>
      </c>
      <c r="AP122" s="519">
        <v>60151.62</v>
      </c>
      <c r="AQ122" s="519">
        <v>67169.27</v>
      </c>
      <c r="AR122" s="519">
        <v>17544.23</v>
      </c>
      <c r="AS122" s="519">
        <v>80619.87</v>
      </c>
      <c r="AT122" s="519">
        <v>219209.12</v>
      </c>
      <c r="AU122" s="519">
        <v>4610.07</v>
      </c>
      <c r="AV122" s="519">
        <v>254.49</v>
      </c>
      <c r="AW122" s="510" t="s">
        <v>3139</v>
      </c>
      <c r="AX122" s="520">
        <f t="shared" si="79"/>
        <v>44837</v>
      </c>
      <c r="AY122" s="510"/>
      <c r="AZ122" s="519">
        <f t="shared" si="80"/>
        <v>1253158.864518</v>
      </c>
      <c r="BA122" s="521">
        <f t="shared" si="81"/>
        <v>0</v>
      </c>
      <c r="BB122" s="519" t="e">
        <f t="shared" si="82"/>
        <v>#DIV/0!</v>
      </c>
      <c r="BC122" s="519"/>
      <c r="BD122" s="519">
        <f t="shared" si="83"/>
        <v>-60</v>
      </c>
      <c r="BE122" s="519">
        <f t="shared" si="50"/>
        <v>-60</v>
      </c>
      <c r="BF122" s="513" t="s">
        <v>1771</v>
      </c>
      <c r="BG122" s="514" t="s">
        <v>1771</v>
      </c>
      <c r="BH122" s="510" t="s">
        <v>1771</v>
      </c>
      <c r="BI122" s="628"/>
    </row>
    <row r="123" spans="1:61" s="523" customFormat="1" ht="132">
      <c r="A123" s="538" t="s">
        <v>5709</v>
      </c>
      <c r="B123" s="507" t="s">
        <v>3042</v>
      </c>
      <c r="C123" s="507" t="s">
        <v>5694</v>
      </c>
      <c r="D123" s="635">
        <v>4800017476</v>
      </c>
      <c r="E123" s="634" t="s">
        <v>5718</v>
      </c>
      <c r="F123" s="634" t="s">
        <v>5719</v>
      </c>
      <c r="G123" s="636" t="s">
        <v>5728</v>
      </c>
      <c r="H123" s="634" t="s">
        <v>5729</v>
      </c>
      <c r="I123" s="729">
        <v>1</v>
      </c>
      <c r="J123" s="729" t="s">
        <v>1771</v>
      </c>
      <c r="K123" s="634">
        <f>8+8</f>
        <v>16</v>
      </c>
      <c r="L123" s="634">
        <f>1157.5+1119.5</f>
        <v>2277</v>
      </c>
      <c r="M123" s="637">
        <v>44803</v>
      </c>
      <c r="N123" s="637">
        <v>44808</v>
      </c>
      <c r="O123" s="637">
        <v>44808</v>
      </c>
      <c r="P123" s="637">
        <v>44841</v>
      </c>
      <c r="Q123" s="637">
        <v>44847</v>
      </c>
      <c r="R123" s="512" t="s">
        <v>5857</v>
      </c>
      <c r="S123" s="638" t="s">
        <v>3752</v>
      </c>
      <c r="T123" s="639" t="s">
        <v>3681</v>
      </c>
      <c r="U123" s="640" t="s">
        <v>3031</v>
      </c>
      <c r="V123" s="511">
        <v>44831</v>
      </c>
      <c r="W123" s="639" t="s">
        <v>3147</v>
      </c>
      <c r="X123" s="639" t="s">
        <v>3147</v>
      </c>
      <c r="Y123" s="637">
        <v>44844</v>
      </c>
      <c r="Z123" s="639" t="s">
        <v>3252</v>
      </c>
      <c r="AA123" s="639" t="s">
        <v>3982</v>
      </c>
      <c r="AB123" s="639" t="s">
        <v>5856</v>
      </c>
      <c r="AC123" s="639" t="s">
        <v>2146</v>
      </c>
      <c r="AD123" s="637">
        <v>44845</v>
      </c>
      <c r="AE123" s="638">
        <v>1925</v>
      </c>
      <c r="AF123" s="634" t="s">
        <v>5725</v>
      </c>
      <c r="AG123" s="639" t="s">
        <v>3108</v>
      </c>
      <c r="AH123" s="641">
        <v>4952.6400000000003</v>
      </c>
      <c r="AI123" s="641">
        <v>8756.5</v>
      </c>
      <c r="AJ123" s="517">
        <v>2</v>
      </c>
      <c r="AK123" s="517">
        <f t="shared" ref="AK123:AK129" si="90">SUM(AH123:AJ123)</f>
        <v>13711.14</v>
      </c>
      <c r="AL123" s="518">
        <v>5.1940999999999997</v>
      </c>
      <c r="AM123" s="519">
        <f t="shared" si="78"/>
        <v>71217.032273999997</v>
      </c>
      <c r="AN123" s="519">
        <v>0</v>
      </c>
      <c r="AO123" s="510">
        <v>1</v>
      </c>
      <c r="AP123" s="519">
        <v>5127.63</v>
      </c>
      <c r="AQ123" s="519">
        <v>5725.85</v>
      </c>
      <c r="AR123" s="519">
        <v>1495.56</v>
      </c>
      <c r="AS123" s="519">
        <v>6872.45</v>
      </c>
      <c r="AT123" s="519">
        <v>19436.75</v>
      </c>
      <c r="AU123" s="519">
        <v>3678.18</v>
      </c>
      <c r="AV123" s="519">
        <v>154.22999999999999</v>
      </c>
      <c r="AW123" s="510" t="s">
        <v>3139</v>
      </c>
      <c r="AX123" s="520">
        <f t="shared" si="79"/>
        <v>44847</v>
      </c>
      <c r="AY123" s="510"/>
      <c r="AZ123" s="519">
        <f t="shared" si="80"/>
        <v>106825.548411</v>
      </c>
      <c r="BA123" s="521">
        <f t="shared" si="81"/>
        <v>1</v>
      </c>
      <c r="BB123" s="519">
        <f t="shared" si="82"/>
        <v>106825.548411</v>
      </c>
      <c r="BC123" s="519"/>
      <c r="BD123" s="519">
        <f t="shared" si="83"/>
        <v>-90</v>
      </c>
      <c r="BE123" s="519">
        <f t="shared" si="50"/>
        <v>-90</v>
      </c>
      <c r="BF123" s="513" t="s">
        <v>1771</v>
      </c>
      <c r="BG123" s="514" t="s">
        <v>1771</v>
      </c>
      <c r="BH123" s="510" t="s">
        <v>1771</v>
      </c>
      <c r="BI123" s="628"/>
    </row>
    <row r="124" spans="1:61" s="523" customFormat="1" ht="132">
      <c r="A124" s="538" t="s">
        <v>5715</v>
      </c>
      <c r="B124" s="507" t="s">
        <v>3042</v>
      </c>
      <c r="C124" s="507" t="s">
        <v>5694</v>
      </c>
      <c r="D124" s="635" t="s">
        <v>5726</v>
      </c>
      <c r="E124" s="634" t="s">
        <v>5717</v>
      </c>
      <c r="F124" s="634" t="s">
        <v>5716</v>
      </c>
      <c r="G124" s="636" t="s">
        <v>5730</v>
      </c>
      <c r="H124" s="634" t="s">
        <v>5729</v>
      </c>
      <c r="I124" s="730"/>
      <c r="J124" s="730"/>
      <c r="K124" s="634">
        <f>13+3</f>
        <v>16</v>
      </c>
      <c r="L124" s="634">
        <f>189.8+235.55</f>
        <v>425.35</v>
      </c>
      <c r="M124" s="637">
        <v>44803</v>
      </c>
      <c r="N124" s="637">
        <v>44808</v>
      </c>
      <c r="O124" s="637">
        <v>44808</v>
      </c>
      <c r="P124" s="637">
        <v>44841</v>
      </c>
      <c r="Q124" s="637">
        <v>44847</v>
      </c>
      <c r="R124" s="512" t="s">
        <v>5858</v>
      </c>
      <c r="S124" s="638" t="s">
        <v>3752</v>
      </c>
      <c r="T124" s="639" t="s">
        <v>3681</v>
      </c>
      <c r="U124" s="640" t="s">
        <v>3031</v>
      </c>
      <c r="V124" s="511">
        <v>44831</v>
      </c>
      <c r="W124" s="639" t="s">
        <v>3147</v>
      </c>
      <c r="X124" s="639" t="s">
        <v>3147</v>
      </c>
      <c r="Y124" s="637">
        <v>44844</v>
      </c>
      <c r="Z124" s="639" t="s">
        <v>3252</v>
      </c>
      <c r="AA124" s="639" t="s">
        <v>3982</v>
      </c>
      <c r="AB124" s="639" t="s">
        <v>5864</v>
      </c>
      <c r="AC124" s="639" t="s">
        <v>2146</v>
      </c>
      <c r="AD124" s="637">
        <v>44845</v>
      </c>
      <c r="AE124" s="639">
        <v>247.81200000000001</v>
      </c>
      <c r="AF124" s="634" t="s">
        <v>3460</v>
      </c>
      <c r="AG124" s="639" t="s">
        <v>3108</v>
      </c>
      <c r="AH124" s="641">
        <v>8201.7000000000007</v>
      </c>
      <c r="AI124" s="641">
        <v>1793.5</v>
      </c>
      <c r="AJ124" s="517">
        <v>2</v>
      </c>
      <c r="AK124" s="517">
        <f t="shared" si="90"/>
        <v>9997.2000000000007</v>
      </c>
      <c r="AL124" s="518">
        <v>5.1940999999999997</v>
      </c>
      <c r="AM124" s="519">
        <f t="shared" si="78"/>
        <v>51926.45652</v>
      </c>
      <c r="AN124" s="519">
        <v>0</v>
      </c>
      <c r="AO124" s="510">
        <v>8</v>
      </c>
      <c r="AP124" s="519">
        <v>4990.7</v>
      </c>
      <c r="AQ124" s="519">
        <v>4578.8900000000003</v>
      </c>
      <c r="AR124" s="519">
        <v>1090.45</v>
      </c>
      <c r="AS124" s="519">
        <v>5243.2</v>
      </c>
      <c r="AT124" s="519">
        <v>11935.19</v>
      </c>
      <c r="AU124" s="519">
        <v>769.26</v>
      </c>
      <c r="AV124" s="519">
        <v>354.76</v>
      </c>
      <c r="AW124" s="510" t="s">
        <v>3139</v>
      </c>
      <c r="AX124" s="520">
        <f t="shared" si="79"/>
        <v>44847</v>
      </c>
      <c r="AY124" s="510"/>
      <c r="AZ124" s="519">
        <f t="shared" si="80"/>
        <v>77889.684779999996</v>
      </c>
      <c r="BA124" s="521">
        <f t="shared" si="81"/>
        <v>0</v>
      </c>
      <c r="BB124" s="519" t="e">
        <f t="shared" si="82"/>
        <v>#DIV/0!</v>
      </c>
      <c r="BC124" s="519"/>
      <c r="BD124" s="519">
        <f t="shared" si="83"/>
        <v>-20</v>
      </c>
      <c r="BE124" s="519">
        <f t="shared" si="50"/>
        <v>-20</v>
      </c>
      <c r="BF124" s="513" t="s">
        <v>1771</v>
      </c>
      <c r="BG124" s="514" t="s">
        <v>1771</v>
      </c>
      <c r="BH124" s="510" t="s">
        <v>1771</v>
      </c>
      <c r="BI124" s="628"/>
    </row>
    <row r="125" spans="1:61" s="523" customFormat="1" ht="132">
      <c r="A125" s="538" t="s">
        <v>5710</v>
      </c>
      <c r="B125" s="507" t="s">
        <v>3042</v>
      </c>
      <c r="C125" s="507" t="s">
        <v>5694</v>
      </c>
      <c r="D125" s="508">
        <v>4800017618</v>
      </c>
      <c r="E125" s="505" t="s">
        <v>5722</v>
      </c>
      <c r="F125" s="505" t="s">
        <v>5724</v>
      </c>
      <c r="G125" s="509" t="s">
        <v>5731</v>
      </c>
      <c r="H125" s="507" t="s">
        <v>5729</v>
      </c>
      <c r="I125" s="724" t="s">
        <v>1771</v>
      </c>
      <c r="J125" s="724">
        <v>1</v>
      </c>
      <c r="K125" s="507">
        <f>17+15+15</f>
        <v>47</v>
      </c>
      <c r="L125" s="507">
        <f>2515.08+2129.5+2128</f>
        <v>6772.58</v>
      </c>
      <c r="M125" s="511">
        <v>44804</v>
      </c>
      <c r="N125" s="637">
        <v>44808</v>
      </c>
      <c r="O125" s="637">
        <v>44808</v>
      </c>
      <c r="P125" s="511">
        <v>44841</v>
      </c>
      <c r="Q125" s="511">
        <v>44847</v>
      </c>
      <c r="R125" s="512" t="s">
        <v>5859</v>
      </c>
      <c r="S125" s="515" t="s">
        <v>3752</v>
      </c>
      <c r="T125" s="510" t="s">
        <v>3681</v>
      </c>
      <c r="U125" s="516" t="s">
        <v>3031</v>
      </c>
      <c r="V125" s="511">
        <v>44831</v>
      </c>
      <c r="W125" s="510" t="s">
        <v>3147</v>
      </c>
      <c r="X125" s="510" t="s">
        <v>3147</v>
      </c>
      <c r="Y125" s="511">
        <v>44844</v>
      </c>
      <c r="Z125" s="510" t="s">
        <v>3252</v>
      </c>
      <c r="AA125" s="510" t="s">
        <v>3982</v>
      </c>
      <c r="AB125" s="510" t="s">
        <v>5865</v>
      </c>
      <c r="AC125" s="510" t="s">
        <v>2146</v>
      </c>
      <c r="AD125" s="511">
        <v>44845</v>
      </c>
      <c r="AE125" s="515">
        <v>5596.3400099999999</v>
      </c>
      <c r="AF125" s="507" t="s">
        <v>5727</v>
      </c>
      <c r="AG125" s="510" t="s">
        <v>3108</v>
      </c>
      <c r="AH125" s="517">
        <v>33654.019999999997</v>
      </c>
      <c r="AI125" s="517">
        <v>10933.44</v>
      </c>
      <c r="AJ125" s="517">
        <v>1</v>
      </c>
      <c r="AK125" s="517">
        <f t="shared" si="90"/>
        <v>44588.46</v>
      </c>
      <c r="AL125" s="518">
        <v>5.1940999999999997</v>
      </c>
      <c r="AM125" s="519">
        <f t="shared" si="78"/>
        <v>231596.92008599997</v>
      </c>
      <c r="AN125" s="519">
        <v>0</v>
      </c>
      <c r="AO125" s="510">
        <v>1</v>
      </c>
      <c r="AP125" s="519">
        <v>16674.98</v>
      </c>
      <c r="AQ125" s="519">
        <v>18620.39</v>
      </c>
      <c r="AR125" s="519">
        <v>4863.54</v>
      </c>
      <c r="AS125" s="519">
        <v>22349.1</v>
      </c>
      <c r="AT125" s="519">
        <v>61513.11</v>
      </c>
      <c r="AU125" s="519">
        <v>4587.6400000000003</v>
      </c>
      <c r="AV125" s="519">
        <v>154.22999999999999</v>
      </c>
      <c r="AW125" s="510" t="s">
        <v>3139</v>
      </c>
      <c r="AX125" s="520">
        <f t="shared" si="79"/>
        <v>44847</v>
      </c>
      <c r="AY125" s="510"/>
      <c r="AZ125" s="519">
        <f t="shared" si="80"/>
        <v>347395.38012899994</v>
      </c>
      <c r="BA125" s="521">
        <f t="shared" si="81"/>
        <v>1</v>
      </c>
      <c r="BB125" s="519">
        <f t="shared" si="82"/>
        <v>347395.38012899994</v>
      </c>
      <c r="BC125" s="519"/>
      <c r="BD125" s="519">
        <f t="shared" si="83"/>
        <v>-90</v>
      </c>
      <c r="BE125" s="519">
        <f t="shared" si="50"/>
        <v>-90</v>
      </c>
      <c r="BF125" s="513" t="s">
        <v>1771</v>
      </c>
      <c r="BG125" s="514" t="s">
        <v>1771</v>
      </c>
      <c r="BH125" s="510" t="s">
        <v>1771</v>
      </c>
      <c r="BI125" s="628"/>
    </row>
    <row r="126" spans="1:61" s="523" customFormat="1" ht="132">
      <c r="A126" s="538" t="s">
        <v>5720</v>
      </c>
      <c r="B126" s="507" t="s">
        <v>3042</v>
      </c>
      <c r="C126" s="507" t="s">
        <v>5694</v>
      </c>
      <c r="D126" s="508">
        <v>4800017511</v>
      </c>
      <c r="E126" s="505" t="s">
        <v>5721</v>
      </c>
      <c r="F126" s="505" t="s">
        <v>5723</v>
      </c>
      <c r="G126" s="509" t="s">
        <v>5732</v>
      </c>
      <c r="H126" s="507" t="s">
        <v>5729</v>
      </c>
      <c r="I126" s="725"/>
      <c r="J126" s="725"/>
      <c r="K126" s="507">
        <f>1+1+1+1</f>
        <v>4</v>
      </c>
      <c r="L126" s="507">
        <f>61.4+62.8+61.8+62</f>
        <v>248</v>
      </c>
      <c r="M126" s="511">
        <v>44804</v>
      </c>
      <c r="N126" s="637">
        <v>44808</v>
      </c>
      <c r="O126" s="637">
        <v>44808</v>
      </c>
      <c r="P126" s="511">
        <v>44841</v>
      </c>
      <c r="Q126" s="511">
        <v>44847</v>
      </c>
      <c r="R126" s="512" t="s">
        <v>5860</v>
      </c>
      <c r="S126" s="515" t="s">
        <v>3752</v>
      </c>
      <c r="T126" s="510" t="s">
        <v>3681</v>
      </c>
      <c r="U126" s="516" t="s">
        <v>3031</v>
      </c>
      <c r="V126" s="511">
        <v>44831</v>
      </c>
      <c r="W126" s="510" t="s">
        <v>3147</v>
      </c>
      <c r="X126" s="510" t="s">
        <v>3147</v>
      </c>
      <c r="Y126" s="511">
        <v>44844</v>
      </c>
      <c r="Z126" s="510" t="s">
        <v>3252</v>
      </c>
      <c r="AA126" s="510" t="s">
        <v>3982</v>
      </c>
      <c r="AB126" s="510" t="s">
        <v>5866</v>
      </c>
      <c r="AC126" s="510" t="s">
        <v>2146</v>
      </c>
      <c r="AD126" s="511">
        <v>44845</v>
      </c>
      <c r="AE126" s="510">
        <v>129.08000000000001</v>
      </c>
      <c r="AF126" s="507" t="s">
        <v>3460</v>
      </c>
      <c r="AG126" s="510" t="s">
        <v>3108</v>
      </c>
      <c r="AH126" s="517">
        <v>4971.6000000000004</v>
      </c>
      <c r="AI126" s="517">
        <v>455.56</v>
      </c>
      <c r="AJ126" s="517">
        <v>1</v>
      </c>
      <c r="AK126" s="517">
        <f>SUM(AH126:AJ126)</f>
        <v>5428.1600000000008</v>
      </c>
      <c r="AL126" s="518">
        <v>5.1940999999999997</v>
      </c>
      <c r="AM126" s="519">
        <f>AK126*AL126</f>
        <v>28194.405856000001</v>
      </c>
      <c r="AN126" s="519">
        <v>0</v>
      </c>
      <c r="AO126" s="510">
        <v>1</v>
      </c>
      <c r="AP126" s="519">
        <v>2255.5500000000002</v>
      </c>
      <c r="AQ126" s="519">
        <v>1979.24</v>
      </c>
      <c r="AR126" s="519">
        <v>592.08000000000004</v>
      </c>
      <c r="AS126" s="519">
        <v>2720.76</v>
      </c>
      <c r="AT126" s="519">
        <v>7491.37</v>
      </c>
      <c r="AU126" s="519">
        <v>210.31</v>
      </c>
      <c r="AV126" s="519">
        <v>154.22999999999999</v>
      </c>
      <c r="AW126" s="510" t="s">
        <v>3139</v>
      </c>
      <c r="AX126" s="520">
        <f>Q126</f>
        <v>44847</v>
      </c>
      <c r="AY126" s="510"/>
      <c r="AZ126" s="519">
        <f>(AM126*50%)+AM126</f>
        <v>42291.608784000004</v>
      </c>
      <c r="BA126" s="521">
        <f>SUM(I126:J126)</f>
        <v>0</v>
      </c>
      <c r="BB126" s="519" t="e">
        <f>AZ126/BA126</f>
        <v>#DIV/0!</v>
      </c>
      <c r="BC126" s="519"/>
      <c r="BD126" s="519">
        <f>(AO126-10)*10</f>
        <v>-90</v>
      </c>
      <c r="BE126" s="519">
        <f t="shared" si="50"/>
        <v>-90</v>
      </c>
      <c r="BF126" s="513" t="s">
        <v>1771</v>
      </c>
      <c r="BG126" s="514" t="s">
        <v>1771</v>
      </c>
      <c r="BH126" s="510" t="s">
        <v>1771</v>
      </c>
      <c r="BI126" s="628"/>
    </row>
    <row r="127" spans="1:61" s="523" customFormat="1" ht="132">
      <c r="A127" s="538" t="s">
        <v>5707</v>
      </c>
      <c r="B127" s="507" t="s">
        <v>3042</v>
      </c>
      <c r="C127" s="507" t="s">
        <v>5694</v>
      </c>
      <c r="D127" s="508" t="s">
        <v>5734</v>
      </c>
      <c r="E127" s="505" t="s">
        <v>5711</v>
      </c>
      <c r="F127" s="505" t="s">
        <v>5712</v>
      </c>
      <c r="G127" s="509" t="s">
        <v>5733</v>
      </c>
      <c r="H127" s="507" t="s">
        <v>5729</v>
      </c>
      <c r="I127" s="510" t="s">
        <v>1771</v>
      </c>
      <c r="J127" s="510">
        <v>1</v>
      </c>
      <c r="K127" s="507">
        <f>15+16+1+15</f>
        <v>47</v>
      </c>
      <c r="L127" s="507">
        <f>2165.5+1428+1906+13</f>
        <v>5512.5</v>
      </c>
      <c r="M127" s="511">
        <v>44806</v>
      </c>
      <c r="N127" s="511">
        <v>44809</v>
      </c>
      <c r="O127" s="511">
        <v>44809</v>
      </c>
      <c r="P127" s="511">
        <v>44841</v>
      </c>
      <c r="Q127" s="511">
        <v>44847</v>
      </c>
      <c r="R127" s="512" t="s">
        <v>5861</v>
      </c>
      <c r="S127" s="515" t="s">
        <v>3752</v>
      </c>
      <c r="T127" s="510" t="s">
        <v>3681</v>
      </c>
      <c r="U127" s="516" t="s">
        <v>3031</v>
      </c>
      <c r="V127" s="511">
        <v>44831</v>
      </c>
      <c r="W127" s="510" t="s">
        <v>3147</v>
      </c>
      <c r="X127" s="510" t="s">
        <v>3147</v>
      </c>
      <c r="Y127" s="511">
        <v>44844</v>
      </c>
      <c r="Z127" s="510" t="s">
        <v>3252</v>
      </c>
      <c r="AA127" s="510" t="s">
        <v>3982</v>
      </c>
      <c r="AB127" s="510" t="s">
        <v>5867</v>
      </c>
      <c r="AC127" s="510" t="s">
        <v>2146</v>
      </c>
      <c r="AD127" s="511">
        <v>44845</v>
      </c>
      <c r="AE127" s="515">
        <v>4533.6662100000003</v>
      </c>
      <c r="AF127" s="507" t="s">
        <v>3256</v>
      </c>
      <c r="AG127" s="510" t="s">
        <v>3108</v>
      </c>
      <c r="AH127" s="517">
        <v>51109.5</v>
      </c>
      <c r="AI127" s="517">
        <v>11389</v>
      </c>
      <c r="AJ127" s="517">
        <v>1</v>
      </c>
      <c r="AK127" s="517">
        <f t="shared" si="90"/>
        <v>62499.5</v>
      </c>
      <c r="AL127" s="518">
        <v>5.1940999999999997</v>
      </c>
      <c r="AM127" s="519">
        <f t="shared" ref="AM127:AM136" si="91">AK127*AL127</f>
        <v>324628.65294999996</v>
      </c>
      <c r="AN127" s="519">
        <v>0</v>
      </c>
      <c r="AO127" s="510">
        <v>6</v>
      </c>
      <c r="AP127" s="519">
        <v>23536.44</v>
      </c>
      <c r="AQ127" s="519">
        <v>26090.84</v>
      </c>
      <c r="AR127" s="519">
        <v>6817.2</v>
      </c>
      <c r="AS127" s="519">
        <v>31326.66</v>
      </c>
      <c r="AT127" s="519">
        <v>85916.05</v>
      </c>
      <c r="AU127" s="519">
        <v>4777.95</v>
      </c>
      <c r="AV127" s="519">
        <v>308.48</v>
      </c>
      <c r="AW127" s="510" t="s">
        <v>3139</v>
      </c>
      <c r="AX127" s="520">
        <f t="shared" ref="AX127:AX136" si="92">Q127</f>
        <v>44847</v>
      </c>
      <c r="AY127" s="510"/>
      <c r="AZ127" s="519">
        <f t="shared" ref="AZ127:AZ136" si="93">(AM127*50%)+AM127</f>
        <v>486942.97942499991</v>
      </c>
      <c r="BA127" s="521">
        <f t="shared" ref="BA127:BA136" si="94">SUM(I127:J127)</f>
        <v>1</v>
      </c>
      <c r="BB127" s="519">
        <f t="shared" ref="BB127:BB136" si="95">AZ127/BA127</f>
        <v>486942.97942499991</v>
      </c>
      <c r="BC127" s="519"/>
      <c r="BD127" s="519">
        <f t="shared" ref="BD127:BD136" si="96">(AO127-10)*10</f>
        <v>-40</v>
      </c>
      <c r="BE127" s="519">
        <f t="shared" si="50"/>
        <v>-40</v>
      </c>
      <c r="BF127" s="513" t="s">
        <v>1771</v>
      </c>
      <c r="BG127" s="514" t="s">
        <v>1771</v>
      </c>
      <c r="BH127" s="510" t="s">
        <v>1771</v>
      </c>
      <c r="BI127" s="628"/>
    </row>
    <row r="128" spans="1:61" s="523" customFormat="1" ht="132">
      <c r="A128" s="538" t="s">
        <v>5708</v>
      </c>
      <c r="B128" s="507" t="s">
        <v>3042</v>
      </c>
      <c r="C128" s="507" t="s">
        <v>5694</v>
      </c>
      <c r="D128" s="508">
        <v>4800017618</v>
      </c>
      <c r="E128" s="505" t="s">
        <v>5713</v>
      </c>
      <c r="F128" s="505" t="s">
        <v>5714</v>
      </c>
      <c r="G128" s="509" t="s">
        <v>5735</v>
      </c>
      <c r="H128" s="507" t="s">
        <v>5729</v>
      </c>
      <c r="I128" s="510" t="s">
        <v>1771</v>
      </c>
      <c r="J128" s="510">
        <v>1</v>
      </c>
      <c r="K128" s="507">
        <f>15+15+15</f>
        <v>45</v>
      </c>
      <c r="L128" s="507">
        <f>1903+2166.5+2176.5</f>
        <v>6246</v>
      </c>
      <c r="M128" s="511">
        <v>44806</v>
      </c>
      <c r="N128" s="637">
        <v>44808</v>
      </c>
      <c r="O128" s="637">
        <v>44808</v>
      </c>
      <c r="P128" s="511">
        <v>44841</v>
      </c>
      <c r="Q128" s="511">
        <v>44847</v>
      </c>
      <c r="R128" s="512" t="s">
        <v>5862</v>
      </c>
      <c r="S128" s="515" t="s">
        <v>3752</v>
      </c>
      <c r="T128" s="510" t="s">
        <v>3681</v>
      </c>
      <c r="U128" s="516" t="s">
        <v>3031</v>
      </c>
      <c r="V128" s="511">
        <v>44831</v>
      </c>
      <c r="W128" s="510" t="s">
        <v>3147</v>
      </c>
      <c r="X128" s="510" t="s">
        <v>3147</v>
      </c>
      <c r="Y128" s="511">
        <v>44844</v>
      </c>
      <c r="Z128" s="510" t="s">
        <v>3252</v>
      </c>
      <c r="AA128" s="510" t="s">
        <v>3982</v>
      </c>
      <c r="AB128" s="510" t="s">
        <v>5868</v>
      </c>
      <c r="AC128" s="510" t="s">
        <v>2146</v>
      </c>
      <c r="AD128" s="511">
        <v>44845</v>
      </c>
      <c r="AE128" s="515">
        <v>5383.5</v>
      </c>
      <c r="AF128" s="507" t="s">
        <v>3238</v>
      </c>
      <c r="AG128" s="510" t="s">
        <v>3108</v>
      </c>
      <c r="AH128" s="517">
        <v>47359.06</v>
      </c>
      <c r="AI128" s="517">
        <v>11389</v>
      </c>
      <c r="AJ128" s="517">
        <v>1</v>
      </c>
      <c r="AK128" s="517">
        <f t="shared" si="90"/>
        <v>58749.06</v>
      </c>
      <c r="AL128" s="518">
        <v>5.1940999999999997</v>
      </c>
      <c r="AM128" s="519">
        <f t="shared" si="91"/>
        <v>305148.49254599999</v>
      </c>
      <c r="AN128" s="519">
        <v>0</v>
      </c>
      <c r="AO128" s="510">
        <v>3</v>
      </c>
      <c r="AP128" s="519">
        <v>21970.69</v>
      </c>
      <c r="AQ128" s="519">
        <v>24533.93</v>
      </c>
      <c r="AR128" s="519">
        <v>6408.12</v>
      </c>
      <c r="AS128" s="519">
        <v>29446.83</v>
      </c>
      <c r="AT128" s="519">
        <v>80775.149999999994</v>
      </c>
      <c r="AU128" s="519">
        <v>4777.95</v>
      </c>
      <c r="AV128" s="519">
        <v>223.64</v>
      </c>
      <c r="AW128" s="510" t="s">
        <v>3139</v>
      </c>
      <c r="AX128" s="520">
        <f t="shared" si="92"/>
        <v>44847</v>
      </c>
      <c r="AY128" s="510"/>
      <c r="AZ128" s="519">
        <f t="shared" si="93"/>
        <v>457722.73881899996</v>
      </c>
      <c r="BA128" s="521">
        <f t="shared" si="94"/>
        <v>1</v>
      </c>
      <c r="BB128" s="519">
        <f t="shared" si="95"/>
        <v>457722.73881899996</v>
      </c>
      <c r="BC128" s="519"/>
      <c r="BD128" s="519">
        <f t="shared" si="96"/>
        <v>-70</v>
      </c>
      <c r="BE128" s="519">
        <f t="shared" si="50"/>
        <v>-70</v>
      </c>
      <c r="BF128" s="513" t="s">
        <v>1771</v>
      </c>
      <c r="BG128" s="514" t="s">
        <v>1771</v>
      </c>
      <c r="BH128" s="510" t="s">
        <v>1771</v>
      </c>
      <c r="BI128" s="628"/>
    </row>
    <row r="129" spans="1:61" s="523" customFormat="1" ht="132">
      <c r="A129" s="538" t="s">
        <v>5737</v>
      </c>
      <c r="B129" s="507" t="s">
        <v>3042</v>
      </c>
      <c r="C129" s="507" t="s">
        <v>5694</v>
      </c>
      <c r="D129" s="508" t="s">
        <v>5741</v>
      </c>
      <c r="E129" s="505" t="s">
        <v>5739</v>
      </c>
      <c r="F129" s="505" t="s">
        <v>5738</v>
      </c>
      <c r="G129" s="509" t="s">
        <v>5740</v>
      </c>
      <c r="H129" s="507" t="s">
        <v>5729</v>
      </c>
      <c r="I129" s="510" t="s">
        <v>1771</v>
      </c>
      <c r="J129" s="510">
        <v>1</v>
      </c>
      <c r="K129" s="507">
        <f>17+53</f>
        <v>70</v>
      </c>
      <c r="L129" s="507">
        <f>2110.38+7149.84</f>
        <v>9260.2200000000012</v>
      </c>
      <c r="M129" s="511">
        <v>44810</v>
      </c>
      <c r="N129" s="511">
        <v>44810</v>
      </c>
      <c r="O129" s="511">
        <v>44810</v>
      </c>
      <c r="P129" s="511">
        <v>44841</v>
      </c>
      <c r="Q129" s="511">
        <v>44848</v>
      </c>
      <c r="R129" s="512" t="s">
        <v>5863</v>
      </c>
      <c r="S129" s="515" t="s">
        <v>3752</v>
      </c>
      <c r="T129" s="510" t="s">
        <v>3681</v>
      </c>
      <c r="U129" s="516" t="s">
        <v>3031</v>
      </c>
      <c r="V129" s="359">
        <v>44838</v>
      </c>
      <c r="W129" s="510" t="s">
        <v>3147</v>
      </c>
      <c r="X129" s="510" t="s">
        <v>3147</v>
      </c>
      <c r="Y129" s="511">
        <v>44844</v>
      </c>
      <c r="Z129" s="510" t="s">
        <v>3252</v>
      </c>
      <c r="AA129" s="510" t="s">
        <v>3982</v>
      </c>
      <c r="AB129" s="510" t="s">
        <v>5869</v>
      </c>
      <c r="AC129" s="510" t="s">
        <v>2146</v>
      </c>
      <c r="AD129" s="511">
        <v>44845</v>
      </c>
      <c r="AE129" s="515">
        <v>7207.5134099999996</v>
      </c>
      <c r="AF129" s="507" t="s">
        <v>5454</v>
      </c>
      <c r="AG129" s="510" t="s">
        <v>3108</v>
      </c>
      <c r="AH129" s="517">
        <v>72661.06</v>
      </c>
      <c r="AI129" s="517">
        <v>11389</v>
      </c>
      <c r="AJ129" s="517">
        <v>1</v>
      </c>
      <c r="AK129" s="517">
        <f t="shared" si="90"/>
        <v>84051.06</v>
      </c>
      <c r="AL129" s="518">
        <v>5.1940999999999997</v>
      </c>
      <c r="AM129" s="519">
        <f t="shared" si="91"/>
        <v>436569.61074599996</v>
      </c>
      <c r="AN129" s="519">
        <v>0</v>
      </c>
      <c r="AO129" s="510">
        <v>3</v>
      </c>
      <c r="AP129" s="519">
        <v>31731.200000000001</v>
      </c>
      <c r="AQ129" s="519">
        <v>35083.230000000003</v>
      </c>
      <c r="AR129" s="519">
        <v>9167.9599999999991</v>
      </c>
      <c r="AS129" s="519">
        <v>42128.959999999999</v>
      </c>
      <c r="AT129" s="519">
        <v>115155.93</v>
      </c>
      <c r="AU129" s="519">
        <v>4777.95</v>
      </c>
      <c r="AV129" s="519">
        <v>223.64</v>
      </c>
      <c r="AW129" s="510" t="s">
        <v>3139</v>
      </c>
      <c r="AX129" s="520">
        <f t="shared" si="92"/>
        <v>44848</v>
      </c>
      <c r="AY129" s="510"/>
      <c r="AZ129" s="519">
        <f t="shared" si="93"/>
        <v>654854.41611899994</v>
      </c>
      <c r="BA129" s="521">
        <f t="shared" si="94"/>
        <v>1</v>
      </c>
      <c r="BB129" s="519">
        <f t="shared" si="95"/>
        <v>654854.41611899994</v>
      </c>
      <c r="BC129" s="519"/>
      <c r="BD129" s="519">
        <f t="shared" si="96"/>
        <v>-70</v>
      </c>
      <c r="BE129" s="519">
        <f t="shared" si="50"/>
        <v>-70</v>
      </c>
      <c r="BF129" s="513" t="s">
        <v>1771</v>
      </c>
      <c r="BG129" s="514" t="s">
        <v>1771</v>
      </c>
      <c r="BH129" s="510" t="s">
        <v>1771</v>
      </c>
      <c r="BI129" s="628"/>
    </row>
    <row r="130" spans="1:61" s="523" customFormat="1" ht="96">
      <c r="A130" s="538" t="s">
        <v>5766</v>
      </c>
      <c r="B130" s="507" t="s">
        <v>3042</v>
      </c>
      <c r="C130" s="507" t="s">
        <v>5694</v>
      </c>
      <c r="D130" s="508" t="s">
        <v>5788</v>
      </c>
      <c r="E130" s="505" t="s">
        <v>5782</v>
      </c>
      <c r="F130" s="505" t="s">
        <v>5781</v>
      </c>
      <c r="G130" s="509" t="s">
        <v>5783</v>
      </c>
      <c r="H130" s="507" t="s">
        <v>5784</v>
      </c>
      <c r="I130" s="510" t="s">
        <v>1771</v>
      </c>
      <c r="J130" s="510">
        <v>1</v>
      </c>
      <c r="K130" s="507">
        <f>2+15+15+1+15+1</f>
        <v>49</v>
      </c>
      <c r="L130" s="507">
        <f>13.19+1918+2062+6.6+2022.5+7.86</f>
        <v>6030.15</v>
      </c>
      <c r="M130" s="511">
        <v>44820</v>
      </c>
      <c r="N130" s="511">
        <v>44821</v>
      </c>
      <c r="O130" s="511">
        <v>44821</v>
      </c>
      <c r="P130" s="511">
        <v>44856</v>
      </c>
      <c r="Q130" s="511">
        <f t="shared" ref="Q130:Q134" si="97">P130+5</f>
        <v>44861</v>
      </c>
      <c r="R130" s="512" t="s">
        <v>5928</v>
      </c>
      <c r="S130" s="515" t="s">
        <v>3752</v>
      </c>
      <c r="T130" s="510" t="s">
        <v>3128</v>
      </c>
      <c r="U130" s="516" t="s">
        <v>3031</v>
      </c>
      <c r="V130" s="359">
        <v>44845</v>
      </c>
      <c r="W130" s="510" t="s">
        <v>3337</v>
      </c>
      <c r="X130" s="510" t="s">
        <v>3341</v>
      </c>
      <c r="Y130" s="637"/>
      <c r="Z130" s="639"/>
      <c r="AA130" s="639" t="s">
        <v>3982</v>
      </c>
      <c r="AB130" s="639" t="s">
        <v>6171</v>
      </c>
      <c r="AC130" s="639" t="s">
        <v>2146</v>
      </c>
      <c r="AD130" s="637">
        <v>44858</v>
      </c>
      <c r="AE130" s="638">
        <v>6030.15</v>
      </c>
      <c r="AF130" s="507" t="s">
        <v>4279</v>
      </c>
      <c r="AG130" s="510" t="s">
        <v>3108</v>
      </c>
      <c r="AH130" s="517">
        <f>59430.23</f>
        <v>59430.23</v>
      </c>
      <c r="AI130" s="517">
        <f>11389</f>
        <v>11389</v>
      </c>
      <c r="AJ130" s="517">
        <v>1</v>
      </c>
      <c r="AK130" s="517">
        <f t="shared" ref="AK130:AK134" si="98">SUM(AH130:AJ130)</f>
        <v>70820.23000000001</v>
      </c>
      <c r="AL130" s="518">
        <v>5.1919000000000004</v>
      </c>
      <c r="AM130" s="519">
        <f t="shared" si="91"/>
        <v>367691.55213700008</v>
      </c>
      <c r="AN130" s="519">
        <v>0</v>
      </c>
      <c r="AO130" s="510">
        <v>6</v>
      </c>
      <c r="AP130" s="519">
        <v>22216.02</v>
      </c>
      <c r="AQ130" s="519">
        <v>24807.86</v>
      </c>
      <c r="AR130" s="519">
        <v>6479.68</v>
      </c>
      <c r="AS130" s="519">
        <v>29775.64</v>
      </c>
      <c r="AT130" s="519">
        <v>81677.429999999993</v>
      </c>
      <c r="AU130" s="519">
        <v>4750.4399999999996</v>
      </c>
      <c r="AV130" s="519">
        <v>308.48</v>
      </c>
      <c r="AW130" s="510" t="s">
        <v>3139</v>
      </c>
      <c r="AX130" s="520">
        <f t="shared" si="92"/>
        <v>44861</v>
      </c>
      <c r="AY130" s="510">
        <v>1576.77</v>
      </c>
      <c r="AZ130" s="519">
        <f t="shared" si="93"/>
        <v>551537.32820550015</v>
      </c>
      <c r="BA130" s="521">
        <f t="shared" si="94"/>
        <v>1</v>
      </c>
      <c r="BB130" s="519">
        <f t="shared" si="95"/>
        <v>551537.32820550015</v>
      </c>
      <c r="BC130" s="519">
        <v>5330.23</v>
      </c>
      <c r="BD130" s="519">
        <f t="shared" si="96"/>
        <v>-40</v>
      </c>
      <c r="BE130" s="519">
        <f t="shared" si="50"/>
        <v>5290.23</v>
      </c>
      <c r="BF130" s="513" t="s">
        <v>1771</v>
      </c>
      <c r="BG130" s="514" t="s">
        <v>1771</v>
      </c>
      <c r="BH130" s="510" t="s">
        <v>1771</v>
      </c>
      <c r="BI130" s="628"/>
    </row>
    <row r="131" spans="1:61" s="523" customFormat="1" ht="96">
      <c r="A131" s="538" t="s">
        <v>5767</v>
      </c>
      <c r="B131" s="507" t="s">
        <v>3042</v>
      </c>
      <c r="C131" s="507" t="s">
        <v>5694</v>
      </c>
      <c r="D131" s="508" t="s">
        <v>5789</v>
      </c>
      <c r="E131" s="505" t="s">
        <v>5786</v>
      </c>
      <c r="F131" s="505" t="s">
        <v>5785</v>
      </c>
      <c r="G131" s="509" t="s">
        <v>5787</v>
      </c>
      <c r="H131" s="507" t="s">
        <v>5784</v>
      </c>
      <c r="I131" s="510" t="s">
        <v>1771</v>
      </c>
      <c r="J131" s="510">
        <v>1</v>
      </c>
      <c r="K131" s="507">
        <f>15+15+15</f>
        <v>45</v>
      </c>
      <c r="L131" s="507">
        <f>1909.5+2088+2074.5</f>
        <v>6072</v>
      </c>
      <c r="M131" s="511">
        <v>44819</v>
      </c>
      <c r="N131" s="511">
        <v>44820</v>
      </c>
      <c r="O131" s="511">
        <v>44820</v>
      </c>
      <c r="P131" s="511">
        <v>44856</v>
      </c>
      <c r="Q131" s="511">
        <f t="shared" si="97"/>
        <v>44861</v>
      </c>
      <c r="R131" s="512" t="s">
        <v>5929</v>
      </c>
      <c r="S131" s="515" t="s">
        <v>3752</v>
      </c>
      <c r="T131" s="510" t="s">
        <v>3128</v>
      </c>
      <c r="U131" s="516" t="s">
        <v>3031</v>
      </c>
      <c r="V131" s="359">
        <v>44845</v>
      </c>
      <c r="W131" s="510" t="s">
        <v>3337</v>
      </c>
      <c r="X131" s="510" t="s">
        <v>3341</v>
      </c>
      <c r="Y131" s="637"/>
      <c r="Z131" s="639"/>
      <c r="AA131" s="639" t="s">
        <v>3982</v>
      </c>
      <c r="AB131" s="639" t="s">
        <v>6172</v>
      </c>
      <c r="AC131" s="639" t="s">
        <v>2146</v>
      </c>
      <c r="AD131" s="637">
        <v>44858</v>
      </c>
      <c r="AE131" s="638">
        <v>6072</v>
      </c>
      <c r="AF131" s="507" t="s">
        <v>3238</v>
      </c>
      <c r="AG131" s="510" t="s">
        <v>3108</v>
      </c>
      <c r="AH131" s="517">
        <f>58749.06</f>
        <v>58749.06</v>
      </c>
      <c r="AI131" s="517">
        <f>11389</f>
        <v>11389</v>
      </c>
      <c r="AJ131" s="517">
        <v>1</v>
      </c>
      <c r="AK131" s="517">
        <f t="shared" si="98"/>
        <v>70139.06</v>
      </c>
      <c r="AL131" s="518">
        <v>5.1919000000000004</v>
      </c>
      <c r="AM131" s="519">
        <f t="shared" si="91"/>
        <v>364154.985614</v>
      </c>
      <c r="AN131" s="519">
        <v>0</v>
      </c>
      <c r="AO131" s="510">
        <v>4</v>
      </c>
      <c r="AP131" s="519">
        <v>21961.39</v>
      </c>
      <c r="AQ131" s="519">
        <v>24523.53</v>
      </c>
      <c r="AR131" s="519">
        <v>6405.41</v>
      </c>
      <c r="AS131" s="519">
        <v>29434.36</v>
      </c>
      <c r="AT131" s="519">
        <v>80742.16</v>
      </c>
      <c r="AU131" s="519">
        <v>4750.4399999999996</v>
      </c>
      <c r="AV131" s="519">
        <v>254.49</v>
      </c>
      <c r="AW131" s="510" t="s">
        <v>3139</v>
      </c>
      <c r="AX131" s="520">
        <f t="shared" si="92"/>
        <v>44861</v>
      </c>
      <c r="AY131" s="510">
        <v>1576.77</v>
      </c>
      <c r="AZ131" s="519">
        <f t="shared" si="93"/>
        <v>546232.47842100007</v>
      </c>
      <c r="BA131" s="521">
        <f t="shared" si="94"/>
        <v>1</v>
      </c>
      <c r="BB131" s="519">
        <f t="shared" si="95"/>
        <v>546232.47842100007</v>
      </c>
      <c r="BC131" s="519">
        <v>5330.23</v>
      </c>
      <c r="BD131" s="519">
        <f t="shared" si="96"/>
        <v>-60</v>
      </c>
      <c r="BE131" s="519">
        <f t="shared" ref="BE131:BE161" si="99">SUM(BC131:BD131)</f>
        <v>5270.23</v>
      </c>
      <c r="BF131" s="513" t="s">
        <v>1771</v>
      </c>
      <c r="BG131" s="514" t="s">
        <v>1771</v>
      </c>
      <c r="BH131" s="510" t="s">
        <v>1771</v>
      </c>
      <c r="BI131" s="628"/>
    </row>
    <row r="132" spans="1:61" s="523" customFormat="1" ht="96">
      <c r="A132" s="538" t="s">
        <v>5768</v>
      </c>
      <c r="B132" s="507" t="s">
        <v>3042</v>
      </c>
      <c r="C132" s="507" t="s">
        <v>5694</v>
      </c>
      <c r="D132" s="508" t="s">
        <v>5775</v>
      </c>
      <c r="E132" s="505" t="s">
        <v>5772</v>
      </c>
      <c r="F132" s="505" t="s">
        <v>5771</v>
      </c>
      <c r="G132" s="509" t="s">
        <v>5793</v>
      </c>
      <c r="H132" s="507" t="s">
        <v>5784</v>
      </c>
      <c r="I132" s="724" t="s">
        <v>1771</v>
      </c>
      <c r="J132" s="724">
        <v>1</v>
      </c>
      <c r="K132" s="507">
        <f>15+15+15+3</f>
        <v>48</v>
      </c>
      <c r="L132" s="507">
        <f>1899.5+1894.5+2076+37.44</f>
        <v>5907.44</v>
      </c>
      <c r="M132" s="511">
        <v>44819</v>
      </c>
      <c r="N132" s="511">
        <v>44819</v>
      </c>
      <c r="O132" s="511">
        <v>44819</v>
      </c>
      <c r="P132" s="511">
        <v>44856</v>
      </c>
      <c r="Q132" s="511">
        <v>44860</v>
      </c>
      <c r="R132" s="512" t="s">
        <v>5930</v>
      </c>
      <c r="S132" s="515" t="s">
        <v>3752</v>
      </c>
      <c r="T132" s="510" t="s">
        <v>3128</v>
      </c>
      <c r="U132" s="516" t="s">
        <v>3031</v>
      </c>
      <c r="V132" s="359">
        <v>44845</v>
      </c>
      <c r="W132" s="510" t="s">
        <v>3337</v>
      </c>
      <c r="X132" s="510" t="s">
        <v>3341</v>
      </c>
      <c r="Y132" s="637"/>
      <c r="Z132" s="639"/>
      <c r="AA132" s="639" t="s">
        <v>3982</v>
      </c>
      <c r="AB132" s="639" t="s">
        <v>6173</v>
      </c>
      <c r="AC132" s="639" t="s">
        <v>2146</v>
      </c>
      <c r="AD132" s="637">
        <v>44858</v>
      </c>
      <c r="AE132" s="638">
        <v>5907.44</v>
      </c>
      <c r="AF132" s="507" t="s">
        <v>3238</v>
      </c>
      <c r="AG132" s="510" t="s">
        <v>3108</v>
      </c>
      <c r="AH132" s="517">
        <f>77314.77</f>
        <v>77314.77</v>
      </c>
      <c r="AI132" s="517">
        <f>11363.98</f>
        <v>11363.98</v>
      </c>
      <c r="AJ132" s="517">
        <v>1</v>
      </c>
      <c r="AK132" s="517">
        <f t="shared" si="98"/>
        <v>88679.75</v>
      </c>
      <c r="AL132" s="518">
        <v>5.1919000000000004</v>
      </c>
      <c r="AM132" s="519">
        <f t="shared" si="91"/>
        <v>460416.39402500005</v>
      </c>
      <c r="AN132" s="519">
        <v>0</v>
      </c>
      <c r="AO132" s="510">
        <v>6</v>
      </c>
      <c r="AP132" s="519">
        <v>28901.57</v>
      </c>
      <c r="AQ132" s="519">
        <v>32273.38</v>
      </c>
      <c r="AR132" s="519">
        <v>8429.6299999999992</v>
      </c>
      <c r="AS132" s="519">
        <v>38736.120000000003</v>
      </c>
      <c r="AT132" s="519">
        <v>105912.34</v>
      </c>
      <c r="AU132" s="519">
        <v>4703.13</v>
      </c>
      <c r="AV132" s="519">
        <v>308.48</v>
      </c>
      <c r="AW132" s="510" t="s">
        <v>3139</v>
      </c>
      <c r="AX132" s="520">
        <f t="shared" si="92"/>
        <v>44860</v>
      </c>
      <c r="AY132" s="510">
        <v>1572.34</v>
      </c>
      <c r="AZ132" s="519">
        <f t="shared" si="93"/>
        <v>690624.59103750007</v>
      </c>
      <c r="BA132" s="521">
        <f t="shared" si="94"/>
        <v>1</v>
      </c>
      <c r="BB132" s="519">
        <f t="shared" si="95"/>
        <v>690624.59103750007</v>
      </c>
      <c r="BC132" s="519">
        <v>5282.92</v>
      </c>
      <c r="BD132" s="519">
        <f t="shared" si="96"/>
        <v>-40</v>
      </c>
      <c r="BE132" s="519">
        <f t="shared" si="99"/>
        <v>5242.92</v>
      </c>
      <c r="BF132" s="513" t="s">
        <v>1771</v>
      </c>
      <c r="BG132" s="514" t="s">
        <v>1771</v>
      </c>
      <c r="BH132" s="510" t="s">
        <v>1771</v>
      </c>
      <c r="BI132" s="628"/>
    </row>
    <row r="133" spans="1:61" s="523" customFormat="1" ht="96">
      <c r="A133" s="538" t="s">
        <v>5770</v>
      </c>
      <c r="B133" s="507" t="s">
        <v>3042</v>
      </c>
      <c r="C133" s="507" t="s">
        <v>5694</v>
      </c>
      <c r="D133" s="508">
        <v>4800017523</v>
      </c>
      <c r="E133" s="505" t="s">
        <v>5773</v>
      </c>
      <c r="F133" s="505" t="s">
        <v>5774</v>
      </c>
      <c r="G133" s="509" t="s">
        <v>5792</v>
      </c>
      <c r="H133" s="507" t="s">
        <v>5784</v>
      </c>
      <c r="I133" s="725"/>
      <c r="J133" s="725"/>
      <c r="K133" s="507">
        <f>16</f>
        <v>16</v>
      </c>
      <c r="L133" s="507">
        <f>4</f>
        <v>4</v>
      </c>
      <c r="M133" s="511">
        <v>44819</v>
      </c>
      <c r="N133" s="511">
        <v>44819</v>
      </c>
      <c r="O133" s="511">
        <v>44819</v>
      </c>
      <c r="P133" s="511">
        <v>44856</v>
      </c>
      <c r="Q133" s="511">
        <v>44860</v>
      </c>
      <c r="R133" s="512" t="s">
        <v>5931</v>
      </c>
      <c r="S133" s="515" t="s">
        <v>3752</v>
      </c>
      <c r="T133" s="510" t="s">
        <v>3128</v>
      </c>
      <c r="U133" s="516" t="s">
        <v>3031</v>
      </c>
      <c r="V133" s="359">
        <v>44845</v>
      </c>
      <c r="W133" s="510" t="s">
        <v>3337</v>
      </c>
      <c r="X133" s="510" t="s">
        <v>3341</v>
      </c>
      <c r="Y133" s="637"/>
      <c r="Z133" s="639"/>
      <c r="AA133" s="639" t="s">
        <v>3982</v>
      </c>
      <c r="AB133" s="639" t="s">
        <v>6174</v>
      </c>
      <c r="AC133" s="639" t="s">
        <v>2146</v>
      </c>
      <c r="AD133" s="637">
        <v>44858</v>
      </c>
      <c r="AE133" s="639">
        <v>16</v>
      </c>
      <c r="AF133" s="507" t="s">
        <v>3460</v>
      </c>
      <c r="AG133" s="510" t="s">
        <v>3108</v>
      </c>
      <c r="AH133" s="517">
        <f>217.96</f>
        <v>217.96</v>
      </c>
      <c r="AI133" s="517">
        <f>25.02</f>
        <v>25.02</v>
      </c>
      <c r="AJ133" s="517">
        <v>1</v>
      </c>
      <c r="AK133" s="517">
        <f t="shared" si="98"/>
        <v>243.98000000000002</v>
      </c>
      <c r="AL133" s="518">
        <v>5.1919000000000004</v>
      </c>
      <c r="AM133" s="519">
        <f t="shared" si="91"/>
        <v>1266.7197620000002</v>
      </c>
      <c r="AN133" s="519">
        <v>0</v>
      </c>
      <c r="AO133" s="510">
        <v>1</v>
      </c>
      <c r="AP133" s="519">
        <v>144.85</v>
      </c>
      <c r="AQ133" s="519">
        <v>124.45</v>
      </c>
      <c r="AR133" s="519">
        <v>23.76</v>
      </c>
      <c r="AS133" s="519">
        <v>109.2</v>
      </c>
      <c r="AT133" s="519">
        <v>358.02</v>
      </c>
      <c r="AU133" s="519">
        <v>67.3</v>
      </c>
      <c r="AV133" s="519">
        <v>154.22999999999999</v>
      </c>
      <c r="AW133" s="510" t="s">
        <v>3139</v>
      </c>
      <c r="AX133" s="520">
        <f t="shared" si="92"/>
        <v>44860</v>
      </c>
      <c r="AY133" s="510">
        <v>4.43</v>
      </c>
      <c r="AZ133" s="519">
        <f t="shared" si="93"/>
        <v>1900.0796430000003</v>
      </c>
      <c r="BA133" s="521">
        <f t="shared" si="94"/>
        <v>0</v>
      </c>
      <c r="BB133" s="519" t="e">
        <f t="shared" si="95"/>
        <v>#DIV/0!</v>
      </c>
      <c r="BC133" s="519">
        <v>647.09</v>
      </c>
      <c r="BD133" s="519">
        <f t="shared" si="96"/>
        <v>-90</v>
      </c>
      <c r="BE133" s="519">
        <f t="shared" si="99"/>
        <v>557.09</v>
      </c>
      <c r="BF133" s="513" t="s">
        <v>1771</v>
      </c>
      <c r="BG133" s="514" t="s">
        <v>1771</v>
      </c>
      <c r="BH133" s="510" t="s">
        <v>1771</v>
      </c>
      <c r="BI133" s="628"/>
    </row>
    <row r="134" spans="1:61" s="523" customFormat="1" ht="96">
      <c r="A134" s="538" t="s">
        <v>6166</v>
      </c>
      <c r="B134" s="507" t="s">
        <v>3042</v>
      </c>
      <c r="C134" s="507" t="s">
        <v>5694</v>
      </c>
      <c r="D134" s="508" t="s">
        <v>5795</v>
      </c>
      <c r="E134" s="505" t="s">
        <v>5791</v>
      </c>
      <c r="F134" s="505" t="s">
        <v>5790</v>
      </c>
      <c r="G134" s="509" t="s">
        <v>5797</v>
      </c>
      <c r="H134" s="507" t="s">
        <v>5784</v>
      </c>
      <c r="I134" s="510" t="s">
        <v>1771</v>
      </c>
      <c r="J134" s="510">
        <v>1</v>
      </c>
      <c r="K134" s="507">
        <f>2+5+15+5+15+5</f>
        <v>47</v>
      </c>
      <c r="L134" s="507">
        <f>4.94+952.5+1925+956+2034.5+958.5</f>
        <v>6831.4400000000005</v>
      </c>
      <c r="M134" s="511">
        <v>44825</v>
      </c>
      <c r="N134" s="511">
        <v>44825</v>
      </c>
      <c r="O134" s="511">
        <v>44825</v>
      </c>
      <c r="P134" s="511">
        <v>44856</v>
      </c>
      <c r="Q134" s="511">
        <f t="shared" si="97"/>
        <v>44861</v>
      </c>
      <c r="R134" s="512" t="s">
        <v>5932</v>
      </c>
      <c r="S134" s="515" t="s">
        <v>3752</v>
      </c>
      <c r="T134" s="510" t="s">
        <v>3128</v>
      </c>
      <c r="U134" s="516" t="s">
        <v>3031</v>
      </c>
      <c r="V134" s="359">
        <v>44845</v>
      </c>
      <c r="W134" s="510" t="s">
        <v>3337</v>
      </c>
      <c r="X134" s="510" t="s">
        <v>3341</v>
      </c>
      <c r="Y134" s="637"/>
      <c r="Z134" s="639"/>
      <c r="AA134" s="639" t="s">
        <v>3982</v>
      </c>
      <c r="AB134" s="639" t="s">
        <v>6175</v>
      </c>
      <c r="AC134" s="639" t="s">
        <v>2146</v>
      </c>
      <c r="AD134" s="637">
        <v>44858</v>
      </c>
      <c r="AE134" s="638">
        <v>6831.44</v>
      </c>
      <c r="AF134" s="507" t="s">
        <v>5796</v>
      </c>
      <c r="AG134" s="510" t="s">
        <v>3108</v>
      </c>
      <c r="AH134" s="517">
        <f>105849.21</f>
        <v>105849.21</v>
      </c>
      <c r="AI134" s="517">
        <f>11389</f>
        <v>11389</v>
      </c>
      <c r="AJ134" s="517">
        <v>1</v>
      </c>
      <c r="AK134" s="517">
        <f t="shared" si="98"/>
        <v>117239.21</v>
      </c>
      <c r="AL134" s="518">
        <v>5.1919000000000004</v>
      </c>
      <c r="AM134" s="519">
        <f t="shared" si="91"/>
        <v>608694.25439900008</v>
      </c>
      <c r="AN134" s="519">
        <v>0</v>
      </c>
      <c r="AO134" s="510">
        <v>8</v>
      </c>
      <c r="AP134" s="519">
        <v>39616.18</v>
      </c>
      <c r="AQ134" s="519">
        <v>44203.62</v>
      </c>
      <c r="AR134" s="519">
        <v>11540.74</v>
      </c>
      <c r="AS134" s="519">
        <v>53032.4</v>
      </c>
      <c r="AT134" s="519">
        <v>144626.29999999999</v>
      </c>
      <c r="AU134" s="519">
        <v>4750.4399999999996</v>
      </c>
      <c r="AV134" s="519">
        <v>354.76</v>
      </c>
      <c r="AW134" s="510" t="s">
        <v>3139</v>
      </c>
      <c r="AX134" s="520">
        <f t="shared" si="92"/>
        <v>44861</v>
      </c>
      <c r="AY134" s="510">
        <v>1576.77</v>
      </c>
      <c r="AZ134" s="519">
        <f t="shared" si="93"/>
        <v>913041.38159850007</v>
      </c>
      <c r="BA134" s="521">
        <f t="shared" si="94"/>
        <v>1</v>
      </c>
      <c r="BB134" s="519">
        <f t="shared" si="95"/>
        <v>913041.38159850007</v>
      </c>
      <c r="BC134" s="519">
        <v>5330.23</v>
      </c>
      <c r="BD134" s="519">
        <f t="shared" si="96"/>
        <v>-20</v>
      </c>
      <c r="BE134" s="519">
        <f t="shared" si="99"/>
        <v>5310.23</v>
      </c>
      <c r="BF134" s="513" t="s">
        <v>1771</v>
      </c>
      <c r="BG134" s="514" t="s">
        <v>1771</v>
      </c>
      <c r="BH134" s="510" t="s">
        <v>1771</v>
      </c>
      <c r="BI134" s="628"/>
    </row>
    <row r="135" spans="1:61" s="523" customFormat="1" ht="108">
      <c r="A135" s="538" t="s">
        <v>5752</v>
      </c>
      <c r="B135" s="507" t="s">
        <v>3042</v>
      </c>
      <c r="C135" s="507" t="s">
        <v>5694</v>
      </c>
      <c r="D135" s="508" t="s">
        <v>5776</v>
      </c>
      <c r="E135" s="505" t="s">
        <v>5754</v>
      </c>
      <c r="F135" s="505" t="s">
        <v>5753</v>
      </c>
      <c r="G135" s="509" t="s">
        <v>5769</v>
      </c>
      <c r="H135" s="507" t="s">
        <v>5784</v>
      </c>
      <c r="I135" s="510" t="s">
        <v>1771</v>
      </c>
      <c r="J135" s="510">
        <v>1</v>
      </c>
      <c r="K135" s="507">
        <f>1+15+47+3</f>
        <v>66</v>
      </c>
      <c r="L135" s="507">
        <f>12.51+1906+3978.5+204</f>
        <v>6101.01</v>
      </c>
      <c r="M135" s="511">
        <v>44818</v>
      </c>
      <c r="N135" s="511">
        <v>44817</v>
      </c>
      <c r="O135" s="511">
        <v>44817</v>
      </c>
      <c r="P135" s="511">
        <v>44864</v>
      </c>
      <c r="Q135" s="511">
        <v>44862</v>
      </c>
      <c r="R135" s="512" t="s">
        <v>5933</v>
      </c>
      <c r="S135" s="515" t="s">
        <v>3752</v>
      </c>
      <c r="T135" s="510"/>
      <c r="U135" s="516" t="s">
        <v>3031</v>
      </c>
      <c r="V135" s="359">
        <v>44845</v>
      </c>
      <c r="W135" s="510" t="s">
        <v>3337</v>
      </c>
      <c r="X135" s="510" t="s">
        <v>3341</v>
      </c>
      <c r="Y135" s="637"/>
      <c r="Z135" s="639"/>
      <c r="AA135" s="639" t="s">
        <v>3982</v>
      </c>
      <c r="AB135" s="639" t="s">
        <v>6176</v>
      </c>
      <c r="AC135" s="639" t="s">
        <v>2146</v>
      </c>
      <c r="AD135" s="659">
        <v>44858</v>
      </c>
      <c r="AE135" s="638">
        <v>6101.01</v>
      </c>
      <c r="AF135" s="507" t="s">
        <v>5454</v>
      </c>
      <c r="AG135" s="510" t="s">
        <v>3108</v>
      </c>
      <c r="AH135" s="517">
        <f>71104.79</f>
        <v>71104.789999999994</v>
      </c>
      <c r="AI135" s="517">
        <f>11389</f>
        <v>11389</v>
      </c>
      <c r="AJ135" s="517">
        <v>1</v>
      </c>
      <c r="AK135" s="517">
        <f t="shared" ref="AK135:AK136" si="100">SUM(AH135:AJ135)</f>
        <v>82494.789999999994</v>
      </c>
      <c r="AL135" s="518">
        <v>5.1919000000000004</v>
      </c>
      <c r="AM135" s="519">
        <f t="shared" si="91"/>
        <v>428304.70020100003</v>
      </c>
      <c r="AN135" s="519">
        <v>0</v>
      </c>
      <c r="AO135" s="510">
        <v>8</v>
      </c>
      <c r="AP135" s="519">
        <v>26800.44</v>
      </c>
      <c r="AQ135" s="519">
        <v>29952.39</v>
      </c>
      <c r="AR135" s="519">
        <v>7752.55</v>
      </c>
      <c r="AS135" s="519">
        <v>35624.79</v>
      </c>
      <c r="AT135" s="519">
        <v>97562.63</v>
      </c>
      <c r="AU135" s="519">
        <v>4750.4399999999996</v>
      </c>
      <c r="AV135" s="519">
        <v>354.76</v>
      </c>
      <c r="AW135" s="510" t="s">
        <v>3139</v>
      </c>
      <c r="AX135" s="520">
        <f t="shared" si="92"/>
        <v>44862</v>
      </c>
      <c r="AY135" s="510">
        <v>1576.77</v>
      </c>
      <c r="AZ135" s="519">
        <f t="shared" si="93"/>
        <v>642457.05030150001</v>
      </c>
      <c r="BA135" s="521">
        <f t="shared" si="94"/>
        <v>1</v>
      </c>
      <c r="BB135" s="519">
        <f t="shared" si="95"/>
        <v>642457.05030150001</v>
      </c>
      <c r="BC135" s="519">
        <v>5330.23</v>
      </c>
      <c r="BD135" s="519">
        <f t="shared" si="96"/>
        <v>-20</v>
      </c>
      <c r="BE135" s="519">
        <f t="shared" si="99"/>
        <v>5310.23</v>
      </c>
      <c r="BF135" s="513" t="s">
        <v>1771</v>
      </c>
      <c r="BG135" s="514" t="s">
        <v>1771</v>
      </c>
      <c r="BH135" s="510" t="s">
        <v>1771</v>
      </c>
      <c r="BI135" s="628"/>
    </row>
    <row r="136" spans="1:61" s="523" customFormat="1" ht="109.5" customHeight="1">
      <c r="A136" s="538" t="s">
        <v>5749</v>
      </c>
      <c r="B136" s="507" t="s">
        <v>3042</v>
      </c>
      <c r="C136" s="507" t="s">
        <v>5694</v>
      </c>
      <c r="D136" s="508" t="s">
        <v>5764</v>
      </c>
      <c r="E136" s="505" t="s">
        <v>5751</v>
      </c>
      <c r="F136" s="505" t="s">
        <v>5750</v>
      </c>
      <c r="G136" s="509" t="s">
        <v>5755</v>
      </c>
      <c r="H136" s="507" t="s">
        <v>5784</v>
      </c>
      <c r="I136" s="510" t="s">
        <v>1771</v>
      </c>
      <c r="J136" s="510">
        <v>1</v>
      </c>
      <c r="K136" s="507">
        <f>1+5+15+1+2+3+3+4</f>
        <v>34</v>
      </c>
      <c r="L136" s="507">
        <f>68+700.5+2066.5+71.5+117+206+203.5+288</f>
        <v>3721</v>
      </c>
      <c r="M136" s="511">
        <v>44813</v>
      </c>
      <c r="N136" s="511">
        <v>44816</v>
      </c>
      <c r="O136" s="511">
        <v>44816</v>
      </c>
      <c r="P136" s="511">
        <v>44864</v>
      </c>
      <c r="Q136" s="511">
        <v>44862</v>
      </c>
      <c r="R136" s="512" t="s">
        <v>5934</v>
      </c>
      <c r="S136" s="515" t="s">
        <v>3752</v>
      </c>
      <c r="T136" s="510" t="s">
        <v>3128</v>
      </c>
      <c r="U136" s="516" t="s">
        <v>3031</v>
      </c>
      <c r="V136" s="359">
        <v>44845</v>
      </c>
      <c r="W136" s="510" t="s">
        <v>3337</v>
      </c>
      <c r="X136" s="510" t="s">
        <v>3341</v>
      </c>
      <c r="Y136" s="637"/>
      <c r="Z136" s="639"/>
      <c r="AA136" s="639" t="s">
        <v>3982</v>
      </c>
      <c r="AB136" s="639" t="s">
        <v>6177</v>
      </c>
      <c r="AC136" s="639" t="s">
        <v>2146</v>
      </c>
      <c r="AD136" s="659">
        <v>44858</v>
      </c>
      <c r="AE136" s="640">
        <v>3721</v>
      </c>
      <c r="AF136" s="507" t="s">
        <v>5765</v>
      </c>
      <c r="AG136" s="510" t="s">
        <v>3108</v>
      </c>
      <c r="AH136" s="517">
        <f>20879.56</f>
        <v>20879.560000000001</v>
      </c>
      <c r="AI136" s="517">
        <f>11389</f>
        <v>11389</v>
      </c>
      <c r="AJ136" s="517">
        <v>1</v>
      </c>
      <c r="AK136" s="517">
        <f t="shared" si="100"/>
        <v>32269.56</v>
      </c>
      <c r="AL136" s="518">
        <v>5.1919000000000004</v>
      </c>
      <c r="AM136" s="519">
        <f t="shared" si="91"/>
        <v>167540.32856400002</v>
      </c>
      <c r="AN136" s="519">
        <v>0</v>
      </c>
      <c r="AO136" s="510">
        <v>2</v>
      </c>
      <c r="AP136" s="519">
        <v>8581.73</v>
      </c>
      <c r="AQ136" s="519">
        <v>9947.17</v>
      </c>
      <c r="AR136" s="519">
        <v>2276.5</v>
      </c>
      <c r="AS136" s="519">
        <v>10461.049999999999</v>
      </c>
      <c r="AT136" s="519">
        <v>29561.08</v>
      </c>
      <c r="AU136" s="519">
        <v>4750.4399999999996</v>
      </c>
      <c r="AV136" s="519">
        <v>192.79</v>
      </c>
      <c r="AW136" s="510" t="s">
        <v>3139</v>
      </c>
      <c r="AX136" s="520">
        <f t="shared" si="92"/>
        <v>44862</v>
      </c>
      <c r="AY136" s="510">
        <v>1576.77</v>
      </c>
      <c r="AZ136" s="519">
        <f t="shared" si="93"/>
        <v>251310.49284600004</v>
      </c>
      <c r="BA136" s="521">
        <f t="shared" si="94"/>
        <v>1</v>
      </c>
      <c r="BB136" s="519">
        <f t="shared" si="95"/>
        <v>251310.49284600004</v>
      </c>
      <c r="BC136" s="519">
        <v>5330.23</v>
      </c>
      <c r="BD136" s="519">
        <f t="shared" si="96"/>
        <v>-80</v>
      </c>
      <c r="BE136" s="519">
        <f t="shared" si="99"/>
        <v>5250.23</v>
      </c>
      <c r="BF136" s="513" t="s">
        <v>1771</v>
      </c>
      <c r="BG136" s="514" t="s">
        <v>1771</v>
      </c>
      <c r="BH136" s="510" t="s">
        <v>1771</v>
      </c>
      <c r="BI136" s="628"/>
    </row>
    <row r="137" spans="1:61" s="523" customFormat="1" ht="144">
      <c r="A137" s="538" t="s">
        <v>5821</v>
      </c>
      <c r="B137" s="647" t="s">
        <v>3042</v>
      </c>
      <c r="C137" s="647" t="s">
        <v>5694</v>
      </c>
      <c r="D137" s="508" t="s">
        <v>5829</v>
      </c>
      <c r="E137" s="505" t="s">
        <v>5820</v>
      </c>
      <c r="F137" s="505" t="s">
        <v>5819</v>
      </c>
      <c r="G137" s="509" t="s">
        <v>5823</v>
      </c>
      <c r="H137" s="647" t="s">
        <v>5824</v>
      </c>
      <c r="I137" s="724" t="s">
        <v>1771</v>
      </c>
      <c r="J137" s="724">
        <v>1</v>
      </c>
      <c r="K137" s="647">
        <f>16+21+8</f>
        <v>45</v>
      </c>
      <c r="L137" s="647">
        <f>293.91+139.35+300.6</f>
        <v>733.86</v>
      </c>
      <c r="M137" s="511">
        <v>44833</v>
      </c>
      <c r="N137" s="511">
        <v>44831</v>
      </c>
      <c r="O137" s="511">
        <v>44831</v>
      </c>
      <c r="P137" s="511">
        <v>44867</v>
      </c>
      <c r="Q137" s="511">
        <v>44872</v>
      </c>
      <c r="R137" s="512" t="s">
        <v>5950</v>
      </c>
      <c r="S137" s="515" t="s">
        <v>3752</v>
      </c>
      <c r="T137" s="510" t="s">
        <v>3128</v>
      </c>
      <c r="U137" s="516" t="s">
        <v>3031</v>
      </c>
      <c r="V137" s="359">
        <v>44855</v>
      </c>
      <c r="W137" s="510" t="s">
        <v>3337</v>
      </c>
      <c r="X137" s="510" t="s">
        <v>3341</v>
      </c>
      <c r="Y137" s="511">
        <v>44869</v>
      </c>
      <c r="Z137" s="510" t="s">
        <v>3252</v>
      </c>
      <c r="AA137" s="510" t="s">
        <v>3982</v>
      </c>
      <c r="AB137" s="510" t="s">
        <v>5947</v>
      </c>
      <c r="AC137" s="510" t="s">
        <v>2146</v>
      </c>
      <c r="AD137" s="511">
        <v>44869</v>
      </c>
      <c r="AE137" s="510">
        <v>476.13202000000001</v>
      </c>
      <c r="AF137" s="647" t="s">
        <v>3460</v>
      </c>
      <c r="AG137" s="510" t="s">
        <v>3108</v>
      </c>
      <c r="AH137" s="517">
        <v>228953.49</v>
      </c>
      <c r="AI137" s="517">
        <v>2050.02</v>
      </c>
      <c r="AJ137" s="517">
        <v>1</v>
      </c>
      <c r="AK137" s="517">
        <f>SUM(AH137:AJ137)</f>
        <v>231004.50999999998</v>
      </c>
      <c r="AL137" s="518">
        <v>5.1349</v>
      </c>
      <c r="AM137" s="519">
        <f>AK137*AL137</f>
        <v>1186185.058399</v>
      </c>
      <c r="AN137" s="519">
        <v>0</v>
      </c>
      <c r="AO137" s="510">
        <v>15</v>
      </c>
      <c r="AP137" s="519">
        <v>113763.43</v>
      </c>
      <c r="AQ137" s="519">
        <v>146182.74</v>
      </c>
      <c r="AR137" s="519">
        <v>24909.88</v>
      </c>
      <c r="AS137" s="519">
        <v>114519.53</v>
      </c>
      <c r="AT137" s="519">
        <v>286109.89</v>
      </c>
      <c r="AU137" s="519">
        <v>862.13</v>
      </c>
      <c r="AV137" s="519">
        <v>478.14</v>
      </c>
      <c r="AW137" s="510" t="s">
        <v>3139</v>
      </c>
      <c r="AX137" s="520">
        <f>Q137</f>
        <v>44872</v>
      </c>
      <c r="AY137" s="510"/>
      <c r="AZ137" s="519">
        <f>(AM137*50%)+AM137</f>
        <v>1779277.5875984998</v>
      </c>
      <c r="BA137" s="521">
        <f>SUM(I137:J137)</f>
        <v>1</v>
      </c>
      <c r="BB137" s="519">
        <f>AZ137/BA137</f>
        <v>1779277.5875984998</v>
      </c>
      <c r="BC137" s="519"/>
      <c r="BD137" s="519">
        <f>(AO137-10)*10</f>
        <v>50</v>
      </c>
      <c r="BE137" s="519">
        <f t="shared" si="99"/>
        <v>50</v>
      </c>
      <c r="BF137" s="513" t="s">
        <v>1771</v>
      </c>
      <c r="BG137" s="514" t="s">
        <v>1771</v>
      </c>
      <c r="BH137" s="510" t="s">
        <v>1771</v>
      </c>
      <c r="BI137" s="628"/>
    </row>
    <row r="138" spans="1:61" s="523" customFormat="1" ht="144">
      <c r="A138" s="538" t="s">
        <v>5813</v>
      </c>
      <c r="B138" s="647" t="s">
        <v>3042</v>
      </c>
      <c r="C138" s="647" t="s">
        <v>5694</v>
      </c>
      <c r="D138" s="508" t="s">
        <v>5830</v>
      </c>
      <c r="E138" s="505" t="s">
        <v>5818</v>
      </c>
      <c r="F138" s="505" t="s">
        <v>5817</v>
      </c>
      <c r="G138" s="509" t="s">
        <v>5822</v>
      </c>
      <c r="H138" s="647" t="s">
        <v>5824</v>
      </c>
      <c r="I138" s="725"/>
      <c r="J138" s="725"/>
      <c r="K138" s="647">
        <f>2+1+15+2+3+3+2+3+1</f>
        <v>32</v>
      </c>
      <c r="L138" s="647">
        <f>130+60.5+2039+72.5+196.5+314+90.18+204.5+47</f>
        <v>3154.18</v>
      </c>
      <c r="M138" s="511">
        <v>44833</v>
      </c>
      <c r="N138" s="511">
        <v>44831</v>
      </c>
      <c r="O138" s="511">
        <v>44831</v>
      </c>
      <c r="P138" s="511">
        <v>44867</v>
      </c>
      <c r="Q138" s="511">
        <v>44872</v>
      </c>
      <c r="R138" s="512" t="s">
        <v>5951</v>
      </c>
      <c r="S138" s="515" t="s">
        <v>3752</v>
      </c>
      <c r="T138" s="510" t="s">
        <v>3128</v>
      </c>
      <c r="U138" s="516" t="s">
        <v>3031</v>
      </c>
      <c r="V138" s="359">
        <v>44855</v>
      </c>
      <c r="W138" s="510" t="s">
        <v>3337</v>
      </c>
      <c r="X138" s="510" t="s">
        <v>3341</v>
      </c>
      <c r="Y138" s="511">
        <v>44869</v>
      </c>
      <c r="Z138" s="510" t="s">
        <v>3252</v>
      </c>
      <c r="AA138" s="510" t="s">
        <v>3982</v>
      </c>
      <c r="AB138" s="510" t="s">
        <v>5948</v>
      </c>
      <c r="AC138" s="510" t="s">
        <v>2146</v>
      </c>
      <c r="AD138" s="511">
        <v>44869</v>
      </c>
      <c r="AE138" s="515">
        <v>2529.43001</v>
      </c>
      <c r="AF138" s="647" t="s">
        <v>5831</v>
      </c>
      <c r="AG138" s="510" t="s">
        <v>3108</v>
      </c>
      <c r="AH138" s="517">
        <v>21396.13</v>
      </c>
      <c r="AI138" s="517">
        <v>9338.98</v>
      </c>
      <c r="AJ138" s="517">
        <v>1</v>
      </c>
      <c r="AK138" s="517">
        <f t="shared" ref="AK138" si="101">SUM(AH138:AJ138)</f>
        <v>30736.11</v>
      </c>
      <c r="AL138" s="518">
        <v>5.1349</v>
      </c>
      <c r="AM138" s="519">
        <f t="shared" ref="AM138:AM153" si="102">AK138*AL138</f>
        <v>157826.85123900001</v>
      </c>
      <c r="AN138" s="519">
        <v>0</v>
      </c>
      <c r="AO138" s="510">
        <v>10</v>
      </c>
      <c r="AP138" s="519">
        <v>13202.86</v>
      </c>
      <c r="AQ138" s="519">
        <v>13216.44</v>
      </c>
      <c r="AR138" s="519">
        <v>3314.37</v>
      </c>
      <c r="AS138" s="519">
        <v>15230.28</v>
      </c>
      <c r="AT138" s="519">
        <v>42548.4</v>
      </c>
      <c r="AU138" s="519">
        <v>3856.37</v>
      </c>
      <c r="AV138" s="519">
        <v>401.04</v>
      </c>
      <c r="AW138" s="510" t="s">
        <v>3139</v>
      </c>
      <c r="AX138" s="520">
        <f t="shared" ref="AX138:AX161" si="103">Q138</f>
        <v>44872</v>
      </c>
      <c r="AY138" s="510"/>
      <c r="AZ138" s="519">
        <f t="shared" ref="AZ138:AZ153" si="104">(AM138*50%)+AM138</f>
        <v>236740.27685850003</v>
      </c>
      <c r="BA138" s="521">
        <f t="shared" ref="BA138:BA161" si="105">SUM(I138:J138)</f>
        <v>0</v>
      </c>
      <c r="BB138" s="519" t="e">
        <f t="shared" ref="BB138:BB161" si="106">AZ138/BA138</f>
        <v>#DIV/0!</v>
      </c>
      <c r="BC138" s="519"/>
      <c r="BD138" s="519">
        <f t="shared" ref="BD138:BD161" si="107">(AO138-10)*10</f>
        <v>0</v>
      </c>
      <c r="BE138" s="519">
        <f t="shared" si="99"/>
        <v>0</v>
      </c>
      <c r="BF138" s="513" t="s">
        <v>1771</v>
      </c>
      <c r="BG138" s="514" t="s">
        <v>1771</v>
      </c>
      <c r="BH138" s="510" t="s">
        <v>1771</v>
      </c>
      <c r="BI138" s="628"/>
    </row>
    <row r="139" spans="1:61" s="523" customFormat="1" ht="144">
      <c r="A139" s="538" t="s">
        <v>5815</v>
      </c>
      <c r="B139" s="648" t="s">
        <v>3042</v>
      </c>
      <c r="C139" s="648" t="s">
        <v>5694</v>
      </c>
      <c r="D139" s="508" t="s">
        <v>5855</v>
      </c>
      <c r="E139" s="505" t="s">
        <v>5841</v>
      </c>
      <c r="F139" s="505" t="s">
        <v>5840</v>
      </c>
      <c r="G139" s="509" t="s">
        <v>5854</v>
      </c>
      <c r="H139" s="648" t="s">
        <v>5824</v>
      </c>
      <c r="I139" s="510" t="s">
        <v>1771</v>
      </c>
      <c r="J139" s="510">
        <v>1</v>
      </c>
      <c r="K139" s="648">
        <f>1+15+15+15</f>
        <v>46</v>
      </c>
      <c r="L139" s="648">
        <f>67.5+1914+1914+1918.5</f>
        <v>5814</v>
      </c>
      <c r="M139" s="511">
        <v>44835</v>
      </c>
      <c r="N139" s="511">
        <v>44834</v>
      </c>
      <c r="O139" s="511">
        <v>44834</v>
      </c>
      <c r="P139" s="511">
        <v>44867</v>
      </c>
      <c r="Q139" s="511">
        <v>44873</v>
      </c>
      <c r="R139" s="512" t="s">
        <v>5957</v>
      </c>
      <c r="S139" s="515" t="s">
        <v>3752</v>
      </c>
      <c r="T139" s="510" t="s">
        <v>3128</v>
      </c>
      <c r="U139" s="516" t="s">
        <v>3031</v>
      </c>
      <c r="V139" s="359">
        <v>44869</v>
      </c>
      <c r="W139" s="510" t="s">
        <v>3337</v>
      </c>
      <c r="X139" s="510" t="s">
        <v>3341</v>
      </c>
      <c r="Y139" s="511">
        <v>44872</v>
      </c>
      <c r="Z139" s="510" t="s">
        <v>3252</v>
      </c>
      <c r="AA139" s="510" t="s">
        <v>3982</v>
      </c>
      <c r="AB139" s="510" t="s">
        <v>5952</v>
      </c>
      <c r="AC139" s="510" t="s">
        <v>2146</v>
      </c>
      <c r="AD139" s="511">
        <v>44872</v>
      </c>
      <c r="AE139" s="515">
        <v>5275.4999900000003</v>
      </c>
      <c r="AF139" s="648" t="s">
        <v>5833</v>
      </c>
      <c r="AG139" s="510" t="s">
        <v>3108</v>
      </c>
      <c r="AH139" s="517">
        <v>83116.740000000005</v>
      </c>
      <c r="AI139" s="517">
        <v>11389</v>
      </c>
      <c r="AJ139" s="517">
        <v>1</v>
      </c>
      <c r="AK139" s="517">
        <f t="shared" ref="AK139" si="108">SUM(AH139:AJ139)</f>
        <v>94506.74</v>
      </c>
      <c r="AL139" s="518">
        <v>5.0359999999999996</v>
      </c>
      <c r="AM139" s="519">
        <f t="shared" si="102"/>
        <v>475935.94263999996</v>
      </c>
      <c r="AN139" s="519">
        <v>0</v>
      </c>
      <c r="AO139" s="510">
        <v>4</v>
      </c>
      <c r="AP139" s="519">
        <v>34323.24</v>
      </c>
      <c r="AQ139" s="519">
        <v>38353.800000000003</v>
      </c>
      <c r="AR139" s="519">
        <v>9994.66</v>
      </c>
      <c r="AS139" s="519">
        <v>45927.81</v>
      </c>
      <c r="AT139" s="519">
        <v>125351.23</v>
      </c>
      <c r="AU139" s="519">
        <v>4608.3999999999996</v>
      </c>
      <c r="AV139" s="519">
        <v>254.49</v>
      </c>
      <c r="AW139" s="510" t="s">
        <v>3139</v>
      </c>
      <c r="AX139" s="520">
        <f t="shared" si="103"/>
        <v>44873</v>
      </c>
      <c r="AY139" s="510"/>
      <c r="AZ139" s="519">
        <f t="shared" si="104"/>
        <v>713903.91395999992</v>
      </c>
      <c r="BA139" s="521">
        <f t="shared" si="105"/>
        <v>1</v>
      </c>
      <c r="BB139" s="519">
        <f t="shared" si="106"/>
        <v>713903.91395999992</v>
      </c>
      <c r="BC139" s="519"/>
      <c r="BD139" s="519">
        <f t="shared" si="107"/>
        <v>-60</v>
      </c>
      <c r="BE139" s="519">
        <f t="shared" si="99"/>
        <v>-60</v>
      </c>
      <c r="BF139" s="513" t="s">
        <v>1771</v>
      </c>
      <c r="BG139" s="514" t="s">
        <v>1771</v>
      </c>
      <c r="BH139" s="510" t="s">
        <v>1771</v>
      </c>
      <c r="BI139" s="628"/>
    </row>
    <row r="140" spans="1:61" s="523" customFormat="1" ht="132">
      <c r="A140" s="538" t="s">
        <v>5847</v>
      </c>
      <c r="B140" s="648" t="s">
        <v>3042</v>
      </c>
      <c r="C140" s="648" t="s">
        <v>5694</v>
      </c>
      <c r="D140" s="508" t="s">
        <v>5853</v>
      </c>
      <c r="E140" s="505" t="s">
        <v>5849</v>
      </c>
      <c r="F140" s="505" t="s">
        <v>5848</v>
      </c>
      <c r="G140" s="509" t="s">
        <v>5852</v>
      </c>
      <c r="H140" s="648" t="s">
        <v>5824</v>
      </c>
      <c r="I140" s="510">
        <v>1</v>
      </c>
      <c r="J140" s="510" t="s">
        <v>1771</v>
      </c>
      <c r="K140" s="648">
        <f>1+1+3+5+8</f>
        <v>18</v>
      </c>
      <c r="L140" s="648">
        <f>34+68+201.5+632+1105.5</f>
        <v>2041</v>
      </c>
      <c r="M140" s="511">
        <v>44835</v>
      </c>
      <c r="N140" s="511">
        <v>44833</v>
      </c>
      <c r="O140" s="511">
        <v>44833</v>
      </c>
      <c r="P140" s="511">
        <v>44867</v>
      </c>
      <c r="Q140" s="511">
        <v>44873</v>
      </c>
      <c r="R140" s="512" t="s">
        <v>5958</v>
      </c>
      <c r="S140" s="515" t="s">
        <v>3752</v>
      </c>
      <c r="T140" s="510" t="s">
        <v>3128</v>
      </c>
      <c r="U140" s="516" t="s">
        <v>3031</v>
      </c>
      <c r="V140" s="359">
        <v>44869</v>
      </c>
      <c r="W140" s="510" t="s">
        <v>3337</v>
      </c>
      <c r="X140" s="510" t="s">
        <v>3341</v>
      </c>
      <c r="Y140" s="511">
        <v>44872</v>
      </c>
      <c r="Z140" s="510" t="s">
        <v>3252</v>
      </c>
      <c r="AA140" s="510" t="s">
        <v>3982</v>
      </c>
      <c r="AB140" s="510" t="s">
        <v>5953</v>
      </c>
      <c r="AC140" s="510" t="s">
        <v>2146</v>
      </c>
      <c r="AD140" s="511">
        <v>44872</v>
      </c>
      <c r="AE140" s="515">
        <v>1712</v>
      </c>
      <c r="AF140" s="648" t="s">
        <v>5833</v>
      </c>
      <c r="AG140" s="510" t="s">
        <v>3108</v>
      </c>
      <c r="AH140" s="517">
        <v>7698.89</v>
      </c>
      <c r="AI140" s="517">
        <v>10550</v>
      </c>
      <c r="AJ140" s="517">
        <v>1</v>
      </c>
      <c r="AK140" s="517">
        <f t="shared" ref="AK140" si="109">SUM(AH140:AJ140)</f>
        <v>18249.89</v>
      </c>
      <c r="AL140" s="518">
        <v>5.0359999999999996</v>
      </c>
      <c r="AM140" s="519">
        <f t="shared" si="102"/>
        <v>91906.446039999995</v>
      </c>
      <c r="AN140" s="519">
        <v>0</v>
      </c>
      <c r="AO140" s="510">
        <v>4</v>
      </c>
      <c r="AP140" s="519">
        <v>6840.68</v>
      </c>
      <c r="AQ140" s="519">
        <v>7743.55</v>
      </c>
      <c r="AR140" s="519">
        <v>1930.03</v>
      </c>
      <c r="AS140" s="519">
        <v>8868.9699999999993</v>
      </c>
      <c r="AT140" s="519">
        <v>25039.96</v>
      </c>
      <c r="AU140" s="519">
        <v>4270.38</v>
      </c>
      <c r="AV140" s="519">
        <v>254.49</v>
      </c>
      <c r="AW140" s="510" t="s">
        <v>3139</v>
      </c>
      <c r="AX140" s="520">
        <f t="shared" si="103"/>
        <v>44873</v>
      </c>
      <c r="AY140" s="510"/>
      <c r="AZ140" s="519">
        <f t="shared" si="104"/>
        <v>137859.66905999999</v>
      </c>
      <c r="BA140" s="521">
        <f t="shared" si="105"/>
        <v>1</v>
      </c>
      <c r="BB140" s="519">
        <f t="shared" si="106"/>
        <v>137859.66905999999</v>
      </c>
      <c r="BC140" s="519"/>
      <c r="BD140" s="519">
        <f t="shared" si="107"/>
        <v>-60</v>
      </c>
      <c r="BE140" s="519">
        <f t="shared" si="99"/>
        <v>-60</v>
      </c>
      <c r="BF140" s="513" t="s">
        <v>1771</v>
      </c>
      <c r="BG140" s="514" t="s">
        <v>1771</v>
      </c>
      <c r="BH140" s="510" t="s">
        <v>1771</v>
      </c>
      <c r="BI140" s="628"/>
    </row>
    <row r="141" spans="1:61" s="523" customFormat="1" ht="144">
      <c r="A141" s="538" t="s">
        <v>5814</v>
      </c>
      <c r="B141" s="649" t="s">
        <v>3042</v>
      </c>
      <c r="C141" s="649" t="s">
        <v>5694</v>
      </c>
      <c r="D141" s="508" t="s">
        <v>5832</v>
      </c>
      <c r="E141" s="505" t="s">
        <v>5826</v>
      </c>
      <c r="F141" s="505" t="s">
        <v>5825</v>
      </c>
      <c r="G141" s="509" t="s">
        <v>5828</v>
      </c>
      <c r="H141" s="649" t="s">
        <v>5824</v>
      </c>
      <c r="I141" s="510" t="s">
        <v>1771</v>
      </c>
      <c r="J141" s="510">
        <v>1</v>
      </c>
      <c r="K141" s="649">
        <f>15+5+15+4+4+1</f>
        <v>44</v>
      </c>
      <c r="L141" s="649">
        <f>2053.5+700.5+2080.5+271+573+0.62</f>
        <v>5679.12</v>
      </c>
      <c r="M141" s="511">
        <v>44833</v>
      </c>
      <c r="N141" s="511">
        <v>44832</v>
      </c>
      <c r="O141" s="511">
        <v>44832</v>
      </c>
      <c r="P141" s="511">
        <v>44867</v>
      </c>
      <c r="Q141" s="511">
        <v>44876</v>
      </c>
      <c r="R141" s="512" t="s">
        <v>5977</v>
      </c>
      <c r="S141" s="515" t="s">
        <v>3752</v>
      </c>
      <c r="T141" s="510" t="s">
        <v>3128</v>
      </c>
      <c r="U141" s="516" t="s">
        <v>3031</v>
      </c>
      <c r="V141" s="359">
        <v>44855</v>
      </c>
      <c r="W141" s="510" t="s">
        <v>3337</v>
      </c>
      <c r="X141" s="510" t="s">
        <v>3341</v>
      </c>
      <c r="Y141" s="511">
        <v>44872</v>
      </c>
      <c r="Z141" s="510" t="s">
        <v>3252</v>
      </c>
      <c r="AA141" s="510" t="s">
        <v>3982</v>
      </c>
      <c r="AB141" s="510" t="s">
        <v>5954</v>
      </c>
      <c r="AC141" s="510" t="s">
        <v>2146</v>
      </c>
      <c r="AD141" s="511">
        <v>44872</v>
      </c>
      <c r="AE141" s="515">
        <v>4699.8700099999996</v>
      </c>
      <c r="AF141" s="649" t="s">
        <v>5833</v>
      </c>
      <c r="AG141" s="510" t="s">
        <v>3108</v>
      </c>
      <c r="AH141" s="517">
        <v>24303.01</v>
      </c>
      <c r="AI141" s="517">
        <v>11389</v>
      </c>
      <c r="AJ141" s="517">
        <v>1</v>
      </c>
      <c r="AK141" s="517">
        <f t="shared" ref="AK141:AK142" si="110">SUM(AH141:AJ141)</f>
        <v>35693.009999999995</v>
      </c>
      <c r="AL141" s="518">
        <v>5.0359999999999996</v>
      </c>
      <c r="AM141" s="519">
        <f t="shared" si="102"/>
        <v>179749.99835999997</v>
      </c>
      <c r="AN141" s="519">
        <v>0</v>
      </c>
      <c r="AO141" s="510">
        <v>5</v>
      </c>
      <c r="AP141" s="519">
        <v>13253.73</v>
      </c>
      <c r="AQ141" s="519">
        <v>14824.48</v>
      </c>
      <c r="AR141" s="519">
        <v>3774.74</v>
      </c>
      <c r="AS141" s="519">
        <v>17345.86</v>
      </c>
      <c r="AT141" s="519">
        <v>48077.1</v>
      </c>
      <c r="AU141" s="519">
        <v>4608.3999999999996</v>
      </c>
      <c r="AV141" s="519">
        <v>285.33999999999997</v>
      </c>
      <c r="AW141" s="510" t="s">
        <v>3139</v>
      </c>
      <c r="AX141" s="520">
        <f t="shared" si="103"/>
        <v>44876</v>
      </c>
      <c r="AY141" s="510"/>
      <c r="AZ141" s="519">
        <f t="shared" si="104"/>
        <v>269624.99753999995</v>
      </c>
      <c r="BA141" s="521">
        <f t="shared" si="105"/>
        <v>1</v>
      </c>
      <c r="BB141" s="519">
        <f t="shared" si="106"/>
        <v>269624.99753999995</v>
      </c>
      <c r="BC141" s="519"/>
      <c r="BD141" s="519">
        <f t="shared" si="107"/>
        <v>-50</v>
      </c>
      <c r="BE141" s="519">
        <f t="shared" si="99"/>
        <v>-50</v>
      </c>
      <c r="BF141" s="513" t="s">
        <v>1771</v>
      </c>
      <c r="BG141" s="514" t="s">
        <v>1771</v>
      </c>
      <c r="BH141" s="510" t="s">
        <v>1771</v>
      </c>
      <c r="BI141" s="628"/>
    </row>
    <row r="142" spans="1:61" s="523" customFormat="1" ht="132">
      <c r="A142" s="538" t="s">
        <v>5812</v>
      </c>
      <c r="B142" s="649" t="s">
        <v>3042</v>
      </c>
      <c r="C142" s="649" t="s">
        <v>5694</v>
      </c>
      <c r="D142" s="508" t="s">
        <v>5805</v>
      </c>
      <c r="E142" s="505" t="s">
        <v>5803</v>
      </c>
      <c r="F142" s="505" t="s">
        <v>5802</v>
      </c>
      <c r="G142" s="509">
        <v>914620309</v>
      </c>
      <c r="H142" s="649" t="s">
        <v>5949</v>
      </c>
      <c r="I142" s="510" t="s">
        <v>1771</v>
      </c>
      <c r="J142" s="510">
        <v>1</v>
      </c>
      <c r="K142" s="649">
        <f>15+15+15</f>
        <v>45</v>
      </c>
      <c r="L142" s="649">
        <f>1887+1889+2080.15</f>
        <v>5856.15</v>
      </c>
      <c r="M142" s="511">
        <v>44831</v>
      </c>
      <c r="N142" s="511">
        <v>44831</v>
      </c>
      <c r="O142" s="511">
        <v>44831</v>
      </c>
      <c r="P142" s="511">
        <v>44871</v>
      </c>
      <c r="Q142" s="511">
        <v>44876</v>
      </c>
      <c r="R142" s="512" t="s">
        <v>5978</v>
      </c>
      <c r="S142" s="515" t="s">
        <v>3752</v>
      </c>
      <c r="T142" s="510" t="s">
        <v>5804</v>
      </c>
      <c r="U142" s="516" t="s">
        <v>3031</v>
      </c>
      <c r="V142" s="359">
        <v>44869</v>
      </c>
      <c r="W142" s="510" t="s">
        <v>3147</v>
      </c>
      <c r="X142" s="510" t="s">
        <v>3147</v>
      </c>
      <c r="Y142" s="511">
        <v>44872</v>
      </c>
      <c r="Z142" s="510" t="s">
        <v>3252</v>
      </c>
      <c r="AA142" s="510" t="s">
        <v>3982</v>
      </c>
      <c r="AB142" s="510" t="s">
        <v>5955</v>
      </c>
      <c r="AC142" s="510" t="s">
        <v>2146</v>
      </c>
      <c r="AD142" s="511">
        <v>44872</v>
      </c>
      <c r="AE142" s="515">
        <v>5166.5</v>
      </c>
      <c r="AF142" s="649" t="s">
        <v>3238</v>
      </c>
      <c r="AG142" s="510" t="s">
        <v>3108</v>
      </c>
      <c r="AH142" s="517">
        <v>67288.850000000006</v>
      </c>
      <c r="AI142" s="517">
        <v>9239</v>
      </c>
      <c r="AJ142" s="517">
        <v>1</v>
      </c>
      <c r="AK142" s="517">
        <f t="shared" si="110"/>
        <v>76528.850000000006</v>
      </c>
      <c r="AL142" s="518">
        <v>5.0359999999999996</v>
      </c>
      <c r="AM142" s="519">
        <f t="shared" si="102"/>
        <v>385399.28859999997</v>
      </c>
      <c r="AN142" s="519">
        <v>0</v>
      </c>
      <c r="AO142" s="510">
        <v>5</v>
      </c>
      <c r="AP142" s="519">
        <v>27748.76</v>
      </c>
      <c r="AQ142" s="519">
        <v>30986.080000000002</v>
      </c>
      <c r="AR142" s="519">
        <v>8093.38</v>
      </c>
      <c r="AS142" s="519">
        <v>37191.03</v>
      </c>
      <c r="AT142" s="519">
        <v>101515.63</v>
      </c>
      <c r="AU142" s="519">
        <v>3742.2</v>
      </c>
      <c r="AV142" s="519">
        <v>285.33999999999997</v>
      </c>
      <c r="AW142" s="510" t="s">
        <v>3139</v>
      </c>
      <c r="AX142" s="520">
        <f t="shared" si="103"/>
        <v>44876</v>
      </c>
      <c r="AY142" s="510"/>
      <c r="AZ142" s="519">
        <f t="shared" si="104"/>
        <v>578098.9328999999</v>
      </c>
      <c r="BA142" s="521">
        <f t="shared" si="105"/>
        <v>1</v>
      </c>
      <c r="BB142" s="519">
        <f t="shared" si="106"/>
        <v>578098.9328999999</v>
      </c>
      <c r="BC142" s="519"/>
      <c r="BD142" s="519">
        <f t="shared" si="107"/>
        <v>-50</v>
      </c>
      <c r="BE142" s="519">
        <f t="shared" si="99"/>
        <v>-50</v>
      </c>
      <c r="BF142" s="513" t="s">
        <v>1771</v>
      </c>
      <c r="BG142" s="514" t="s">
        <v>1771</v>
      </c>
      <c r="BH142" s="510" t="s">
        <v>1771</v>
      </c>
      <c r="BI142" s="628"/>
    </row>
    <row r="143" spans="1:61" s="523" customFormat="1" ht="132">
      <c r="A143" s="538" t="s">
        <v>5816</v>
      </c>
      <c r="B143" s="649" t="s">
        <v>3042</v>
      </c>
      <c r="C143" s="649" t="s">
        <v>5694</v>
      </c>
      <c r="D143" s="508">
        <v>4800017674</v>
      </c>
      <c r="E143" s="505" t="s">
        <v>5843</v>
      </c>
      <c r="F143" s="505" t="s">
        <v>5842</v>
      </c>
      <c r="G143" s="509">
        <v>221995032</v>
      </c>
      <c r="H143" s="649" t="s">
        <v>5949</v>
      </c>
      <c r="I143" s="510" t="s">
        <v>1771</v>
      </c>
      <c r="J143" s="510">
        <v>1</v>
      </c>
      <c r="K143" s="649">
        <f>15+15+15</f>
        <v>45</v>
      </c>
      <c r="L143" s="649">
        <f>1925.5+1926.5+1911.5</f>
        <v>5763.5</v>
      </c>
      <c r="M143" s="511">
        <v>44835</v>
      </c>
      <c r="N143" s="511">
        <v>44834</v>
      </c>
      <c r="O143" s="511">
        <v>44834</v>
      </c>
      <c r="P143" s="511">
        <v>44871</v>
      </c>
      <c r="Q143" s="511">
        <v>44876</v>
      </c>
      <c r="R143" s="512" t="s">
        <v>5979</v>
      </c>
      <c r="S143" s="515" t="s">
        <v>3752</v>
      </c>
      <c r="T143" s="510" t="s">
        <v>5804</v>
      </c>
      <c r="U143" s="516" t="s">
        <v>3031</v>
      </c>
      <c r="V143" s="359">
        <v>44869</v>
      </c>
      <c r="W143" s="510" t="s">
        <v>3147</v>
      </c>
      <c r="X143" s="510" t="s">
        <v>3147</v>
      </c>
      <c r="Y143" s="511">
        <v>44872</v>
      </c>
      <c r="Z143" s="510" t="s">
        <v>3252</v>
      </c>
      <c r="AA143" s="510" t="s">
        <v>3982</v>
      </c>
      <c r="AB143" s="510" t="s">
        <v>5956</v>
      </c>
      <c r="AC143" s="510" t="s">
        <v>2146</v>
      </c>
      <c r="AD143" s="511">
        <v>44872</v>
      </c>
      <c r="AE143" s="515">
        <v>5246</v>
      </c>
      <c r="AF143" s="649" t="s">
        <v>3238</v>
      </c>
      <c r="AG143" s="510" t="s">
        <v>3108</v>
      </c>
      <c r="AH143" s="517">
        <v>85068.66</v>
      </c>
      <c r="AI143" s="517">
        <v>9239</v>
      </c>
      <c r="AJ143" s="517">
        <v>1</v>
      </c>
      <c r="AK143" s="517">
        <f t="shared" ref="AK143" si="111">SUM(AH143:AJ143)</f>
        <v>94308.66</v>
      </c>
      <c r="AL143" s="518">
        <v>5.0359999999999996</v>
      </c>
      <c r="AM143" s="519">
        <f t="shared" si="102"/>
        <v>474938.41175999999</v>
      </c>
      <c r="AN143" s="519">
        <v>0</v>
      </c>
      <c r="AO143" s="510">
        <v>4</v>
      </c>
      <c r="AP143" s="519">
        <v>34195.57</v>
      </c>
      <c r="AQ143" s="519">
        <v>38185.019999999997</v>
      </c>
      <c r="AR143" s="519">
        <v>9973.69</v>
      </c>
      <c r="AS143" s="519">
        <v>45831.56</v>
      </c>
      <c r="AT143" s="519">
        <v>124888.38</v>
      </c>
      <c r="AU143" s="519">
        <v>3742.2</v>
      </c>
      <c r="AV143" s="519">
        <v>254.49</v>
      </c>
      <c r="AW143" s="510" t="s">
        <v>3139</v>
      </c>
      <c r="AX143" s="520">
        <f t="shared" si="103"/>
        <v>44876</v>
      </c>
      <c r="AY143" s="510"/>
      <c r="AZ143" s="519">
        <f t="shared" si="104"/>
        <v>712407.61763999995</v>
      </c>
      <c r="BA143" s="521">
        <f t="shared" si="105"/>
        <v>1</v>
      </c>
      <c r="BB143" s="519">
        <f t="shared" si="106"/>
        <v>712407.61763999995</v>
      </c>
      <c r="BC143" s="519"/>
      <c r="BD143" s="519">
        <f t="shared" si="107"/>
        <v>-60</v>
      </c>
      <c r="BE143" s="519">
        <f t="shared" si="99"/>
        <v>-60</v>
      </c>
      <c r="BF143" s="513" t="s">
        <v>1771</v>
      </c>
      <c r="BG143" s="514" t="s">
        <v>1771</v>
      </c>
      <c r="BH143" s="510" t="s">
        <v>1771</v>
      </c>
      <c r="BI143" s="628"/>
    </row>
    <row r="144" spans="1:61" s="523" customFormat="1" ht="132">
      <c r="A144" s="538" t="s">
        <v>5844</v>
      </c>
      <c r="B144" s="650" t="s">
        <v>3042</v>
      </c>
      <c r="C144" s="650" t="s">
        <v>5694</v>
      </c>
      <c r="D144" s="508" t="s">
        <v>5851</v>
      </c>
      <c r="E144" s="505" t="s">
        <v>5846</v>
      </c>
      <c r="F144" s="505" t="s">
        <v>5845</v>
      </c>
      <c r="G144" s="509">
        <v>609254749</v>
      </c>
      <c r="H144" s="650" t="s">
        <v>5850</v>
      </c>
      <c r="I144" s="510" t="s">
        <v>1771</v>
      </c>
      <c r="J144" s="510">
        <v>1</v>
      </c>
      <c r="K144" s="650">
        <f>9+2+15+8+8</f>
        <v>42</v>
      </c>
      <c r="L144" s="650">
        <f>1320+113.5+1915.5+1081+1087</f>
        <v>5517</v>
      </c>
      <c r="M144" s="511">
        <v>44839</v>
      </c>
      <c r="N144" s="511">
        <v>44839</v>
      </c>
      <c r="O144" s="511">
        <v>44839</v>
      </c>
      <c r="P144" s="511">
        <v>44880</v>
      </c>
      <c r="Q144" s="511">
        <v>44887</v>
      </c>
      <c r="R144" s="512" t="s">
        <v>5996</v>
      </c>
      <c r="S144" s="515" t="s">
        <v>3752</v>
      </c>
      <c r="T144" s="510" t="s">
        <v>5804</v>
      </c>
      <c r="U144" s="516" t="s">
        <v>3031</v>
      </c>
      <c r="V144" s="359">
        <v>44876</v>
      </c>
      <c r="W144" s="510" t="s">
        <v>3147</v>
      </c>
      <c r="X144" s="510" t="s">
        <v>3147</v>
      </c>
      <c r="Y144" s="511">
        <v>44879</v>
      </c>
      <c r="Z144" s="510" t="s">
        <v>3298</v>
      </c>
      <c r="AA144" s="510" t="s">
        <v>3982</v>
      </c>
      <c r="AB144" s="510" t="s">
        <v>5997</v>
      </c>
      <c r="AC144" s="510" t="s">
        <v>2146</v>
      </c>
      <c r="AD144" s="511">
        <v>44881</v>
      </c>
      <c r="AE144" s="515">
        <v>4882.0529999999999</v>
      </c>
      <c r="AF144" s="652" t="s">
        <v>4279</v>
      </c>
      <c r="AG144" s="510" t="s">
        <v>3108</v>
      </c>
      <c r="AH144" s="517">
        <v>47535.34</v>
      </c>
      <c r="AI144" s="517">
        <v>9239</v>
      </c>
      <c r="AJ144" s="517">
        <v>1</v>
      </c>
      <c r="AK144" s="517">
        <f t="shared" ref="AK144:AK153" si="112">SUM(AH144:AJ144)</f>
        <v>56775.34</v>
      </c>
      <c r="AL144" s="518">
        <v>5.3013000000000003</v>
      </c>
      <c r="AM144" s="519">
        <f t="shared" si="102"/>
        <v>300983.10994200001</v>
      </c>
      <c r="AN144" s="519">
        <v>0</v>
      </c>
      <c r="AO144" s="510">
        <v>4</v>
      </c>
      <c r="AP144" s="519">
        <v>21670.78</v>
      </c>
      <c r="AQ144" s="519">
        <v>24199.01</v>
      </c>
      <c r="AR144" s="519">
        <v>6320.63</v>
      </c>
      <c r="AS144" s="519">
        <v>29044.87</v>
      </c>
      <c r="AT144" s="519">
        <v>79510.600000000006</v>
      </c>
      <c r="AU144" s="519">
        <v>3941.1</v>
      </c>
      <c r="AV144" s="519">
        <v>254.49</v>
      </c>
      <c r="AW144" s="510" t="s">
        <v>3139</v>
      </c>
      <c r="AX144" s="520">
        <f t="shared" si="103"/>
        <v>44887</v>
      </c>
      <c r="AY144" s="510"/>
      <c r="AZ144" s="519">
        <f t="shared" si="104"/>
        <v>451474.66491300002</v>
      </c>
      <c r="BA144" s="521">
        <f t="shared" si="105"/>
        <v>1</v>
      </c>
      <c r="BB144" s="519">
        <f t="shared" si="106"/>
        <v>451474.66491300002</v>
      </c>
      <c r="BC144" s="519"/>
      <c r="BD144" s="519">
        <f t="shared" si="107"/>
        <v>-60</v>
      </c>
      <c r="BE144" s="519">
        <f t="shared" si="99"/>
        <v>-60</v>
      </c>
      <c r="BF144" s="513" t="s">
        <v>1771</v>
      </c>
      <c r="BG144" s="514" t="s">
        <v>1771</v>
      </c>
      <c r="BH144" s="510" t="s">
        <v>1771</v>
      </c>
      <c r="BI144" s="628"/>
    </row>
    <row r="145" spans="1:61" s="523" customFormat="1" ht="96">
      <c r="A145" s="538" t="s">
        <v>5870</v>
      </c>
      <c r="B145" s="650" t="s">
        <v>3042</v>
      </c>
      <c r="C145" s="650" t="s">
        <v>5694</v>
      </c>
      <c r="D145" s="508" t="s">
        <v>5873</v>
      </c>
      <c r="E145" s="505" t="s">
        <v>5872</v>
      </c>
      <c r="F145" s="505" t="s">
        <v>5871</v>
      </c>
      <c r="G145" s="509">
        <v>609254750</v>
      </c>
      <c r="H145" s="650" t="s">
        <v>5874</v>
      </c>
      <c r="I145" s="510">
        <v>1</v>
      </c>
      <c r="J145" s="510" t="s">
        <v>1771</v>
      </c>
      <c r="K145" s="650">
        <f>1+1+3+7+8</f>
        <v>20</v>
      </c>
      <c r="L145" s="650">
        <f>9.88+69+200+939.5+1106</f>
        <v>2324.38</v>
      </c>
      <c r="M145" s="511">
        <v>44845</v>
      </c>
      <c r="N145" s="511">
        <v>44845</v>
      </c>
      <c r="O145" s="511"/>
      <c r="P145" s="511">
        <v>44885</v>
      </c>
      <c r="Q145" s="511">
        <v>44888</v>
      </c>
      <c r="R145" s="512" t="s">
        <v>5998</v>
      </c>
      <c r="S145" s="515" t="s">
        <v>3752</v>
      </c>
      <c r="T145" s="510" t="s">
        <v>5804</v>
      </c>
      <c r="U145" s="516" t="s">
        <v>3031</v>
      </c>
      <c r="V145" s="359">
        <v>44883</v>
      </c>
      <c r="W145" s="510" t="s">
        <v>3147</v>
      </c>
      <c r="X145" s="510" t="s">
        <v>3147</v>
      </c>
      <c r="Y145" s="511">
        <v>44886</v>
      </c>
      <c r="Z145" s="510" t="s">
        <v>3298</v>
      </c>
      <c r="AA145" s="510" t="s">
        <v>3982</v>
      </c>
      <c r="AB145" s="510" t="s">
        <v>5999</v>
      </c>
      <c r="AC145" s="510" t="s">
        <v>2146</v>
      </c>
      <c r="AD145" s="511">
        <v>44887</v>
      </c>
      <c r="AE145" s="515">
        <v>1918.7109</v>
      </c>
      <c r="AF145" s="650" t="s">
        <v>4631</v>
      </c>
      <c r="AG145" s="510" t="s">
        <v>3108</v>
      </c>
      <c r="AH145" s="517">
        <v>11624.87</v>
      </c>
      <c r="AI145" s="517">
        <v>8909</v>
      </c>
      <c r="AJ145" s="517">
        <v>1</v>
      </c>
      <c r="AK145" s="517">
        <f t="shared" si="112"/>
        <v>20534.870000000003</v>
      </c>
      <c r="AL145" s="518">
        <v>5.3258999999999999</v>
      </c>
      <c r="AM145" s="519">
        <f t="shared" si="102"/>
        <v>109366.66413300001</v>
      </c>
      <c r="AN145" s="519">
        <v>0</v>
      </c>
      <c r="AO145" s="510">
        <v>7</v>
      </c>
      <c r="AP145" s="519">
        <v>7175.4</v>
      </c>
      <c r="AQ145" s="519">
        <v>7988.98</v>
      </c>
      <c r="AR145" s="519">
        <v>2296.6999999999998</v>
      </c>
      <c r="AS145" s="519">
        <v>10553.87</v>
      </c>
      <c r="AT145" s="519">
        <v>29317.09</v>
      </c>
      <c r="AU145" s="519">
        <v>3831.41</v>
      </c>
      <c r="AV145" s="519">
        <v>331.62</v>
      </c>
      <c r="AW145" s="510" t="s">
        <v>3139</v>
      </c>
      <c r="AX145" s="520">
        <f t="shared" si="103"/>
        <v>44888</v>
      </c>
      <c r="AY145" s="510"/>
      <c r="AZ145" s="519">
        <f t="shared" si="104"/>
        <v>164049.99619950002</v>
      </c>
      <c r="BA145" s="521">
        <f t="shared" si="105"/>
        <v>1</v>
      </c>
      <c r="BB145" s="519">
        <f t="shared" si="106"/>
        <v>164049.99619950002</v>
      </c>
      <c r="BC145" s="519"/>
      <c r="BD145" s="519">
        <f t="shared" si="107"/>
        <v>-30</v>
      </c>
      <c r="BE145" s="519">
        <f t="shared" si="99"/>
        <v>-30</v>
      </c>
      <c r="BF145" s="513" t="s">
        <v>1771</v>
      </c>
      <c r="BG145" s="514" t="s">
        <v>1771</v>
      </c>
      <c r="BH145" s="510" t="s">
        <v>1771</v>
      </c>
      <c r="BI145" s="628"/>
    </row>
    <row r="146" spans="1:61" s="523" customFormat="1" ht="156">
      <c r="A146" s="538" t="s">
        <v>5879</v>
      </c>
      <c r="B146" s="650" t="s">
        <v>3042</v>
      </c>
      <c r="C146" s="650" t="s">
        <v>5694</v>
      </c>
      <c r="D146" s="508" t="s">
        <v>5880</v>
      </c>
      <c r="E146" s="505" t="s">
        <v>5881</v>
      </c>
      <c r="F146" s="505" t="s">
        <v>5882</v>
      </c>
      <c r="G146" s="509">
        <v>222385055</v>
      </c>
      <c r="H146" s="650" t="s">
        <v>5874</v>
      </c>
      <c r="I146" s="724" t="s">
        <v>1771</v>
      </c>
      <c r="J146" s="724">
        <v>1</v>
      </c>
      <c r="K146" s="651">
        <f>6+15+5+1+1+1+4+3+4+4+4+1+1</f>
        <v>50</v>
      </c>
      <c r="L146" s="651">
        <f>746.5+1904+880.5+101.5+14.29+7.34+381+385+378.5+375+378+0.6+1.74</f>
        <v>5553.97</v>
      </c>
      <c r="M146" s="511"/>
      <c r="N146" s="511">
        <v>44848</v>
      </c>
      <c r="O146" s="511">
        <v>44848</v>
      </c>
      <c r="P146" s="511">
        <v>44885</v>
      </c>
      <c r="Q146" s="511">
        <v>44888</v>
      </c>
      <c r="R146" s="512" t="s">
        <v>6000</v>
      </c>
      <c r="S146" s="515" t="s">
        <v>3752</v>
      </c>
      <c r="T146" s="510" t="s">
        <v>5804</v>
      </c>
      <c r="U146" s="516" t="s">
        <v>3031</v>
      </c>
      <c r="V146" s="359">
        <v>44880</v>
      </c>
      <c r="W146" s="510" t="s">
        <v>3147</v>
      </c>
      <c r="X146" s="510" t="s">
        <v>3147</v>
      </c>
      <c r="Y146" s="511">
        <v>44886</v>
      </c>
      <c r="Z146" s="510" t="s">
        <v>3298</v>
      </c>
      <c r="AA146" s="510" t="s">
        <v>3982</v>
      </c>
      <c r="AB146" s="510" t="s">
        <v>6001</v>
      </c>
      <c r="AC146" s="510" t="s">
        <v>2146</v>
      </c>
      <c r="AD146" s="511">
        <v>44887</v>
      </c>
      <c r="AE146" s="515">
        <v>4837.7800200000001</v>
      </c>
      <c r="AF146" s="650" t="s">
        <v>5883</v>
      </c>
      <c r="AG146" s="510" t="s">
        <v>3108</v>
      </c>
      <c r="AH146" s="517">
        <v>69495.399999999994</v>
      </c>
      <c r="AI146" s="517">
        <v>8548.86</v>
      </c>
      <c r="AJ146" s="517">
        <v>1</v>
      </c>
      <c r="AK146" s="517">
        <f t="shared" si="112"/>
        <v>78045.259999999995</v>
      </c>
      <c r="AL146" s="518">
        <v>5.3258999999999999</v>
      </c>
      <c r="AM146" s="519">
        <f t="shared" si="102"/>
        <v>415661.25023399998</v>
      </c>
      <c r="AN146" s="519">
        <v>0</v>
      </c>
      <c r="AO146" s="510">
        <v>16</v>
      </c>
      <c r="AP146" s="519">
        <v>31306.16</v>
      </c>
      <c r="AQ146" s="519">
        <v>32866.54</v>
      </c>
      <c r="AR146" s="519">
        <v>8728.89</v>
      </c>
      <c r="AS146" s="519">
        <v>40111.29</v>
      </c>
      <c r="AT146" s="519">
        <v>107675.77</v>
      </c>
      <c r="AU146" s="519">
        <v>3680.33</v>
      </c>
      <c r="AV146" s="519">
        <v>493.56</v>
      </c>
      <c r="AW146" s="510" t="s">
        <v>3139</v>
      </c>
      <c r="AX146" s="520">
        <f t="shared" ref="AX146" si="113">Q146</f>
        <v>44888</v>
      </c>
      <c r="AY146" s="510"/>
      <c r="AZ146" s="519">
        <f t="shared" ref="AZ146" si="114">(AM146*50%)+AM146</f>
        <v>623491.875351</v>
      </c>
      <c r="BA146" s="521">
        <f t="shared" ref="BA146" si="115">SUM(I146:J146)</f>
        <v>1</v>
      </c>
      <c r="BB146" s="519">
        <f t="shared" ref="BB146" si="116">AZ146/BA146</f>
        <v>623491.875351</v>
      </c>
      <c r="BC146" s="519"/>
      <c r="BD146" s="519">
        <f t="shared" si="107"/>
        <v>60</v>
      </c>
      <c r="BE146" s="519">
        <f t="shared" si="99"/>
        <v>60</v>
      </c>
      <c r="BF146" s="513" t="s">
        <v>1771</v>
      </c>
      <c r="BG146" s="514" t="s">
        <v>1771</v>
      </c>
      <c r="BH146" s="510" t="s">
        <v>1771</v>
      </c>
      <c r="BI146" s="628"/>
    </row>
    <row r="147" spans="1:61" s="523" customFormat="1" ht="120">
      <c r="A147" s="538" t="s">
        <v>5875</v>
      </c>
      <c r="B147" s="650" t="s">
        <v>3042</v>
      </c>
      <c r="C147" s="650" t="s">
        <v>5694</v>
      </c>
      <c r="D147" s="508" t="s">
        <v>5876</v>
      </c>
      <c r="E147" s="505" t="s">
        <v>5877</v>
      </c>
      <c r="F147" s="505" t="s">
        <v>5878</v>
      </c>
      <c r="G147" s="509">
        <v>222326474</v>
      </c>
      <c r="H147" s="650" t="s">
        <v>5874</v>
      </c>
      <c r="I147" s="725"/>
      <c r="J147" s="725"/>
      <c r="K147" s="74">
        <f>17+1+1+1</f>
        <v>20</v>
      </c>
      <c r="L147" s="74">
        <f>314.41+12.43+6.67+58.8</f>
        <v>392.31000000000006</v>
      </c>
      <c r="M147" s="642"/>
      <c r="N147" s="511">
        <v>44848</v>
      </c>
      <c r="O147" s="511">
        <v>44848</v>
      </c>
      <c r="P147" s="511">
        <v>44885</v>
      </c>
      <c r="Q147" s="511">
        <v>44888</v>
      </c>
      <c r="R147" s="512" t="s">
        <v>6002</v>
      </c>
      <c r="S147" s="515" t="s">
        <v>3752</v>
      </c>
      <c r="T147" s="510" t="s">
        <v>5804</v>
      </c>
      <c r="U147" s="516" t="s">
        <v>3031</v>
      </c>
      <c r="V147" s="359">
        <v>44880</v>
      </c>
      <c r="W147" s="510" t="s">
        <v>3147</v>
      </c>
      <c r="X147" s="510" t="s">
        <v>3147</v>
      </c>
      <c r="Y147" s="511">
        <v>44886</v>
      </c>
      <c r="Z147" s="510" t="s">
        <v>3298</v>
      </c>
      <c r="AA147" s="510" t="s">
        <v>3982</v>
      </c>
      <c r="AB147" s="510" t="s">
        <v>6003</v>
      </c>
      <c r="AC147" s="510" t="s">
        <v>2146</v>
      </c>
      <c r="AD147" s="511">
        <v>44887</v>
      </c>
      <c r="AE147" s="510">
        <v>242.77</v>
      </c>
      <c r="AF147" s="650" t="s">
        <v>5889</v>
      </c>
      <c r="AG147" s="510" t="s">
        <v>3108</v>
      </c>
      <c r="AH147" s="517">
        <v>13540.69</v>
      </c>
      <c r="AI147" s="517">
        <v>683.14</v>
      </c>
      <c r="AJ147" s="517">
        <v>1</v>
      </c>
      <c r="AK147" s="517">
        <f t="shared" si="112"/>
        <v>14224.83</v>
      </c>
      <c r="AL147" s="518">
        <v>5.3258999999999999</v>
      </c>
      <c r="AM147" s="519">
        <f t="shared" si="102"/>
        <v>75760.022096999994</v>
      </c>
      <c r="AN147" s="519">
        <v>0</v>
      </c>
      <c r="AO147" s="510">
        <v>9</v>
      </c>
      <c r="AP147" s="519">
        <v>6749.45</v>
      </c>
      <c r="AQ147" s="519">
        <v>6841.45</v>
      </c>
      <c r="AR147" s="519">
        <v>1590.95</v>
      </c>
      <c r="AS147" s="519">
        <v>7452.54</v>
      </c>
      <c r="AT147" s="519">
        <v>18400.88</v>
      </c>
      <c r="AU147" s="519">
        <v>312.25</v>
      </c>
      <c r="AV147" s="519">
        <v>377.9</v>
      </c>
      <c r="AW147" s="510" t="s">
        <v>3139</v>
      </c>
      <c r="AX147" s="520">
        <f t="shared" si="103"/>
        <v>44888</v>
      </c>
      <c r="AY147" s="510"/>
      <c r="AZ147" s="519">
        <f t="shared" si="104"/>
        <v>113640.0331455</v>
      </c>
      <c r="BA147" s="521">
        <f t="shared" si="105"/>
        <v>0</v>
      </c>
      <c r="BB147" s="519" t="e">
        <f t="shared" si="106"/>
        <v>#DIV/0!</v>
      </c>
      <c r="BC147" s="519"/>
      <c r="BD147" s="519">
        <f t="shared" si="107"/>
        <v>-10</v>
      </c>
      <c r="BE147" s="519">
        <f t="shared" si="99"/>
        <v>-10</v>
      </c>
      <c r="BF147" s="513" t="s">
        <v>1771</v>
      </c>
      <c r="BG147" s="514" t="s">
        <v>1771</v>
      </c>
      <c r="BH147" s="510" t="s">
        <v>1771</v>
      </c>
      <c r="BI147" s="628"/>
    </row>
    <row r="148" spans="1:61" s="523" customFormat="1" ht="108">
      <c r="A148" s="538" t="s">
        <v>5884</v>
      </c>
      <c r="B148" s="653" t="s">
        <v>3042</v>
      </c>
      <c r="C148" s="653" t="s">
        <v>5694</v>
      </c>
      <c r="D148" s="508" t="s">
        <v>5885</v>
      </c>
      <c r="E148" s="505" t="s">
        <v>5886</v>
      </c>
      <c r="F148" s="505" t="s">
        <v>5890</v>
      </c>
      <c r="G148" s="509">
        <v>222400771</v>
      </c>
      <c r="H148" s="653" t="s">
        <v>5935</v>
      </c>
      <c r="I148" s="724" t="s">
        <v>1771</v>
      </c>
      <c r="J148" s="724">
        <v>1</v>
      </c>
      <c r="K148" s="654">
        <v>51</v>
      </c>
      <c r="L148" s="654">
        <v>6801.5</v>
      </c>
      <c r="M148" s="511"/>
      <c r="N148" s="511">
        <v>44852</v>
      </c>
      <c r="O148" s="511">
        <v>44852</v>
      </c>
      <c r="P148" s="511">
        <v>44892</v>
      </c>
      <c r="Q148" s="511">
        <f t="shared" ref="Q148:Q151" si="117">P148+5</f>
        <v>44897</v>
      </c>
      <c r="R148" s="512" t="s">
        <v>6010</v>
      </c>
      <c r="S148" s="515" t="s">
        <v>3752</v>
      </c>
      <c r="T148" s="510" t="s">
        <v>5804</v>
      </c>
      <c r="U148" s="516" t="s">
        <v>3031</v>
      </c>
      <c r="V148" s="359">
        <v>44890</v>
      </c>
      <c r="W148" s="510" t="s">
        <v>3147</v>
      </c>
      <c r="X148" s="510" t="s">
        <v>3147</v>
      </c>
      <c r="Y148" s="511">
        <v>44893</v>
      </c>
      <c r="Z148" s="510" t="s">
        <v>3252</v>
      </c>
      <c r="AA148" s="510" t="s">
        <v>3982</v>
      </c>
      <c r="AB148" s="510" t="s">
        <v>6004</v>
      </c>
      <c r="AC148" s="511" t="s">
        <v>2146</v>
      </c>
      <c r="AD148" s="511">
        <v>44893</v>
      </c>
      <c r="AE148" s="515">
        <v>5623.1600099999996</v>
      </c>
      <c r="AF148" s="653" t="s">
        <v>5887</v>
      </c>
      <c r="AG148" s="510" t="s">
        <v>3108</v>
      </c>
      <c r="AH148" s="517">
        <v>74094.27</v>
      </c>
      <c r="AI148" s="517">
        <v>7766.14</v>
      </c>
      <c r="AJ148" s="517">
        <v>1</v>
      </c>
      <c r="AK148" s="517">
        <f t="shared" si="112"/>
        <v>81861.41</v>
      </c>
      <c r="AL148" s="518">
        <v>5.3507999999999996</v>
      </c>
      <c r="AM148" s="519">
        <f t="shared" si="102"/>
        <v>438024.03262799996</v>
      </c>
      <c r="AN148" s="519">
        <v>0</v>
      </c>
      <c r="AO148" s="510">
        <v>4</v>
      </c>
      <c r="AP148" s="519">
        <v>37216.370000000003</v>
      </c>
      <c r="AQ148" s="519">
        <v>33050.86</v>
      </c>
      <c r="AR148" s="519">
        <v>9198.51</v>
      </c>
      <c r="AS148" s="519">
        <v>42269.33</v>
      </c>
      <c r="AT148" s="519">
        <v>116408.9</v>
      </c>
      <c r="AU148" s="519">
        <v>3344.4</v>
      </c>
      <c r="AV148" s="519">
        <v>254.49</v>
      </c>
      <c r="AW148" s="510" t="s">
        <v>3139</v>
      </c>
      <c r="AX148" s="520">
        <f t="shared" si="103"/>
        <v>44897</v>
      </c>
      <c r="AY148" s="510"/>
      <c r="AZ148" s="519">
        <f t="shared" si="104"/>
        <v>657036.04894199991</v>
      </c>
      <c r="BA148" s="521">
        <f t="shared" si="105"/>
        <v>1</v>
      </c>
      <c r="BB148" s="519">
        <f t="shared" si="106"/>
        <v>657036.04894199991</v>
      </c>
      <c r="BC148" s="519"/>
      <c r="BD148" s="519">
        <f t="shared" si="107"/>
        <v>-60</v>
      </c>
      <c r="BE148" s="519">
        <f t="shared" si="99"/>
        <v>-60</v>
      </c>
      <c r="BF148" s="513" t="s">
        <v>1771</v>
      </c>
      <c r="BG148" s="514" t="s">
        <v>1771</v>
      </c>
      <c r="BH148" s="510" t="s">
        <v>1771</v>
      </c>
      <c r="BI148" s="628"/>
    </row>
    <row r="149" spans="1:61" s="523" customFormat="1" ht="108">
      <c r="A149" s="538" t="s">
        <v>5892</v>
      </c>
      <c r="B149" s="653" t="s">
        <v>3042</v>
      </c>
      <c r="C149" s="653" t="s">
        <v>5694</v>
      </c>
      <c r="D149" s="508">
        <v>4800017780</v>
      </c>
      <c r="E149" s="505" t="s">
        <v>5888</v>
      </c>
      <c r="F149" s="505" t="s">
        <v>5891</v>
      </c>
      <c r="G149" s="509">
        <v>609254753</v>
      </c>
      <c r="H149" s="653" t="s">
        <v>5935</v>
      </c>
      <c r="I149" s="725"/>
      <c r="J149" s="725"/>
      <c r="K149" s="653">
        <v>38</v>
      </c>
      <c r="L149" s="653">
        <v>866.15</v>
      </c>
      <c r="M149" s="511"/>
      <c r="N149" s="511">
        <v>44852</v>
      </c>
      <c r="O149" s="511">
        <v>44852</v>
      </c>
      <c r="P149" s="511">
        <v>44892</v>
      </c>
      <c r="Q149" s="511">
        <f t="shared" si="117"/>
        <v>44897</v>
      </c>
      <c r="R149" s="512" t="s">
        <v>6011</v>
      </c>
      <c r="S149" s="515" t="s">
        <v>3752</v>
      </c>
      <c r="T149" s="510" t="s">
        <v>5804</v>
      </c>
      <c r="U149" s="516" t="s">
        <v>3031</v>
      </c>
      <c r="V149" s="359">
        <v>44890</v>
      </c>
      <c r="W149" s="510" t="s">
        <v>3147</v>
      </c>
      <c r="X149" s="510" t="s">
        <v>3147</v>
      </c>
      <c r="Y149" s="511">
        <v>44893</v>
      </c>
      <c r="Z149" s="510" t="s">
        <v>3252</v>
      </c>
      <c r="AA149" s="510" t="s">
        <v>3982</v>
      </c>
      <c r="AB149" s="510" t="s">
        <v>6005</v>
      </c>
      <c r="AC149" s="511" t="s">
        <v>2146</v>
      </c>
      <c r="AD149" s="511">
        <v>44893</v>
      </c>
      <c r="AE149" s="510">
        <v>520.34</v>
      </c>
      <c r="AF149" s="653" t="s">
        <v>5889</v>
      </c>
      <c r="AG149" s="510" t="s">
        <v>3108</v>
      </c>
      <c r="AH149" s="517">
        <v>18812.29</v>
      </c>
      <c r="AI149" s="517">
        <v>1472.86</v>
      </c>
      <c r="AJ149" s="517">
        <v>1</v>
      </c>
      <c r="AK149" s="517">
        <f t="shared" si="112"/>
        <v>20286.150000000001</v>
      </c>
      <c r="AL149" s="518">
        <v>5.3507999999999996</v>
      </c>
      <c r="AM149" s="519">
        <f t="shared" si="102"/>
        <v>108547.13142000001</v>
      </c>
      <c r="AN149" s="519">
        <v>0</v>
      </c>
      <c r="AO149" s="510">
        <v>7</v>
      </c>
      <c r="AP149" s="519">
        <v>11229.71</v>
      </c>
      <c r="AQ149" s="519">
        <v>9947.8799999999992</v>
      </c>
      <c r="AR149" s="519">
        <v>2279.5</v>
      </c>
      <c r="AS149" s="519">
        <v>10992.34</v>
      </c>
      <c r="AT149" s="519">
        <v>24458.84</v>
      </c>
      <c r="AU149" s="519">
        <v>650.47</v>
      </c>
      <c r="AV149" s="519">
        <v>331.62</v>
      </c>
      <c r="AW149" s="510" t="s">
        <v>3139</v>
      </c>
      <c r="AX149" s="520">
        <f t="shared" si="103"/>
        <v>44897</v>
      </c>
      <c r="AY149" s="510"/>
      <c r="AZ149" s="519">
        <f t="shared" si="104"/>
        <v>162820.69713000002</v>
      </c>
      <c r="BA149" s="521">
        <f t="shared" si="105"/>
        <v>0</v>
      </c>
      <c r="BB149" s="519" t="e">
        <f t="shared" si="106"/>
        <v>#DIV/0!</v>
      </c>
      <c r="BC149" s="519"/>
      <c r="BD149" s="519">
        <f t="shared" si="107"/>
        <v>-30</v>
      </c>
      <c r="BE149" s="519">
        <f t="shared" si="99"/>
        <v>-30</v>
      </c>
      <c r="BF149" s="513" t="s">
        <v>1771</v>
      </c>
      <c r="BG149" s="514" t="s">
        <v>1771</v>
      </c>
      <c r="BH149" s="510" t="s">
        <v>1771</v>
      </c>
      <c r="BI149" s="628"/>
    </row>
    <row r="150" spans="1:61" s="523" customFormat="1" ht="120">
      <c r="A150" s="538" t="s">
        <v>5893</v>
      </c>
      <c r="B150" s="653" t="s">
        <v>3042</v>
      </c>
      <c r="C150" s="653" t="s">
        <v>5694</v>
      </c>
      <c r="D150" s="508" t="s">
        <v>5896</v>
      </c>
      <c r="E150" s="505" t="s">
        <v>5897</v>
      </c>
      <c r="F150" s="505" t="s">
        <v>5898</v>
      </c>
      <c r="G150" s="636">
        <v>222484311</v>
      </c>
      <c r="H150" s="653" t="s">
        <v>5935</v>
      </c>
      <c r="I150" s="510" t="s">
        <v>1771</v>
      </c>
      <c r="J150" s="510">
        <v>1</v>
      </c>
      <c r="K150" s="653">
        <v>46</v>
      </c>
      <c r="L150" s="653">
        <v>6344.31</v>
      </c>
      <c r="M150" s="511"/>
      <c r="N150" s="511">
        <v>44854</v>
      </c>
      <c r="O150" s="511">
        <v>44854</v>
      </c>
      <c r="P150" s="511">
        <v>44892</v>
      </c>
      <c r="Q150" s="511">
        <f t="shared" si="117"/>
        <v>44897</v>
      </c>
      <c r="R150" s="512" t="s">
        <v>6012</v>
      </c>
      <c r="S150" s="515" t="s">
        <v>3752</v>
      </c>
      <c r="T150" s="510" t="s">
        <v>5804</v>
      </c>
      <c r="U150" s="516" t="s">
        <v>3031</v>
      </c>
      <c r="V150" s="359">
        <v>44890</v>
      </c>
      <c r="W150" s="510" t="s">
        <v>3147</v>
      </c>
      <c r="X150" s="510" t="s">
        <v>3147</v>
      </c>
      <c r="Y150" s="511">
        <v>44893</v>
      </c>
      <c r="Z150" s="510" t="s">
        <v>3252</v>
      </c>
      <c r="AA150" s="510" t="s">
        <v>3982</v>
      </c>
      <c r="AB150" s="510" t="s">
        <v>6006</v>
      </c>
      <c r="AC150" s="511" t="s">
        <v>2146</v>
      </c>
      <c r="AD150" s="511">
        <v>44893</v>
      </c>
      <c r="AE150" s="515">
        <v>5259.68102</v>
      </c>
      <c r="AF150" s="653" t="s">
        <v>5899</v>
      </c>
      <c r="AG150" s="510" t="s">
        <v>3108</v>
      </c>
      <c r="AH150" s="517">
        <v>81527.89</v>
      </c>
      <c r="AI150" s="517">
        <v>9239</v>
      </c>
      <c r="AJ150" s="517">
        <v>1</v>
      </c>
      <c r="AK150" s="517">
        <f t="shared" si="112"/>
        <v>90767.89</v>
      </c>
      <c r="AL150" s="518">
        <v>5.3507999999999996</v>
      </c>
      <c r="AM150" s="519">
        <f t="shared" si="102"/>
        <v>485680.82581199997</v>
      </c>
      <c r="AN150" s="519">
        <v>0</v>
      </c>
      <c r="AO150" s="510">
        <v>13</v>
      </c>
      <c r="AP150" s="519">
        <v>35718.04</v>
      </c>
      <c r="AQ150" s="519">
        <v>39558.370000000003</v>
      </c>
      <c r="AR150" s="519">
        <v>10199.290000000001</v>
      </c>
      <c r="AS150" s="519">
        <v>46868.160000000003</v>
      </c>
      <c r="AT150" s="519">
        <v>127951.08</v>
      </c>
      <c r="AU150" s="519">
        <v>3974.88</v>
      </c>
      <c r="AV150" s="519">
        <v>447.3</v>
      </c>
      <c r="AW150" s="510" t="s">
        <v>3139</v>
      </c>
      <c r="AX150" s="520">
        <f t="shared" si="103"/>
        <v>44897</v>
      </c>
      <c r="AY150" s="510"/>
      <c r="AZ150" s="519">
        <f t="shared" si="104"/>
        <v>728521.23871800001</v>
      </c>
      <c r="BA150" s="521">
        <f t="shared" si="105"/>
        <v>1</v>
      </c>
      <c r="BB150" s="519">
        <f t="shared" si="106"/>
        <v>728521.23871800001</v>
      </c>
      <c r="BC150" s="519"/>
      <c r="BD150" s="519">
        <f t="shared" si="107"/>
        <v>30</v>
      </c>
      <c r="BE150" s="519">
        <f t="shared" si="99"/>
        <v>30</v>
      </c>
      <c r="BF150" s="513" t="s">
        <v>1771</v>
      </c>
      <c r="BG150" s="514" t="s">
        <v>1771</v>
      </c>
      <c r="BH150" s="510" t="s">
        <v>1771</v>
      </c>
      <c r="BI150" s="628"/>
    </row>
    <row r="151" spans="1:61" s="523" customFormat="1" ht="132">
      <c r="A151" s="538" t="s">
        <v>5894</v>
      </c>
      <c r="B151" s="653" t="s">
        <v>3042</v>
      </c>
      <c r="C151" s="653" t="s">
        <v>5694</v>
      </c>
      <c r="D151" s="508" t="s">
        <v>5904</v>
      </c>
      <c r="E151" s="505" t="s">
        <v>5900</v>
      </c>
      <c r="F151" s="505" t="s">
        <v>5901</v>
      </c>
      <c r="G151" s="636">
        <v>222401106</v>
      </c>
      <c r="H151" s="653" t="s">
        <v>5935</v>
      </c>
      <c r="I151" s="731" t="s">
        <v>1771</v>
      </c>
      <c r="J151" s="727">
        <v>1</v>
      </c>
      <c r="K151" s="653">
        <v>39</v>
      </c>
      <c r="L151" s="653">
        <v>3692.63</v>
      </c>
      <c r="M151" s="511"/>
      <c r="N151" s="511">
        <v>44852</v>
      </c>
      <c r="O151" s="511">
        <v>44852</v>
      </c>
      <c r="P151" s="511">
        <v>44892</v>
      </c>
      <c r="Q151" s="511">
        <f t="shared" si="117"/>
        <v>44897</v>
      </c>
      <c r="R151" s="512" t="s">
        <v>6013</v>
      </c>
      <c r="S151" s="515" t="s">
        <v>3752</v>
      </c>
      <c r="T151" s="510" t="s">
        <v>5804</v>
      </c>
      <c r="U151" s="516" t="s">
        <v>3031</v>
      </c>
      <c r="V151" s="359">
        <v>44887</v>
      </c>
      <c r="W151" s="510" t="s">
        <v>3147</v>
      </c>
      <c r="X151" s="510" t="s">
        <v>3147</v>
      </c>
      <c r="Y151" s="511">
        <v>44893</v>
      </c>
      <c r="Z151" s="510" t="s">
        <v>3252</v>
      </c>
      <c r="AA151" s="510" t="s">
        <v>3982</v>
      </c>
      <c r="AB151" s="510" t="s">
        <v>6007</v>
      </c>
      <c r="AC151" s="511" t="s">
        <v>2146</v>
      </c>
      <c r="AD151" s="511">
        <v>44893</v>
      </c>
      <c r="AE151" s="515">
        <v>2886.59962</v>
      </c>
      <c r="AF151" s="653" t="s">
        <v>5905</v>
      </c>
      <c r="AG151" s="510" t="s">
        <v>3108</v>
      </c>
      <c r="AH151" s="517">
        <v>20688.64</v>
      </c>
      <c r="AI151" s="517">
        <v>7466.7</v>
      </c>
      <c r="AJ151" s="517">
        <v>1</v>
      </c>
      <c r="AK151" s="517">
        <f t="shared" si="112"/>
        <v>28156.34</v>
      </c>
      <c r="AL151" s="518">
        <v>5.3507999999999996</v>
      </c>
      <c r="AM151" s="519">
        <f t="shared" si="102"/>
        <v>150658.94407199998</v>
      </c>
      <c r="AN151" s="519">
        <v>0</v>
      </c>
      <c r="AO151" s="510">
        <v>7</v>
      </c>
      <c r="AP151" s="519">
        <v>12797.24</v>
      </c>
      <c r="AQ151" s="519">
        <v>12746.84</v>
      </c>
      <c r="AR151" s="519">
        <v>3163.83</v>
      </c>
      <c r="AS151" s="519">
        <v>14538.57</v>
      </c>
      <c r="AT151" s="519">
        <v>40545.269999999997</v>
      </c>
      <c r="AU151" s="519">
        <v>3216.22</v>
      </c>
      <c r="AV151" s="519">
        <v>331.62</v>
      </c>
      <c r="AW151" s="510" t="s">
        <v>3139</v>
      </c>
      <c r="AX151" s="520">
        <f t="shared" si="103"/>
        <v>44897</v>
      </c>
      <c r="AY151" s="510"/>
      <c r="AZ151" s="519">
        <f t="shared" si="104"/>
        <v>225988.41610799998</v>
      </c>
      <c r="BA151" s="521">
        <f t="shared" si="105"/>
        <v>1</v>
      </c>
      <c r="BB151" s="519">
        <f t="shared" si="106"/>
        <v>225988.41610799998</v>
      </c>
      <c r="BC151" s="519"/>
      <c r="BD151" s="519">
        <f t="shared" si="107"/>
        <v>-30</v>
      </c>
      <c r="BE151" s="519">
        <f t="shared" si="99"/>
        <v>-30</v>
      </c>
      <c r="BF151" s="513" t="s">
        <v>1771</v>
      </c>
      <c r="BG151" s="514" t="s">
        <v>1771</v>
      </c>
      <c r="BH151" s="510" t="s">
        <v>1771</v>
      </c>
      <c r="BI151" s="628"/>
    </row>
    <row r="152" spans="1:61" s="523" customFormat="1" ht="120">
      <c r="A152" s="538" t="s">
        <v>5895</v>
      </c>
      <c r="B152" s="653" t="s">
        <v>3042</v>
      </c>
      <c r="C152" s="653" t="s">
        <v>5694</v>
      </c>
      <c r="D152" s="508" t="s">
        <v>5906</v>
      </c>
      <c r="E152" s="505" t="s">
        <v>5902</v>
      </c>
      <c r="F152" s="505" t="s">
        <v>5903</v>
      </c>
      <c r="G152" s="636">
        <v>222400963</v>
      </c>
      <c r="H152" s="653" t="s">
        <v>5935</v>
      </c>
      <c r="I152" s="732"/>
      <c r="J152" s="728"/>
      <c r="K152" s="653">
        <v>31</v>
      </c>
      <c r="L152" s="653">
        <v>754.98</v>
      </c>
      <c r="M152" s="511"/>
      <c r="N152" s="511">
        <v>44852</v>
      </c>
      <c r="O152" s="511">
        <v>44852</v>
      </c>
      <c r="P152" s="511">
        <v>44892</v>
      </c>
      <c r="Q152" s="511">
        <f>P152+5</f>
        <v>44897</v>
      </c>
      <c r="R152" s="512" t="s">
        <v>6014</v>
      </c>
      <c r="S152" s="515" t="s">
        <v>3752</v>
      </c>
      <c r="T152" s="510" t="s">
        <v>5804</v>
      </c>
      <c r="U152" s="516" t="s">
        <v>3031</v>
      </c>
      <c r="V152" s="359">
        <v>44887</v>
      </c>
      <c r="W152" s="510" t="s">
        <v>3147</v>
      </c>
      <c r="X152" s="510" t="s">
        <v>3147</v>
      </c>
      <c r="Y152" s="511">
        <v>44893</v>
      </c>
      <c r="Z152" s="510" t="s">
        <v>3252</v>
      </c>
      <c r="AA152" s="510" t="s">
        <v>3982</v>
      </c>
      <c r="AB152" s="510" t="s">
        <v>6008</v>
      </c>
      <c r="AC152" s="511" t="s">
        <v>2146</v>
      </c>
      <c r="AD152" s="511">
        <v>44893</v>
      </c>
      <c r="AE152" s="510">
        <v>427.83001000000002</v>
      </c>
      <c r="AF152" s="653" t="s">
        <v>3460</v>
      </c>
      <c r="AG152" s="510" t="s">
        <v>3108</v>
      </c>
      <c r="AH152" s="517">
        <v>27467.93</v>
      </c>
      <c r="AI152" s="517">
        <v>1772.3</v>
      </c>
      <c r="AJ152" s="517">
        <v>1</v>
      </c>
      <c r="AK152" s="517">
        <f t="shared" si="112"/>
        <v>29241.23</v>
      </c>
      <c r="AL152" s="518">
        <v>5.3507999999999996</v>
      </c>
      <c r="AM152" s="519">
        <f t="shared" si="102"/>
        <v>156463.97348399999</v>
      </c>
      <c r="AN152" s="519">
        <v>0</v>
      </c>
      <c r="AO152" s="510">
        <v>9</v>
      </c>
      <c r="AP152" s="519">
        <v>14565.77</v>
      </c>
      <c r="AQ152" s="519">
        <v>19331.61</v>
      </c>
      <c r="AR152" s="519">
        <v>3285.74</v>
      </c>
      <c r="AS152" s="519">
        <v>15259.94</v>
      </c>
      <c r="AT152" s="519">
        <v>33761.040000000001</v>
      </c>
      <c r="AU152" s="519">
        <v>778.65</v>
      </c>
      <c r="AV152" s="519">
        <v>377.9</v>
      </c>
      <c r="AW152" s="510" t="s">
        <v>3139</v>
      </c>
      <c r="AX152" s="520">
        <f t="shared" si="103"/>
        <v>44897</v>
      </c>
      <c r="AY152" s="510"/>
      <c r="AZ152" s="519">
        <f t="shared" si="104"/>
        <v>234695.960226</v>
      </c>
      <c r="BA152" s="521">
        <f t="shared" si="105"/>
        <v>0</v>
      </c>
      <c r="BB152" s="519" t="e">
        <f t="shared" si="106"/>
        <v>#DIV/0!</v>
      </c>
      <c r="BC152" s="519"/>
      <c r="BD152" s="519">
        <f t="shared" si="107"/>
        <v>-10</v>
      </c>
      <c r="BE152" s="519">
        <f t="shared" si="99"/>
        <v>-10</v>
      </c>
      <c r="BF152" s="513" t="s">
        <v>1771</v>
      </c>
      <c r="BG152" s="514" t="s">
        <v>1771</v>
      </c>
      <c r="BH152" s="510" t="s">
        <v>1771</v>
      </c>
      <c r="BI152" s="628"/>
    </row>
    <row r="153" spans="1:61" s="523" customFormat="1" ht="144">
      <c r="A153" s="538" t="s">
        <v>5909</v>
      </c>
      <c r="B153" s="653" t="s">
        <v>3042</v>
      </c>
      <c r="C153" s="653" t="s">
        <v>5694</v>
      </c>
      <c r="D153" s="508" t="s">
        <v>5910</v>
      </c>
      <c r="E153" s="505" t="s">
        <v>5911</v>
      </c>
      <c r="F153" s="505" t="s">
        <v>5912</v>
      </c>
      <c r="G153" s="636">
        <v>222550497</v>
      </c>
      <c r="H153" s="653" t="s">
        <v>5935</v>
      </c>
      <c r="I153" s="510" t="s">
        <v>1771</v>
      </c>
      <c r="J153" s="510">
        <v>1</v>
      </c>
      <c r="K153" s="653">
        <f>1+2+17+4+5+5+16+9</f>
        <v>59</v>
      </c>
      <c r="L153" s="653">
        <f>43.1+5.24+1907.1+689+774+1071+2185.5+1493.5</f>
        <v>8168.44</v>
      </c>
      <c r="M153" s="511"/>
      <c r="N153" s="511">
        <v>44856</v>
      </c>
      <c r="O153" s="511">
        <v>44856</v>
      </c>
      <c r="P153" s="511">
        <v>44892</v>
      </c>
      <c r="Q153" s="511">
        <f t="shared" ref="Q153" si="118">P153+5</f>
        <v>44897</v>
      </c>
      <c r="R153" s="512" t="s">
        <v>6015</v>
      </c>
      <c r="S153" s="515" t="s">
        <v>3752</v>
      </c>
      <c r="T153" s="510" t="s">
        <v>5804</v>
      </c>
      <c r="U153" s="516" t="s">
        <v>3031</v>
      </c>
      <c r="V153" s="359">
        <v>44887</v>
      </c>
      <c r="W153" s="510" t="s">
        <v>3147</v>
      </c>
      <c r="X153" s="510" t="s">
        <v>3147</v>
      </c>
      <c r="Y153" s="511">
        <v>44893</v>
      </c>
      <c r="Z153" s="510" t="s">
        <v>3252</v>
      </c>
      <c r="AA153" s="510" t="s">
        <v>3982</v>
      </c>
      <c r="AB153" s="510" t="s">
        <v>6009</v>
      </c>
      <c r="AC153" s="511" t="s">
        <v>2146</v>
      </c>
      <c r="AD153" s="511">
        <v>44893</v>
      </c>
      <c r="AE153" s="515">
        <v>6893.6397200000001</v>
      </c>
      <c r="AF153" s="653" t="s">
        <v>5913</v>
      </c>
      <c r="AG153" s="510" t="s">
        <v>3108</v>
      </c>
      <c r="AH153" s="517">
        <v>109380.53</v>
      </c>
      <c r="AI153" s="517">
        <v>9239</v>
      </c>
      <c r="AJ153" s="517">
        <v>1</v>
      </c>
      <c r="AK153" s="517">
        <f t="shared" si="112"/>
        <v>118620.53</v>
      </c>
      <c r="AL153" s="518">
        <v>5.3507999999999996</v>
      </c>
      <c r="AM153" s="519">
        <f t="shared" si="102"/>
        <v>634714.73192399996</v>
      </c>
      <c r="AN153" s="519">
        <v>0</v>
      </c>
      <c r="AO153" s="510">
        <v>14</v>
      </c>
      <c r="AP153" s="519">
        <v>32575.23</v>
      </c>
      <c r="AQ153" s="519">
        <v>41798.74</v>
      </c>
      <c r="AR153" s="519">
        <v>13329</v>
      </c>
      <c r="AS153" s="519">
        <v>61249.96</v>
      </c>
      <c r="AT153" s="519">
        <v>149520.54</v>
      </c>
      <c r="AU153" s="519">
        <v>3974.88</v>
      </c>
      <c r="AV153" s="519">
        <v>462.72</v>
      </c>
      <c r="AW153" s="510" t="s">
        <v>3139</v>
      </c>
      <c r="AX153" s="520">
        <f t="shared" si="103"/>
        <v>44897</v>
      </c>
      <c r="AY153" s="510"/>
      <c r="AZ153" s="519">
        <f t="shared" si="104"/>
        <v>952072.09788599994</v>
      </c>
      <c r="BA153" s="521">
        <f t="shared" si="105"/>
        <v>1</v>
      </c>
      <c r="BB153" s="519">
        <f t="shared" si="106"/>
        <v>952072.09788599994</v>
      </c>
      <c r="BC153" s="519"/>
      <c r="BD153" s="519">
        <f t="shared" si="107"/>
        <v>40</v>
      </c>
      <c r="BE153" s="519">
        <f t="shared" si="99"/>
        <v>40</v>
      </c>
      <c r="BF153" s="513" t="s">
        <v>1771</v>
      </c>
      <c r="BG153" s="514" t="s">
        <v>1771</v>
      </c>
      <c r="BH153" s="510" t="s">
        <v>1771</v>
      </c>
      <c r="BI153" s="628"/>
    </row>
    <row r="154" spans="1:61" s="657" customFormat="1" ht="156">
      <c r="A154" s="538" t="s">
        <v>5919</v>
      </c>
      <c r="B154" s="655" t="s">
        <v>3042</v>
      </c>
      <c r="C154" s="655" t="s">
        <v>5694</v>
      </c>
      <c r="D154" s="508" t="s">
        <v>5925</v>
      </c>
      <c r="E154" s="505" t="s">
        <v>5921</v>
      </c>
      <c r="F154" s="505" t="s">
        <v>5922</v>
      </c>
      <c r="G154" s="509">
        <v>609257352</v>
      </c>
      <c r="H154" s="655" t="s">
        <v>5936</v>
      </c>
      <c r="I154" s="727">
        <v>1</v>
      </c>
      <c r="J154" s="727">
        <v>2</v>
      </c>
      <c r="K154" s="655">
        <f>1+1+4+1+11+1+15+30+16</f>
        <v>80</v>
      </c>
      <c r="L154" s="655">
        <f>59.8+60.09+17.4+77.4+224.04+19.25+417.24+471.89+302.89</f>
        <v>1650</v>
      </c>
      <c r="M154" s="511">
        <v>44860</v>
      </c>
      <c r="N154" s="511">
        <v>44859</v>
      </c>
      <c r="O154" s="511">
        <v>44859</v>
      </c>
      <c r="P154" s="511">
        <v>44899</v>
      </c>
      <c r="Q154" s="511">
        <v>44903</v>
      </c>
      <c r="R154" s="658" t="s">
        <v>6167</v>
      </c>
      <c r="S154" s="515" t="s">
        <v>3752</v>
      </c>
      <c r="T154" s="510" t="s">
        <v>5804</v>
      </c>
      <c r="U154" s="516" t="s">
        <v>3031</v>
      </c>
      <c r="V154" s="359">
        <v>44894</v>
      </c>
      <c r="W154" s="510" t="s">
        <v>3147</v>
      </c>
      <c r="X154" s="510" t="s">
        <v>3147</v>
      </c>
      <c r="Y154" s="511">
        <v>44900</v>
      </c>
      <c r="Z154" s="510" t="s">
        <v>3298</v>
      </c>
      <c r="AA154" s="510" t="s">
        <v>3982</v>
      </c>
      <c r="AB154" s="74" t="s">
        <v>6032</v>
      </c>
      <c r="AC154" s="510" t="s">
        <v>2146</v>
      </c>
      <c r="AD154" s="511">
        <v>44900</v>
      </c>
      <c r="AE154" s="656">
        <v>1053.25504</v>
      </c>
      <c r="AF154" s="655" t="s">
        <v>3460</v>
      </c>
      <c r="AG154" s="510" t="s">
        <v>3108</v>
      </c>
      <c r="AH154" s="517">
        <f>368856.9</f>
        <v>368856.9</v>
      </c>
      <c r="AI154" s="517">
        <f>8843.63</f>
        <v>8843.6299999999992</v>
      </c>
      <c r="AJ154" s="517">
        <f>1</f>
        <v>1</v>
      </c>
      <c r="AK154" s="517">
        <f>SUM(AH154:AJ154)</f>
        <v>377701.53</v>
      </c>
      <c r="AL154" s="518">
        <f>5.1974</f>
        <v>5.1974</v>
      </c>
      <c r="AM154" s="519">
        <f>AK154*AL154</f>
        <v>1963065.9320220002</v>
      </c>
      <c r="AN154" s="519">
        <v>0</v>
      </c>
      <c r="AO154" s="510">
        <v>11</v>
      </c>
      <c r="AP154" s="519">
        <v>184210.97</v>
      </c>
      <c r="AQ154" s="519">
        <v>257352.22</v>
      </c>
      <c r="AR154" s="519">
        <v>40259.040000000001</v>
      </c>
      <c r="AS154" s="519">
        <v>185329.93</v>
      </c>
      <c r="AT154" s="519">
        <v>431864.57</v>
      </c>
      <c r="AU154" s="519"/>
      <c r="AV154" s="519">
        <v>416.46</v>
      </c>
      <c r="AW154" s="510" t="s">
        <v>3139</v>
      </c>
      <c r="AX154" s="520">
        <f t="shared" si="103"/>
        <v>44903</v>
      </c>
      <c r="AY154" s="510"/>
      <c r="AZ154" s="519">
        <f>(AM154*50%)+AM154</f>
        <v>2944598.8980330005</v>
      </c>
      <c r="BA154" s="521">
        <f t="shared" si="105"/>
        <v>3</v>
      </c>
      <c r="BB154" s="519">
        <f t="shared" si="106"/>
        <v>981532.96601100022</v>
      </c>
      <c r="BC154" s="519"/>
      <c r="BD154" s="519">
        <f t="shared" si="107"/>
        <v>10</v>
      </c>
      <c r="BE154" s="519">
        <f t="shared" si="99"/>
        <v>10</v>
      </c>
      <c r="BF154" s="513" t="s">
        <v>1771</v>
      </c>
      <c r="BG154" s="514" t="s">
        <v>1771</v>
      </c>
      <c r="BH154" s="510" t="s">
        <v>1771</v>
      </c>
      <c r="BI154" s="628"/>
    </row>
    <row r="155" spans="1:61" s="523" customFormat="1" ht="156">
      <c r="A155" s="538" t="s">
        <v>5920</v>
      </c>
      <c r="B155" s="655" t="s">
        <v>3042</v>
      </c>
      <c r="C155" s="655" t="s">
        <v>5694</v>
      </c>
      <c r="D155" s="508" t="s">
        <v>5926</v>
      </c>
      <c r="E155" s="505" t="s">
        <v>5923</v>
      </c>
      <c r="F155" s="505" t="s">
        <v>5924</v>
      </c>
      <c r="G155" s="509">
        <v>222635270</v>
      </c>
      <c r="H155" s="655" t="s">
        <v>5936</v>
      </c>
      <c r="I155" s="728"/>
      <c r="J155" s="728"/>
      <c r="K155" s="655">
        <f>25+13+2+2+2+1+5+7+5</f>
        <v>62</v>
      </c>
      <c r="L155" s="655">
        <f>1859.5+1799+129+135+128.5+66+934.5+1132.5+1047</f>
        <v>7231</v>
      </c>
      <c r="M155" s="511">
        <v>44860</v>
      </c>
      <c r="N155" s="511">
        <v>44859</v>
      </c>
      <c r="O155" s="511">
        <v>44859</v>
      </c>
      <c r="P155" s="511">
        <v>44899</v>
      </c>
      <c r="Q155" s="511">
        <v>44903</v>
      </c>
      <c r="R155" s="512" t="s">
        <v>6168</v>
      </c>
      <c r="S155" s="515" t="s">
        <v>3752</v>
      </c>
      <c r="T155" s="510" t="s">
        <v>5804</v>
      </c>
      <c r="U155" s="516" t="s">
        <v>3031</v>
      </c>
      <c r="V155" s="359">
        <v>44894</v>
      </c>
      <c r="W155" s="510" t="s">
        <v>3147</v>
      </c>
      <c r="X155" s="510" t="s">
        <v>3147</v>
      </c>
      <c r="Y155" s="511">
        <v>44900</v>
      </c>
      <c r="Z155" s="510" t="s">
        <v>3298</v>
      </c>
      <c r="AA155" s="510" t="s">
        <v>3982</v>
      </c>
      <c r="AB155" s="510" t="s">
        <v>6031</v>
      </c>
      <c r="AC155" s="510" t="s">
        <v>2146</v>
      </c>
      <c r="AD155" s="511">
        <v>44900</v>
      </c>
      <c r="AE155" s="515">
        <v>5918.0000399999999</v>
      </c>
      <c r="AF155" s="655" t="s">
        <v>5927</v>
      </c>
      <c r="AG155" s="510" t="s">
        <v>3108</v>
      </c>
      <c r="AH155" s="517">
        <f>67780.23</f>
        <v>67780.23</v>
      </c>
      <c r="AI155" s="517">
        <f>18532.37</f>
        <v>18532.37</v>
      </c>
      <c r="AJ155" s="517">
        <f>1</f>
        <v>1</v>
      </c>
      <c r="AK155" s="517">
        <f>SUM(AH155:AJ155)</f>
        <v>86313.599999999991</v>
      </c>
      <c r="AL155" s="518">
        <f>5.1974</f>
        <v>5.1974</v>
      </c>
      <c r="AM155" s="519">
        <f t="shared" ref="AM155:AM161" si="119">AK155*AL155</f>
        <v>448606.30463999993</v>
      </c>
      <c r="AN155" s="519">
        <v>0</v>
      </c>
      <c r="AO155" s="510">
        <v>7</v>
      </c>
      <c r="AP155" s="519">
        <v>27300.5</v>
      </c>
      <c r="AQ155" s="519">
        <v>31393.71</v>
      </c>
      <c r="AR155" s="519">
        <v>7397.9</v>
      </c>
      <c r="AS155" s="519">
        <v>33995.120000000003</v>
      </c>
      <c r="AT155" s="519">
        <v>94499.14</v>
      </c>
      <c r="AU155" s="519"/>
      <c r="AV155" s="519">
        <v>331.62</v>
      </c>
      <c r="AW155" s="510" t="s">
        <v>3139</v>
      </c>
      <c r="AX155" s="520">
        <f t="shared" si="103"/>
        <v>44903</v>
      </c>
      <c r="AY155" s="510"/>
      <c r="AZ155" s="519">
        <f>(AM155*50%)+AM155</f>
        <v>672909.45695999986</v>
      </c>
      <c r="BA155" s="521">
        <f t="shared" si="105"/>
        <v>0</v>
      </c>
      <c r="BB155" s="519" t="e">
        <f t="shared" si="106"/>
        <v>#DIV/0!</v>
      </c>
      <c r="BC155" s="519"/>
      <c r="BD155" s="519">
        <f t="shared" si="107"/>
        <v>-30</v>
      </c>
      <c r="BE155" s="519">
        <f t="shared" si="99"/>
        <v>-30</v>
      </c>
      <c r="BF155" s="513" t="s">
        <v>1771</v>
      </c>
      <c r="BG155" s="514" t="s">
        <v>1771</v>
      </c>
      <c r="BH155" s="510" t="s">
        <v>1771</v>
      </c>
      <c r="BI155" s="628"/>
    </row>
    <row r="156" spans="1:61" s="523" customFormat="1" ht="120">
      <c r="A156" s="538" t="s">
        <v>5937</v>
      </c>
      <c r="B156" s="655" t="s">
        <v>3042</v>
      </c>
      <c r="C156" s="655" t="s">
        <v>5694</v>
      </c>
      <c r="D156" s="508" t="s">
        <v>5946</v>
      </c>
      <c r="E156" s="505" t="s">
        <v>5940</v>
      </c>
      <c r="F156" s="505" t="s">
        <v>5939</v>
      </c>
      <c r="G156" s="509">
        <v>222790561</v>
      </c>
      <c r="H156" s="655" t="s">
        <v>5943</v>
      </c>
      <c r="I156" s="724" t="s">
        <v>1771</v>
      </c>
      <c r="J156" s="724">
        <v>1</v>
      </c>
      <c r="K156" s="655">
        <f>13+10+4+4+8+1</f>
        <v>40</v>
      </c>
      <c r="L156" s="655">
        <f>1570+1730.5+369+632.5+1123+0.94</f>
        <v>5425.94</v>
      </c>
      <c r="M156" s="511">
        <v>44866</v>
      </c>
      <c r="N156" s="511">
        <v>44866</v>
      </c>
      <c r="O156" s="511">
        <v>44866</v>
      </c>
      <c r="P156" s="511">
        <v>44906</v>
      </c>
      <c r="Q156" s="511">
        <v>44908</v>
      </c>
      <c r="R156" s="512" t="s">
        <v>6169</v>
      </c>
      <c r="S156" s="515" t="s">
        <v>3752</v>
      </c>
      <c r="T156" s="510" t="s">
        <v>5804</v>
      </c>
      <c r="U156" s="516" t="s">
        <v>3031</v>
      </c>
      <c r="V156" s="359">
        <v>44904</v>
      </c>
      <c r="W156" s="510" t="s">
        <v>3147</v>
      </c>
      <c r="X156" s="510" t="s">
        <v>3147</v>
      </c>
      <c r="Y156" s="511">
        <v>44907</v>
      </c>
      <c r="Z156" s="510" t="s">
        <v>3252</v>
      </c>
      <c r="AA156" s="510" t="s">
        <v>3982</v>
      </c>
      <c r="AB156" s="510" t="s">
        <v>6033</v>
      </c>
      <c r="AC156" s="510" t="s">
        <v>2146</v>
      </c>
      <c r="AD156" s="511">
        <v>44907</v>
      </c>
      <c r="AE156" s="515">
        <v>4733.79</v>
      </c>
      <c r="AF156" s="655" t="s">
        <v>5944</v>
      </c>
      <c r="AG156" s="510" t="s">
        <v>3108</v>
      </c>
      <c r="AH156" s="517">
        <f>61068.47</f>
        <v>61068.47</v>
      </c>
      <c r="AI156" s="517">
        <f>4646.56</f>
        <v>4646.5600000000004</v>
      </c>
      <c r="AJ156" s="517">
        <v>1</v>
      </c>
      <c r="AK156" s="517">
        <f t="shared" ref="AK156:AK157" si="120">SUM(AH156:AJ156)</f>
        <v>65716.03</v>
      </c>
      <c r="AL156" s="518">
        <f>5.2396</f>
        <v>5.2396000000000003</v>
      </c>
      <c r="AM156" s="519">
        <f t="shared" si="119"/>
        <v>344325.71078800003</v>
      </c>
      <c r="AN156" s="519">
        <v>0</v>
      </c>
      <c r="AO156" s="510">
        <v>5</v>
      </c>
      <c r="AP156" s="519">
        <v>23039.72</v>
      </c>
      <c r="AQ156" s="519">
        <v>25725.83</v>
      </c>
      <c r="AR156" s="519">
        <v>6719.45</v>
      </c>
      <c r="AS156" s="519">
        <v>30877.53</v>
      </c>
      <c r="AT156" s="519">
        <v>84343.93</v>
      </c>
      <c r="AU156" s="519"/>
      <c r="AV156" s="519">
        <v>285.33999999999997</v>
      </c>
      <c r="AW156" s="510" t="s">
        <v>3139</v>
      </c>
      <c r="AX156" s="520">
        <f t="shared" si="103"/>
        <v>44908</v>
      </c>
      <c r="AY156" s="510"/>
      <c r="AZ156" s="519">
        <f t="shared" ref="AZ156:AZ161" si="121">(AM156*50%)+AM156</f>
        <v>516488.56618200004</v>
      </c>
      <c r="BA156" s="521">
        <f t="shared" si="105"/>
        <v>1</v>
      </c>
      <c r="BB156" s="519">
        <f t="shared" si="106"/>
        <v>516488.56618200004</v>
      </c>
      <c r="BC156" s="519"/>
      <c r="BD156" s="519">
        <f t="shared" si="107"/>
        <v>-50</v>
      </c>
      <c r="BE156" s="519">
        <f t="shared" si="99"/>
        <v>-50</v>
      </c>
      <c r="BF156" s="513" t="s">
        <v>1771</v>
      </c>
      <c r="BG156" s="514" t="s">
        <v>1771</v>
      </c>
      <c r="BH156" s="510" t="s">
        <v>1771</v>
      </c>
      <c r="BI156" s="628"/>
    </row>
    <row r="157" spans="1:61" s="523" customFormat="1" ht="372">
      <c r="A157" s="538" t="s">
        <v>5938</v>
      </c>
      <c r="B157" s="655" t="s">
        <v>3042</v>
      </c>
      <c r="C157" s="655" t="s">
        <v>5694</v>
      </c>
      <c r="D157" s="508" t="s">
        <v>5945</v>
      </c>
      <c r="E157" s="505" t="s">
        <v>5941</v>
      </c>
      <c r="F157" s="505" t="s">
        <v>5942</v>
      </c>
      <c r="G157" s="509">
        <v>609288978</v>
      </c>
      <c r="H157" s="655" t="s">
        <v>5943</v>
      </c>
      <c r="I157" s="725"/>
      <c r="J157" s="725"/>
      <c r="K157" s="655">
        <f>1+1+1+8+1+1+1+1+1+1+1+1+1+1+1+1+1+1+1+1+1+1+1+1+1+1+1+1+1+4+2</f>
        <v>42</v>
      </c>
      <c r="L157" s="655">
        <f>3.58+2.09+2.12+300+3.59+3.58+3.6+3.66+21.23+21.43+3.57+3.57+58.4+59.6+25.4+6.78+6.79+7.01+6.83+2.11+2.1+3.59+11.86+3.67+1.43+1.48+2.09+60.6+60.8+14.37+8.72</f>
        <v>715.65000000000009</v>
      </c>
      <c r="M157" s="511">
        <v>44866</v>
      </c>
      <c r="N157" s="511">
        <v>44866</v>
      </c>
      <c r="O157" s="511">
        <v>44866</v>
      </c>
      <c r="P157" s="511">
        <v>44906</v>
      </c>
      <c r="Q157" s="511">
        <v>44908</v>
      </c>
      <c r="R157" s="512" t="s">
        <v>6170</v>
      </c>
      <c r="S157" s="515" t="s">
        <v>3752</v>
      </c>
      <c r="T157" s="510" t="s">
        <v>5804</v>
      </c>
      <c r="U157" s="516" t="s">
        <v>3031</v>
      </c>
      <c r="V157" s="359">
        <v>44904</v>
      </c>
      <c r="W157" s="510" t="s">
        <v>3147</v>
      </c>
      <c r="X157" s="510" t="s">
        <v>3147</v>
      </c>
      <c r="Y157" s="511">
        <v>44907</v>
      </c>
      <c r="Z157" s="510" t="s">
        <v>3252</v>
      </c>
      <c r="AA157" s="510" t="s">
        <v>3982</v>
      </c>
      <c r="AB157" s="510" t="s">
        <v>6034</v>
      </c>
      <c r="AC157" s="510" t="s">
        <v>2146</v>
      </c>
      <c r="AD157" s="511">
        <v>44907</v>
      </c>
      <c r="AE157" s="510">
        <v>446.12999000000002</v>
      </c>
      <c r="AF157" s="655" t="s">
        <v>3460</v>
      </c>
      <c r="AG157" s="510" t="s">
        <v>3108</v>
      </c>
      <c r="AH157" s="517">
        <f>80331.75</f>
        <v>80331.75</v>
      </c>
      <c r="AI157" s="517">
        <f>4414.44</f>
        <v>4414.4399999999996</v>
      </c>
      <c r="AJ157" s="517">
        <v>1</v>
      </c>
      <c r="AK157" s="517">
        <f t="shared" si="120"/>
        <v>84747.19</v>
      </c>
      <c r="AL157" s="518">
        <f>5.2396</f>
        <v>5.2396000000000003</v>
      </c>
      <c r="AM157" s="519">
        <f t="shared" si="119"/>
        <v>444041.37672400003</v>
      </c>
      <c r="AN157" s="519">
        <v>0</v>
      </c>
      <c r="AO157" s="510">
        <v>5</v>
      </c>
      <c r="AP157" s="519">
        <v>38147.449999999997</v>
      </c>
      <c r="AQ157" s="519">
        <v>61694.99</v>
      </c>
      <c r="AR157" s="519">
        <v>8839.0300000000007</v>
      </c>
      <c r="AS157" s="519">
        <v>40659.379999999997</v>
      </c>
      <c r="AT157" s="519">
        <v>85065.57</v>
      </c>
      <c r="AU157" s="519"/>
      <c r="AV157" s="519">
        <v>285.33999999999997</v>
      </c>
      <c r="AW157" s="510" t="s">
        <v>3139</v>
      </c>
      <c r="AX157" s="520">
        <f t="shared" si="103"/>
        <v>44908</v>
      </c>
      <c r="AY157" s="510"/>
      <c r="AZ157" s="519">
        <f t="shared" si="121"/>
        <v>666062.06508600002</v>
      </c>
      <c r="BA157" s="521">
        <f t="shared" si="105"/>
        <v>0</v>
      </c>
      <c r="BB157" s="519" t="e">
        <f t="shared" si="106"/>
        <v>#DIV/0!</v>
      </c>
      <c r="BC157" s="519"/>
      <c r="BD157" s="519">
        <f t="shared" si="107"/>
        <v>-50</v>
      </c>
      <c r="BE157" s="519">
        <f t="shared" si="99"/>
        <v>-50</v>
      </c>
      <c r="BF157" s="513" t="s">
        <v>1771</v>
      </c>
      <c r="BG157" s="514" t="s">
        <v>1771</v>
      </c>
      <c r="BH157" s="510" t="s">
        <v>1771</v>
      </c>
      <c r="BI157" s="628"/>
    </row>
    <row r="158" spans="1:61" s="523" customFormat="1" ht="216">
      <c r="A158" s="538" t="s">
        <v>5959</v>
      </c>
      <c r="B158" s="655" t="s">
        <v>3042</v>
      </c>
      <c r="C158" s="655" t="s">
        <v>5694</v>
      </c>
      <c r="D158" s="508" t="s">
        <v>5972</v>
      </c>
      <c r="E158" s="505" t="s">
        <v>5964</v>
      </c>
      <c r="F158" s="505" t="s">
        <v>5963</v>
      </c>
      <c r="G158" s="509">
        <v>222995921</v>
      </c>
      <c r="H158" s="655" t="s">
        <v>5967</v>
      </c>
      <c r="I158" s="724">
        <v>1</v>
      </c>
      <c r="J158" s="724" t="s">
        <v>1771</v>
      </c>
      <c r="K158" s="655">
        <f>1+1+2+2+1+1+1+1+1+1+1+4+1+1+1+1+1+1</f>
        <v>23</v>
      </c>
      <c r="L158" s="655">
        <f>39.14+1.68+15.97+19.58+6.54+11.5+12.81+7.48+137+6.58+38.5+151.26+23+7.95+11.78+11.54+6.98+0.68</f>
        <v>509.97</v>
      </c>
      <c r="M158" s="511">
        <v>44875</v>
      </c>
      <c r="N158" s="511"/>
      <c r="O158" s="511"/>
      <c r="P158" s="511">
        <v>44913</v>
      </c>
      <c r="Q158" s="511">
        <v>44918</v>
      </c>
      <c r="R158" s="512" t="s">
        <v>6184</v>
      </c>
      <c r="S158" s="515" t="s">
        <v>3752</v>
      </c>
      <c r="T158" s="510" t="s">
        <v>5804</v>
      </c>
      <c r="U158" s="516" t="s">
        <v>3031</v>
      </c>
      <c r="V158" s="359">
        <v>44910</v>
      </c>
      <c r="W158" s="511" t="s">
        <v>3147</v>
      </c>
      <c r="X158" s="511" t="s">
        <v>3147</v>
      </c>
      <c r="Y158" s="511">
        <v>44914</v>
      </c>
      <c r="Z158" s="510" t="s">
        <v>3252</v>
      </c>
      <c r="AA158" s="510" t="s">
        <v>3982</v>
      </c>
      <c r="AB158" s="510" t="s">
        <v>6044</v>
      </c>
      <c r="AC158" s="510" t="s">
        <v>2146</v>
      </c>
      <c r="AD158" s="511">
        <v>44916</v>
      </c>
      <c r="AE158" s="510">
        <v>393.20287999999999</v>
      </c>
      <c r="AF158" s="655" t="s">
        <v>5973</v>
      </c>
      <c r="AG158" s="510" t="s">
        <v>3108</v>
      </c>
      <c r="AH158" s="517">
        <v>9887.31</v>
      </c>
      <c r="AI158" s="517">
        <v>2831.45</v>
      </c>
      <c r="AJ158" s="517">
        <v>1</v>
      </c>
      <c r="AK158" s="517">
        <f t="shared" ref="AK158:AK161" si="122">SUM(AH158:AJ158)</f>
        <v>12719.759999999998</v>
      </c>
      <c r="AL158" s="518">
        <v>5.2427000000000001</v>
      </c>
      <c r="AM158" s="519">
        <f t="shared" si="119"/>
        <v>66685.885751999987</v>
      </c>
      <c r="AN158" s="519">
        <v>0</v>
      </c>
      <c r="AO158" s="510">
        <v>9</v>
      </c>
      <c r="AP158" s="519">
        <v>5844.26</v>
      </c>
      <c r="AQ158" s="519">
        <v>4924.97</v>
      </c>
      <c r="AR158" s="519">
        <v>1400.4</v>
      </c>
      <c r="AS158" s="519">
        <v>6435.21</v>
      </c>
      <c r="AT158" s="519">
        <v>17850.75</v>
      </c>
      <c r="AU158" s="519">
        <v>1224.1500000000001</v>
      </c>
      <c r="AV158" s="519">
        <v>377.9</v>
      </c>
      <c r="AW158" s="510" t="s">
        <v>3139</v>
      </c>
      <c r="AX158" s="520">
        <f t="shared" si="103"/>
        <v>44918</v>
      </c>
      <c r="AY158" s="510"/>
      <c r="AZ158" s="519">
        <f t="shared" si="121"/>
        <v>100028.82862799999</v>
      </c>
      <c r="BA158" s="521">
        <f t="shared" si="105"/>
        <v>1</v>
      </c>
      <c r="BB158" s="519">
        <f t="shared" si="106"/>
        <v>100028.82862799999</v>
      </c>
      <c r="BC158" s="519"/>
      <c r="BD158" s="519">
        <f t="shared" si="107"/>
        <v>-10</v>
      </c>
      <c r="BE158" s="519">
        <f t="shared" si="99"/>
        <v>-10</v>
      </c>
      <c r="BF158" s="513" t="s">
        <v>1771</v>
      </c>
      <c r="BG158" s="514" t="s">
        <v>1771</v>
      </c>
      <c r="BH158" s="510" t="s">
        <v>1771</v>
      </c>
      <c r="BI158" s="522"/>
    </row>
    <row r="159" spans="1:61" s="523" customFormat="1" ht="264">
      <c r="A159" s="538" t="s">
        <v>5960</v>
      </c>
      <c r="B159" s="655" t="s">
        <v>3042</v>
      </c>
      <c r="C159" s="655" t="s">
        <v>5694</v>
      </c>
      <c r="D159" s="508" t="s">
        <v>5974</v>
      </c>
      <c r="E159" s="505" t="s">
        <v>5966</v>
      </c>
      <c r="F159" s="505" t="s">
        <v>5965</v>
      </c>
      <c r="G159" s="509">
        <v>914642372</v>
      </c>
      <c r="H159" s="655" t="s">
        <v>5967</v>
      </c>
      <c r="I159" s="725"/>
      <c r="J159" s="725"/>
      <c r="K159" s="655">
        <f>1+8+4+4+2+4+1+1+1+1+1+4+1+1+1+4+2+1+1+1+1+1</f>
        <v>46</v>
      </c>
      <c r="L159" s="655">
        <f>60+149.32+84.66+86.54+14.52+87.63+60.6+59.4+60.2+61.4+59.2+86.93+60.4+2.16+59.4+24.15+9.9+1.75+1.65+1.45+3.08+36.6</f>
        <v>1070.94</v>
      </c>
      <c r="M159" s="511">
        <v>44875</v>
      </c>
      <c r="N159" s="511"/>
      <c r="O159" s="511"/>
      <c r="P159" s="511">
        <v>44913</v>
      </c>
      <c r="Q159" s="511">
        <v>44918</v>
      </c>
      <c r="R159" s="512" t="s">
        <v>6185</v>
      </c>
      <c r="S159" s="515" t="s">
        <v>3752</v>
      </c>
      <c r="T159" s="510" t="s">
        <v>5804</v>
      </c>
      <c r="U159" s="516" t="s">
        <v>3031</v>
      </c>
      <c r="V159" s="359">
        <v>44910</v>
      </c>
      <c r="W159" s="511" t="s">
        <v>3147</v>
      </c>
      <c r="X159" s="511" t="s">
        <v>3147</v>
      </c>
      <c r="Y159" s="511">
        <v>44914</v>
      </c>
      <c r="Z159" s="510" t="s">
        <v>3252</v>
      </c>
      <c r="AA159" s="510" t="s">
        <v>3982</v>
      </c>
      <c r="AB159" s="510" t="s">
        <v>6045</v>
      </c>
      <c r="AC159" s="510" t="s">
        <v>2146</v>
      </c>
      <c r="AD159" s="511">
        <v>44916</v>
      </c>
      <c r="AE159" s="510">
        <v>595.10500000000002</v>
      </c>
      <c r="AF159" s="655" t="s">
        <v>3460</v>
      </c>
      <c r="AG159" s="510" t="s">
        <v>3108</v>
      </c>
      <c r="AH159" s="517">
        <v>103569.31</v>
      </c>
      <c r="AI159" s="517">
        <v>6077.55</v>
      </c>
      <c r="AJ159" s="517">
        <v>1</v>
      </c>
      <c r="AK159" s="517">
        <f t="shared" si="122"/>
        <v>109647.86</v>
      </c>
      <c r="AL159" s="518">
        <v>5.2427000000000001</v>
      </c>
      <c r="AM159" s="519">
        <f t="shared" si="119"/>
        <v>574850.83562200004</v>
      </c>
      <c r="AN159" s="519">
        <v>0</v>
      </c>
      <c r="AO159" s="510">
        <v>9</v>
      </c>
      <c r="AP159" s="519">
        <v>54205.52</v>
      </c>
      <c r="AQ159" s="519">
        <v>88272.11</v>
      </c>
      <c r="AR159" s="519">
        <v>12071.86</v>
      </c>
      <c r="AS159" s="519">
        <v>55484.21</v>
      </c>
      <c r="AT159" s="519">
        <v>112515.63</v>
      </c>
      <c r="AU159" s="519">
        <v>2604.66</v>
      </c>
      <c r="AV159" s="519">
        <v>377.9</v>
      </c>
      <c r="AW159" s="510" t="s">
        <v>3139</v>
      </c>
      <c r="AX159" s="520">
        <f t="shared" si="103"/>
        <v>44918</v>
      </c>
      <c r="AY159" s="510"/>
      <c r="AZ159" s="519">
        <f t="shared" si="121"/>
        <v>862276.25343300006</v>
      </c>
      <c r="BA159" s="521">
        <f t="shared" si="105"/>
        <v>0</v>
      </c>
      <c r="BB159" s="519" t="e">
        <f t="shared" si="106"/>
        <v>#DIV/0!</v>
      </c>
      <c r="BC159" s="519"/>
      <c r="BD159" s="519">
        <f t="shared" si="107"/>
        <v>-10</v>
      </c>
      <c r="BE159" s="519">
        <f t="shared" si="99"/>
        <v>-10</v>
      </c>
      <c r="BF159" s="513" t="s">
        <v>1771</v>
      </c>
      <c r="BG159" s="514" t="s">
        <v>1771</v>
      </c>
      <c r="BH159" s="510" t="s">
        <v>1771</v>
      </c>
      <c r="BI159" s="522"/>
    </row>
    <row r="160" spans="1:61" s="523" customFormat="1" ht="144">
      <c r="A160" s="538" t="s">
        <v>5961</v>
      </c>
      <c r="B160" s="655" t="s">
        <v>3042</v>
      </c>
      <c r="C160" s="655" t="s">
        <v>5694</v>
      </c>
      <c r="D160" s="508" t="s">
        <v>5975</v>
      </c>
      <c r="E160" s="505" t="s">
        <v>5970</v>
      </c>
      <c r="F160" s="505" t="s">
        <v>5968</v>
      </c>
      <c r="G160" s="509">
        <v>223046066</v>
      </c>
      <c r="H160" s="655" t="s">
        <v>5967</v>
      </c>
      <c r="I160" s="724">
        <v>1</v>
      </c>
      <c r="J160" s="724" t="s">
        <v>1771</v>
      </c>
      <c r="K160" s="655">
        <f>1+3+3+4+9+8</f>
        <v>28</v>
      </c>
      <c r="L160" s="655">
        <f>103.5+242.3+75.46+252.5+1374.38+1099</f>
        <v>3147.1400000000003</v>
      </c>
      <c r="M160" s="511">
        <v>44875</v>
      </c>
      <c r="N160" s="511">
        <v>44876</v>
      </c>
      <c r="O160" s="511">
        <v>44876</v>
      </c>
      <c r="P160" s="511">
        <v>44913</v>
      </c>
      <c r="Q160" s="511">
        <v>44918</v>
      </c>
      <c r="R160" s="512" t="s">
        <v>6186</v>
      </c>
      <c r="S160" s="515" t="s">
        <v>3752</v>
      </c>
      <c r="T160" s="510" t="s">
        <v>5804</v>
      </c>
      <c r="U160" s="516" t="s">
        <v>3031</v>
      </c>
      <c r="V160" s="359">
        <v>44911</v>
      </c>
      <c r="W160" s="511" t="s">
        <v>3147</v>
      </c>
      <c r="X160" s="511" t="s">
        <v>3147</v>
      </c>
      <c r="Y160" s="511">
        <v>44914</v>
      </c>
      <c r="Z160" s="510" t="s">
        <v>3252</v>
      </c>
      <c r="AA160" s="510" t="s">
        <v>3982</v>
      </c>
      <c r="AB160" s="510" t="s">
        <v>6046</v>
      </c>
      <c r="AC160" s="510" t="s">
        <v>2146</v>
      </c>
      <c r="AD160" s="511">
        <v>44916</v>
      </c>
      <c r="AE160" s="515">
        <v>2668.8716100000001</v>
      </c>
      <c r="AF160" s="655" t="s">
        <v>5976</v>
      </c>
      <c r="AG160" s="510" t="s">
        <v>3108</v>
      </c>
      <c r="AH160" s="517">
        <v>66441.73</v>
      </c>
      <c r="AI160" s="517">
        <v>8855.44</v>
      </c>
      <c r="AJ160" s="517">
        <v>1</v>
      </c>
      <c r="AK160" s="517">
        <f t="shared" si="122"/>
        <v>75298.17</v>
      </c>
      <c r="AL160" s="518">
        <v>5.2427000000000001</v>
      </c>
      <c r="AM160" s="519">
        <f t="shared" si="119"/>
        <v>394765.71585899999</v>
      </c>
      <c r="AN160" s="519">
        <v>0</v>
      </c>
      <c r="AO160" s="510">
        <v>7</v>
      </c>
      <c r="AP160" s="519">
        <v>35272.58</v>
      </c>
      <c r="AQ160" s="519">
        <v>29542.34</v>
      </c>
      <c r="AR160" s="519">
        <v>8290.09</v>
      </c>
      <c r="AS160" s="519">
        <v>38094.9</v>
      </c>
      <c r="AT160" s="519">
        <v>105484.61</v>
      </c>
      <c r="AU160" s="519">
        <v>3786.04</v>
      </c>
      <c r="AV160" s="519">
        <v>331.62</v>
      </c>
      <c r="AW160" s="510" t="s">
        <v>3139</v>
      </c>
      <c r="AX160" s="520">
        <f t="shared" si="103"/>
        <v>44918</v>
      </c>
      <c r="AY160" s="510"/>
      <c r="AZ160" s="519">
        <f t="shared" si="121"/>
        <v>592148.57378849993</v>
      </c>
      <c r="BA160" s="521">
        <f t="shared" si="105"/>
        <v>1</v>
      </c>
      <c r="BB160" s="519">
        <f t="shared" si="106"/>
        <v>592148.57378849993</v>
      </c>
      <c r="BC160" s="519"/>
      <c r="BD160" s="519">
        <f t="shared" si="107"/>
        <v>-30</v>
      </c>
      <c r="BE160" s="519">
        <f t="shared" si="99"/>
        <v>-30</v>
      </c>
      <c r="BF160" s="513" t="s">
        <v>1771</v>
      </c>
      <c r="BG160" s="514" t="s">
        <v>1771</v>
      </c>
      <c r="BH160" s="510" t="s">
        <v>1771</v>
      </c>
      <c r="BI160" s="522"/>
    </row>
    <row r="161" spans="1:61" s="523" customFormat="1" ht="144">
      <c r="A161" s="538" t="s">
        <v>5962</v>
      </c>
      <c r="B161" s="655" t="s">
        <v>3042</v>
      </c>
      <c r="C161" s="655" t="s">
        <v>5694</v>
      </c>
      <c r="D161" s="508">
        <v>4800018090</v>
      </c>
      <c r="E161" s="505" t="s">
        <v>5971</v>
      </c>
      <c r="F161" s="505" t="s">
        <v>5969</v>
      </c>
      <c r="G161" s="509">
        <v>223045981</v>
      </c>
      <c r="H161" s="655" t="s">
        <v>5967</v>
      </c>
      <c r="I161" s="725"/>
      <c r="J161" s="725"/>
      <c r="K161" s="655">
        <f>1</f>
        <v>1</v>
      </c>
      <c r="L161" s="655">
        <f>40.27</f>
        <v>40.270000000000003</v>
      </c>
      <c r="M161" s="511">
        <v>44875</v>
      </c>
      <c r="N161" s="511">
        <v>44876</v>
      </c>
      <c r="O161" s="511">
        <v>44876</v>
      </c>
      <c r="P161" s="511">
        <v>44913</v>
      </c>
      <c r="Q161" s="511">
        <v>44918</v>
      </c>
      <c r="R161" s="512" t="s">
        <v>6187</v>
      </c>
      <c r="S161" s="515" t="s">
        <v>3752</v>
      </c>
      <c r="T161" s="510" t="s">
        <v>5804</v>
      </c>
      <c r="U161" s="516" t="s">
        <v>3031</v>
      </c>
      <c r="V161" s="359">
        <v>44911</v>
      </c>
      <c r="W161" s="511" t="s">
        <v>3147</v>
      </c>
      <c r="X161" s="511" t="s">
        <v>3147</v>
      </c>
      <c r="Y161" s="511">
        <v>44914</v>
      </c>
      <c r="Z161" s="510" t="s">
        <v>3252</v>
      </c>
      <c r="AA161" s="510" t="s">
        <v>3982</v>
      </c>
      <c r="AB161" s="510" t="s">
        <v>6047</v>
      </c>
      <c r="AC161" s="510" t="s">
        <v>2146</v>
      </c>
      <c r="AD161" s="511">
        <v>44916</v>
      </c>
      <c r="AE161" s="510">
        <v>38.590000000000003</v>
      </c>
      <c r="AF161" s="655" t="s">
        <v>3460</v>
      </c>
      <c r="AG161" s="510" t="s">
        <v>3108</v>
      </c>
      <c r="AH161" s="517">
        <v>262.68</v>
      </c>
      <c r="AI161" s="517">
        <v>53.56</v>
      </c>
      <c r="AJ161" s="517">
        <v>1</v>
      </c>
      <c r="AK161" s="517">
        <f t="shared" si="122"/>
        <v>317.24</v>
      </c>
      <c r="AL161" s="518">
        <v>5.2427000000000001</v>
      </c>
      <c r="AM161" s="519">
        <f t="shared" si="119"/>
        <v>1663.194148</v>
      </c>
      <c r="AN161" s="519">
        <v>0</v>
      </c>
      <c r="AO161" s="510">
        <v>1</v>
      </c>
      <c r="AP161" s="519">
        <v>133.06</v>
      </c>
      <c r="AQ161" s="519">
        <v>89.81</v>
      </c>
      <c r="AR161" s="519">
        <v>34.93</v>
      </c>
      <c r="AS161" s="519">
        <v>160.5</v>
      </c>
      <c r="AT161" s="519">
        <v>335.75</v>
      </c>
      <c r="AU161" s="519">
        <v>42.77</v>
      </c>
      <c r="AV161" s="519">
        <v>154.22999999999999</v>
      </c>
      <c r="AW161" s="510" t="s">
        <v>3139</v>
      </c>
      <c r="AX161" s="520">
        <f t="shared" si="103"/>
        <v>44918</v>
      </c>
      <c r="AY161" s="510"/>
      <c r="AZ161" s="519">
        <f t="shared" si="121"/>
        <v>2494.7912219999998</v>
      </c>
      <c r="BA161" s="521">
        <f t="shared" si="105"/>
        <v>0</v>
      </c>
      <c r="BB161" s="519" t="e">
        <f t="shared" si="106"/>
        <v>#DIV/0!</v>
      </c>
      <c r="BC161" s="519"/>
      <c r="BD161" s="519">
        <f t="shared" si="107"/>
        <v>-90</v>
      </c>
      <c r="BE161" s="519">
        <f t="shared" si="99"/>
        <v>-90</v>
      </c>
      <c r="BF161" s="513" t="s">
        <v>1771</v>
      </c>
      <c r="BG161" s="514" t="s">
        <v>1771</v>
      </c>
      <c r="BH161" s="510" t="s">
        <v>1771</v>
      </c>
      <c r="BI161" s="522"/>
    </row>
  </sheetData>
  <sheetProtection selectLockedCells="1" autoFilter="0" selectUnlockedCells="1"/>
  <autoFilter ref="A1:BH157">
    <filterColumn colId="0"/>
    <filterColumn colId="29"/>
  </autoFilter>
  <mergeCells count="41">
    <mergeCell ref="I125:I126"/>
    <mergeCell ref="J125:J126"/>
    <mergeCell ref="I154:I155"/>
    <mergeCell ref="J154:J155"/>
    <mergeCell ref="I160:I161"/>
    <mergeCell ref="J160:J161"/>
    <mergeCell ref="J137:J138"/>
    <mergeCell ref="I148:I149"/>
    <mergeCell ref="J148:J149"/>
    <mergeCell ref="I151:I152"/>
    <mergeCell ref="J151:J152"/>
    <mergeCell ref="I146:I147"/>
    <mergeCell ref="I132:I133"/>
    <mergeCell ref="J132:J133"/>
    <mergeCell ref="I158:I159"/>
    <mergeCell ref="J158:J159"/>
    <mergeCell ref="I156:I157"/>
    <mergeCell ref="J156:J157"/>
    <mergeCell ref="I137:I138"/>
    <mergeCell ref="J146:J147"/>
    <mergeCell ref="AF95:AF96"/>
    <mergeCell ref="I99:I100"/>
    <mergeCell ref="J99:J100"/>
    <mergeCell ref="I103:I104"/>
    <mergeCell ref="J103:J104"/>
    <mergeCell ref="I101:I102"/>
    <mergeCell ref="J101:J102"/>
    <mergeCell ref="I95:I96"/>
    <mergeCell ref="J95:J96"/>
    <mergeCell ref="I106:I107"/>
    <mergeCell ref="J106:J107"/>
    <mergeCell ref="I111:I112"/>
    <mergeCell ref="I123:I124"/>
    <mergeCell ref="J123:J124"/>
    <mergeCell ref="J111:J112"/>
    <mergeCell ref="I118:I119"/>
    <mergeCell ref="J118:J119"/>
    <mergeCell ref="I113:I114"/>
    <mergeCell ref="J113:J114"/>
    <mergeCell ref="I121:I122"/>
    <mergeCell ref="J121:J122"/>
  </mergeCells>
  <conditionalFormatting sqref="V1:V116 V129:V161">
    <cfRule type="cellIs" dxfId="368" priority="145" stopIfTrue="1" operator="equal">
      <formula>0</formula>
    </cfRule>
  </conditionalFormatting>
  <pageMargins left="0.78740157480314965" right="0.78740157480314965" top="0.98425196850393704" bottom="0.98425196850393704" header="0.51181102362204722" footer="0.51181102362204722"/>
  <pageSetup paperSize="9" scale="10" fitToHeight="4" orientation="portrait" r:id="rId1"/>
  <headerFooter alignWithMargins="0"/>
</worksheet>
</file>

<file path=xl/worksheets/sheet11.xml><?xml version="1.0" encoding="utf-8"?>
<worksheet xmlns="http://schemas.openxmlformats.org/spreadsheetml/2006/main" xmlns:r="http://schemas.openxmlformats.org/officeDocument/2006/relationships">
  <sheetPr>
    <tabColor theme="0" tint="-0.499984740745262"/>
    <pageSetUpPr fitToPage="1"/>
  </sheetPr>
  <dimension ref="A1:BI119"/>
  <sheetViews>
    <sheetView showGridLines="0" zoomScale="90" zoomScaleNormal="90" workbookViewId="0">
      <pane xSplit="1" ySplit="1" topLeftCell="B69" activePane="bottomRight" state="frozen"/>
      <selection pane="topRight" activeCell="B1" sqref="B1"/>
      <selection pane="bottomLeft" activeCell="A2" sqref="A2"/>
      <selection pane="bottomRight" activeCell="A71" sqref="A71"/>
    </sheetView>
  </sheetViews>
  <sheetFormatPr defaultColWidth="36.140625" defaultRowHeight="12"/>
  <cols>
    <col min="1" max="1" width="13.42578125" style="368" bestFit="1" customWidth="1"/>
    <col min="2" max="2" width="12.42578125" style="369" customWidth="1"/>
    <col min="3" max="3" width="11.140625" style="369" customWidth="1"/>
    <col min="4" max="4" width="11.28515625" style="369" customWidth="1"/>
    <col min="5" max="5" width="18.42578125" style="369" customWidth="1"/>
    <col min="6" max="6" width="26.7109375" style="369" customWidth="1"/>
    <col min="7" max="7" width="19.140625" style="370" customWidth="1"/>
    <col min="8" max="8" width="20.85546875" style="369" customWidth="1"/>
    <col min="9" max="10" width="11.85546875" style="377" customWidth="1"/>
    <col min="11" max="11" width="15.5703125" style="371" customWidth="1"/>
    <col min="12" max="12" width="15.7109375" style="371" customWidth="1"/>
    <col min="13" max="14" width="14.140625" style="374" customWidth="1"/>
    <col min="15" max="15" width="14.140625" style="371" customWidth="1"/>
    <col min="16" max="17" width="14.140625" style="372" customWidth="1"/>
    <col min="18" max="18" width="78.85546875" style="373" customWidth="1"/>
    <col min="19" max="19" width="11.140625" style="373" customWidth="1"/>
    <col min="20" max="20" width="20.85546875" style="373" customWidth="1"/>
    <col min="21" max="21" width="10.85546875" style="369" customWidth="1"/>
    <col min="22" max="22" width="14.140625" style="369" customWidth="1"/>
    <col min="23" max="23" width="20.5703125" style="369" customWidth="1"/>
    <col min="24" max="24" width="19.85546875" style="371" customWidth="1"/>
    <col min="25" max="25" width="19.5703125" style="369" customWidth="1"/>
    <col min="26" max="26" width="10.7109375" style="369" customWidth="1"/>
    <col min="27" max="27" width="17.7109375" style="369" customWidth="1"/>
    <col min="28" max="28" width="12.28515625" style="369" customWidth="1"/>
    <col min="29" max="29" width="11.85546875" style="375" customWidth="1"/>
    <col min="30" max="30" width="17.85546875" style="375" customWidth="1"/>
    <col min="31" max="31" width="9.28515625" style="376" customWidth="1"/>
    <col min="32" max="32" width="12.85546875" style="377" customWidth="1"/>
    <col min="33" max="33" width="12.7109375" style="377" customWidth="1"/>
    <col min="34" max="34" width="12.28515625" style="377" customWidth="1"/>
    <col min="35" max="35" width="13.42578125" style="377" customWidth="1"/>
    <col min="36" max="36" width="14.5703125" style="377" customWidth="1"/>
    <col min="37" max="37" width="11.85546875" style="377" customWidth="1"/>
    <col min="38" max="38" width="11.7109375" style="377" customWidth="1"/>
    <col min="39" max="39" width="15.28515625" style="377" customWidth="1"/>
    <col min="40" max="40" width="10.140625" style="377" customWidth="1"/>
    <col min="41" max="41" width="11.5703125" style="377" customWidth="1"/>
    <col min="42" max="43" width="13.85546875" style="377" customWidth="1"/>
    <col min="44" max="44" width="12.7109375" style="377" customWidth="1"/>
    <col min="45" max="45" width="13.85546875" style="377" customWidth="1"/>
    <col min="46" max="46" width="15" style="377" customWidth="1"/>
    <col min="47" max="47" width="17.140625" style="377" customWidth="1"/>
    <col min="48" max="48" width="14.42578125" style="377" customWidth="1"/>
    <col min="49" max="49" width="19.85546875" style="377" customWidth="1"/>
    <col min="50" max="50" width="15.42578125" style="377" customWidth="1"/>
    <col min="51" max="51" width="16.85546875" style="377" customWidth="1"/>
    <col min="52" max="52" width="15.28515625" style="377" customWidth="1"/>
    <col min="53" max="53" width="13.28515625" style="377" customWidth="1"/>
    <col min="54" max="54" width="15.28515625" style="377" customWidth="1"/>
    <col min="55" max="57" width="13" style="377" customWidth="1"/>
    <col min="58" max="58" width="16.85546875" style="371" customWidth="1"/>
    <col min="59" max="59" width="15.42578125" style="378" customWidth="1"/>
    <col min="60" max="60" width="13.5703125" style="377" customWidth="1"/>
    <col min="61" max="16384" width="36.140625" style="377"/>
  </cols>
  <sheetData>
    <row r="1" spans="1:60" s="506" customFormat="1" ht="24">
      <c r="A1" s="525" t="s">
        <v>3291</v>
      </c>
      <c r="B1" s="525" t="s">
        <v>3022</v>
      </c>
      <c r="C1" s="525" t="s">
        <v>1470</v>
      </c>
      <c r="D1" s="525" t="s">
        <v>508</v>
      </c>
      <c r="E1" s="525" t="s">
        <v>1577</v>
      </c>
      <c r="F1" s="525" t="s">
        <v>3961</v>
      </c>
      <c r="G1" s="526" t="s">
        <v>59</v>
      </c>
      <c r="H1" s="526" t="s">
        <v>423</v>
      </c>
      <c r="I1" s="526" t="s">
        <v>3114</v>
      </c>
      <c r="J1" s="526" t="s">
        <v>3115</v>
      </c>
      <c r="K1" s="525" t="s">
        <v>3034</v>
      </c>
      <c r="L1" s="525" t="s">
        <v>3025</v>
      </c>
      <c r="M1" s="525" t="s">
        <v>3026</v>
      </c>
      <c r="N1" s="525" t="s">
        <v>4082</v>
      </c>
      <c r="O1" s="527" t="s">
        <v>2969</v>
      </c>
      <c r="P1" s="527" t="s">
        <v>4083</v>
      </c>
      <c r="Q1" s="528" t="s">
        <v>2974</v>
      </c>
      <c r="R1" s="528" t="s">
        <v>1205</v>
      </c>
      <c r="S1" s="530" t="s">
        <v>2928</v>
      </c>
      <c r="T1" s="530" t="s">
        <v>3024</v>
      </c>
      <c r="U1" s="530" t="s">
        <v>1185</v>
      </c>
      <c r="V1" s="530" t="s">
        <v>3039</v>
      </c>
      <c r="W1" s="530" t="s">
        <v>3035</v>
      </c>
      <c r="X1" s="530" t="s">
        <v>3137</v>
      </c>
      <c r="Y1" s="530" t="s">
        <v>3032</v>
      </c>
      <c r="Z1" s="530" t="s">
        <v>3033</v>
      </c>
      <c r="AA1" s="530" t="s">
        <v>3162</v>
      </c>
      <c r="AB1" s="531" t="s">
        <v>2970</v>
      </c>
      <c r="AC1" s="531" t="s">
        <v>2930</v>
      </c>
      <c r="AD1" s="531" t="s">
        <v>3028</v>
      </c>
      <c r="AE1" s="531" t="s">
        <v>3080</v>
      </c>
      <c r="AF1" s="532" t="s">
        <v>3113</v>
      </c>
      <c r="AG1" s="532" t="s">
        <v>3023</v>
      </c>
      <c r="AH1" s="533" t="s">
        <v>3116</v>
      </c>
      <c r="AI1" s="533" t="s">
        <v>3117</v>
      </c>
      <c r="AJ1" s="533" t="s">
        <v>3118</v>
      </c>
      <c r="AK1" s="533" t="s">
        <v>3119</v>
      </c>
      <c r="AL1" s="534" t="s">
        <v>3120</v>
      </c>
      <c r="AM1" s="533" t="s">
        <v>3121</v>
      </c>
      <c r="AN1" s="533" t="s">
        <v>3190</v>
      </c>
      <c r="AO1" s="535" t="s">
        <v>3029</v>
      </c>
      <c r="AP1" s="533" t="s">
        <v>3156</v>
      </c>
      <c r="AQ1" s="533" t="s">
        <v>3187</v>
      </c>
      <c r="AR1" s="533" t="s">
        <v>3188</v>
      </c>
      <c r="AS1" s="533" t="s">
        <v>3189</v>
      </c>
      <c r="AT1" s="533" t="s">
        <v>3191</v>
      </c>
      <c r="AU1" s="533" t="s">
        <v>3127</v>
      </c>
      <c r="AV1" s="533" t="s">
        <v>3122</v>
      </c>
      <c r="AW1" s="536" t="s">
        <v>3157</v>
      </c>
      <c r="AX1" s="532" t="s">
        <v>3123</v>
      </c>
      <c r="AY1" s="533" t="s">
        <v>3186</v>
      </c>
      <c r="AZ1" s="533" t="s">
        <v>3125</v>
      </c>
      <c r="BA1" s="537" t="s">
        <v>3126</v>
      </c>
      <c r="BB1" s="537" t="s">
        <v>3185</v>
      </c>
      <c r="BC1" s="622" t="s">
        <v>3182</v>
      </c>
      <c r="BD1" s="533" t="s">
        <v>3183</v>
      </c>
      <c r="BE1" s="533" t="s">
        <v>3184</v>
      </c>
      <c r="BF1" s="529" t="s">
        <v>747</v>
      </c>
      <c r="BG1" s="529" t="s">
        <v>3041</v>
      </c>
      <c r="BH1" s="532" t="s">
        <v>3124</v>
      </c>
    </row>
    <row r="2" spans="1:60" s="523" customFormat="1" ht="108">
      <c r="A2" s="538" t="s">
        <v>6048</v>
      </c>
      <c r="B2" s="507" t="s">
        <v>3042</v>
      </c>
      <c r="C2" s="507" t="s">
        <v>3743</v>
      </c>
      <c r="D2" s="508" t="s">
        <v>3747</v>
      </c>
      <c r="E2" s="507" t="s">
        <v>3744</v>
      </c>
      <c r="F2" s="507" t="s">
        <v>4004</v>
      </c>
      <c r="G2" s="509">
        <v>206577525</v>
      </c>
      <c r="H2" s="507" t="s">
        <v>3746</v>
      </c>
      <c r="I2" s="510" t="s">
        <v>1771</v>
      </c>
      <c r="J2" s="510">
        <v>1</v>
      </c>
      <c r="K2" s="507">
        <f>1+1+1+13+13+14</f>
        <v>43</v>
      </c>
      <c r="L2" s="507">
        <f>161+160.5+85+1446+1648+1609</f>
        <v>5109.5</v>
      </c>
      <c r="M2" s="511">
        <v>44173</v>
      </c>
      <c r="N2" s="511">
        <v>44173</v>
      </c>
      <c r="O2" s="511">
        <v>44170</v>
      </c>
      <c r="P2" s="511">
        <v>44199</v>
      </c>
      <c r="Q2" s="511">
        <f>P2+8</f>
        <v>44207</v>
      </c>
      <c r="R2" s="512" t="s">
        <v>4003</v>
      </c>
      <c r="S2" s="515" t="s">
        <v>3745</v>
      </c>
      <c r="T2" s="510" t="s">
        <v>3681</v>
      </c>
      <c r="U2" s="516" t="s">
        <v>3031</v>
      </c>
      <c r="V2" s="359">
        <v>44188</v>
      </c>
      <c r="W2" s="510" t="s">
        <v>3147</v>
      </c>
      <c r="X2" s="510" t="s">
        <v>3147</v>
      </c>
      <c r="Y2" s="511">
        <v>44200</v>
      </c>
      <c r="Z2" s="510" t="s">
        <v>3252</v>
      </c>
      <c r="AA2" s="510" t="s">
        <v>3548</v>
      </c>
      <c r="AB2" s="510" t="s">
        <v>3750</v>
      </c>
      <c r="AC2" s="510" t="s">
        <v>2146</v>
      </c>
      <c r="AD2" s="511">
        <v>44201</v>
      </c>
      <c r="AE2" s="515">
        <v>3343</v>
      </c>
      <c r="AF2" s="507" t="s">
        <v>3359</v>
      </c>
      <c r="AG2" s="510" t="s">
        <v>3108</v>
      </c>
      <c r="AH2" s="517">
        <v>142351.21</v>
      </c>
      <c r="AI2" s="517">
        <f>43.66+43.52+23.05+500.3+575.19+573.28</f>
        <v>1759</v>
      </c>
      <c r="AJ2" s="517">
        <v>6</v>
      </c>
      <c r="AK2" s="517">
        <f t="shared" ref="AK2:AK10" si="0">SUM(AH2:AJ2)</f>
        <v>144116.21</v>
      </c>
      <c r="AL2" s="518">
        <v>5.1626000000000003</v>
      </c>
      <c r="AM2" s="519">
        <f t="shared" ref="AM2:AM10" si="1">AK2*AL2</f>
        <v>744014.34574599995</v>
      </c>
      <c r="AN2" s="519">
        <v>0</v>
      </c>
      <c r="AO2" s="510">
        <v>4</v>
      </c>
      <c r="AP2" s="519">
        <v>11948.59</v>
      </c>
      <c r="AQ2" s="519">
        <v>75596.28</v>
      </c>
      <c r="AR2" s="519">
        <v>15624.3</v>
      </c>
      <c r="AS2" s="519">
        <v>71797.39</v>
      </c>
      <c r="AT2" s="519">
        <v>185754.2</v>
      </c>
      <c r="AU2" s="519">
        <v>2537.69</v>
      </c>
      <c r="AV2" s="519">
        <v>291.2</v>
      </c>
      <c r="AW2" s="510" t="s">
        <v>3139</v>
      </c>
      <c r="AX2" s="627">
        <f t="shared" ref="AX2:AX10" si="2">Q2</f>
        <v>44207</v>
      </c>
      <c r="AY2" s="519">
        <v>2986.86</v>
      </c>
      <c r="AZ2" s="519">
        <f>(AM2*50%)+AM2</f>
        <v>1116021.518619</v>
      </c>
      <c r="BA2" s="521">
        <f t="shared" ref="BA2:BA10" si="3">SUM(I2:J2)</f>
        <v>1</v>
      </c>
      <c r="BB2" s="519">
        <f t="shared" ref="BB2:BB10" si="4">AZ2/BA2</f>
        <v>1116021.518619</v>
      </c>
      <c r="BC2" s="519">
        <v>520.99</v>
      </c>
      <c r="BD2" s="519">
        <f t="shared" ref="BD2:BD65" si="5">(AO2-10)*10</f>
        <v>-60</v>
      </c>
      <c r="BE2" s="519">
        <f t="shared" ref="BE2:BE11" si="6">SUM(BC2:BD2)</f>
        <v>460.99</v>
      </c>
      <c r="BF2" s="513" t="s">
        <v>1771</v>
      </c>
      <c r="BG2" s="514" t="s">
        <v>1771</v>
      </c>
      <c r="BH2" s="510" t="s">
        <v>1771</v>
      </c>
    </row>
    <row r="3" spans="1:60" s="523" customFormat="1" ht="108">
      <c r="A3" s="538" t="s">
        <v>6049</v>
      </c>
      <c r="B3" s="507" t="s">
        <v>3042</v>
      </c>
      <c r="C3" s="507" t="s">
        <v>3743</v>
      </c>
      <c r="D3" s="508">
        <v>4800014719</v>
      </c>
      <c r="E3" s="507" t="s">
        <v>3748</v>
      </c>
      <c r="F3" s="507" t="s">
        <v>4006</v>
      </c>
      <c r="G3" s="509">
        <v>206577625</v>
      </c>
      <c r="H3" s="507" t="s">
        <v>3749</v>
      </c>
      <c r="I3" s="510">
        <v>1</v>
      </c>
      <c r="J3" s="510" t="s">
        <v>1771</v>
      </c>
      <c r="K3" s="507">
        <v>8</v>
      </c>
      <c r="L3" s="507">
        <v>597</v>
      </c>
      <c r="M3" s="511">
        <v>44174</v>
      </c>
      <c r="N3" s="511">
        <v>44175</v>
      </c>
      <c r="O3" s="511">
        <v>44175</v>
      </c>
      <c r="P3" s="511">
        <v>44215</v>
      </c>
      <c r="Q3" s="511">
        <v>44221</v>
      </c>
      <c r="R3" s="512" t="s">
        <v>4005</v>
      </c>
      <c r="S3" s="515" t="s">
        <v>3745</v>
      </c>
      <c r="T3" s="510" t="s">
        <v>3128</v>
      </c>
      <c r="U3" s="516" t="s">
        <v>3031</v>
      </c>
      <c r="V3" s="359">
        <v>44212</v>
      </c>
      <c r="W3" s="510" t="s">
        <v>3261</v>
      </c>
      <c r="X3" s="510" t="s">
        <v>3261</v>
      </c>
      <c r="Y3" s="511">
        <v>44215</v>
      </c>
      <c r="Z3" s="510" t="s">
        <v>3252</v>
      </c>
      <c r="AA3" s="510" t="s">
        <v>3548</v>
      </c>
      <c r="AB3" s="510" t="s">
        <v>3769</v>
      </c>
      <c r="AC3" s="510" t="s">
        <v>2146</v>
      </c>
      <c r="AD3" s="511">
        <v>44218</v>
      </c>
      <c r="AE3" s="510">
        <v>398.166</v>
      </c>
      <c r="AF3" s="507" t="s">
        <v>3268</v>
      </c>
      <c r="AG3" s="510" t="s">
        <v>3108</v>
      </c>
      <c r="AH3" s="517">
        <v>4426.25</v>
      </c>
      <c r="AI3" s="517">
        <v>1607.16</v>
      </c>
      <c r="AJ3" s="517">
        <v>1</v>
      </c>
      <c r="AK3" s="517">
        <f t="shared" si="0"/>
        <v>6034.41</v>
      </c>
      <c r="AL3" s="518">
        <v>5.3166000000000002</v>
      </c>
      <c r="AM3" s="519">
        <f t="shared" si="1"/>
        <v>32082.544206000002</v>
      </c>
      <c r="AN3" s="519">
        <v>0</v>
      </c>
      <c r="AO3" s="510">
        <v>6</v>
      </c>
      <c r="AP3" s="519">
        <v>2566.62</v>
      </c>
      <c r="AQ3" s="519">
        <v>3464.9</v>
      </c>
      <c r="AR3" s="519">
        <v>673.75</v>
      </c>
      <c r="AS3" s="519">
        <v>3095.97</v>
      </c>
      <c r="AT3" s="519">
        <v>9028.92</v>
      </c>
      <c r="AU3" s="519">
        <v>2380.2399999999998</v>
      </c>
      <c r="AV3" s="519">
        <v>332.5</v>
      </c>
      <c r="AW3" s="510" t="s">
        <v>3139</v>
      </c>
      <c r="AX3" s="627">
        <f t="shared" si="2"/>
        <v>44221</v>
      </c>
      <c r="AY3" s="519">
        <v>1472.42</v>
      </c>
      <c r="AZ3" s="519">
        <f t="shared" ref="AZ3:AZ42" si="7">(AM3*50%)+AM3</f>
        <v>48123.816309000002</v>
      </c>
      <c r="BA3" s="521">
        <f t="shared" si="3"/>
        <v>1</v>
      </c>
      <c r="BB3" s="519">
        <f t="shared" si="4"/>
        <v>48123.816309000002</v>
      </c>
      <c r="BC3" s="519">
        <v>525.13</v>
      </c>
      <c r="BD3" s="519">
        <f t="shared" si="5"/>
        <v>-40</v>
      </c>
      <c r="BE3" s="519">
        <f t="shared" si="6"/>
        <v>485.13</v>
      </c>
      <c r="BF3" s="513" t="s">
        <v>1771</v>
      </c>
      <c r="BG3" s="514" t="s">
        <v>1771</v>
      </c>
      <c r="BH3" s="510" t="s">
        <v>1771</v>
      </c>
    </row>
    <row r="4" spans="1:60" s="523" customFormat="1" ht="132">
      <c r="A4" s="538" t="s">
        <v>6165</v>
      </c>
      <c r="B4" s="507" t="s">
        <v>3042</v>
      </c>
      <c r="C4" s="507" t="s">
        <v>3743</v>
      </c>
      <c r="D4" s="508" t="s">
        <v>3754</v>
      </c>
      <c r="E4" s="507" t="s">
        <v>3751</v>
      </c>
      <c r="F4" s="507" t="s">
        <v>4008</v>
      </c>
      <c r="G4" s="509">
        <v>911723926</v>
      </c>
      <c r="H4" s="507" t="s">
        <v>3753</v>
      </c>
      <c r="I4" s="510" t="s">
        <v>1771</v>
      </c>
      <c r="J4" s="510">
        <v>1</v>
      </c>
      <c r="K4" s="507">
        <f>2+8+1+13+13+13</f>
        <v>50</v>
      </c>
      <c r="L4" s="507">
        <f>87.49+884+0.42+1614+1593.5+1441.5</f>
        <v>5620.91</v>
      </c>
      <c r="M4" s="511"/>
      <c r="N4" s="511">
        <v>44204</v>
      </c>
      <c r="O4" s="511">
        <v>44204</v>
      </c>
      <c r="P4" s="511">
        <v>44241</v>
      </c>
      <c r="Q4" s="511">
        <v>44246</v>
      </c>
      <c r="R4" s="512" t="s">
        <v>4007</v>
      </c>
      <c r="S4" s="515" t="s">
        <v>3752</v>
      </c>
      <c r="T4" s="510" t="s">
        <v>3681</v>
      </c>
      <c r="U4" s="516" t="s">
        <v>3031</v>
      </c>
      <c r="V4" s="359">
        <v>44235</v>
      </c>
      <c r="W4" s="510" t="s">
        <v>3147</v>
      </c>
      <c r="X4" s="510" t="s">
        <v>3147</v>
      </c>
      <c r="Y4" s="511">
        <v>44241</v>
      </c>
      <c r="Z4" s="510" t="s">
        <v>3252</v>
      </c>
      <c r="AA4" s="510" t="s">
        <v>3548</v>
      </c>
      <c r="AB4" s="510" t="s">
        <v>3787</v>
      </c>
      <c r="AC4" s="510" t="s">
        <v>2146</v>
      </c>
      <c r="AD4" s="511">
        <v>44244</v>
      </c>
      <c r="AE4" s="515">
        <v>3944.63</v>
      </c>
      <c r="AF4" s="507" t="s">
        <v>3359</v>
      </c>
      <c r="AG4" s="510" t="s">
        <v>3108</v>
      </c>
      <c r="AH4" s="517">
        <v>92385.16</v>
      </c>
      <c r="AI4" s="517">
        <v>3383</v>
      </c>
      <c r="AJ4" s="517">
        <v>6</v>
      </c>
      <c r="AK4" s="517">
        <f t="shared" si="0"/>
        <v>95774.16</v>
      </c>
      <c r="AL4" s="518">
        <v>5.3815</v>
      </c>
      <c r="AM4" s="519">
        <f t="shared" si="1"/>
        <v>515408.64204000001</v>
      </c>
      <c r="AN4" s="519">
        <v>0</v>
      </c>
      <c r="AO4" s="510">
        <v>4</v>
      </c>
      <c r="AP4" s="519">
        <v>16937.84</v>
      </c>
      <c r="AQ4" s="519">
        <v>53234.62</v>
      </c>
      <c r="AR4" s="519">
        <v>10823.59</v>
      </c>
      <c r="AS4" s="519">
        <v>49736.92</v>
      </c>
      <c r="AT4" s="519">
        <v>131268.73000000001</v>
      </c>
      <c r="AU4" s="519">
        <v>4803.8500000000004</v>
      </c>
      <c r="AV4" s="519">
        <v>291.2</v>
      </c>
      <c r="AW4" s="510" t="s">
        <v>3139</v>
      </c>
      <c r="AX4" s="627">
        <f t="shared" si="2"/>
        <v>44246</v>
      </c>
      <c r="AY4" s="519">
        <v>2453.67</v>
      </c>
      <c r="AZ4" s="519">
        <f t="shared" si="7"/>
        <v>773112.96305999998</v>
      </c>
      <c r="BA4" s="521">
        <f t="shared" si="3"/>
        <v>1</v>
      </c>
      <c r="BB4" s="519">
        <f t="shared" si="4"/>
        <v>773112.96305999998</v>
      </c>
      <c r="BC4" s="519">
        <v>525.13</v>
      </c>
      <c r="BD4" s="519">
        <f t="shared" si="5"/>
        <v>-60</v>
      </c>
      <c r="BE4" s="519">
        <f t="shared" si="6"/>
        <v>465.13</v>
      </c>
      <c r="BF4" s="513" t="s">
        <v>1771</v>
      </c>
      <c r="BG4" s="514" t="s">
        <v>1771</v>
      </c>
      <c r="BH4" s="510" t="s">
        <v>1771</v>
      </c>
    </row>
    <row r="5" spans="1:60" s="523" customFormat="1" ht="168">
      <c r="A5" s="538" t="s">
        <v>6050</v>
      </c>
      <c r="B5" s="507" t="s">
        <v>3042</v>
      </c>
      <c r="C5" s="507" t="s">
        <v>3743</v>
      </c>
      <c r="D5" s="508" t="s">
        <v>3757</v>
      </c>
      <c r="E5" s="507" t="s">
        <v>3755</v>
      </c>
      <c r="F5" s="507" t="s">
        <v>4010</v>
      </c>
      <c r="G5" s="509">
        <v>207907192</v>
      </c>
      <c r="H5" s="507" t="s">
        <v>3753</v>
      </c>
      <c r="I5" s="510">
        <v>1</v>
      </c>
      <c r="J5" s="510">
        <v>1</v>
      </c>
      <c r="K5" s="507">
        <f>1+1+2+2+14+13+6+1+1+1+2+13+13+17</f>
        <v>87</v>
      </c>
      <c r="L5" s="507">
        <f>121+54+111.5+116.5+1095.5+1447+617.5+96+95.5+169.5+162.94+1434+1450+1560</f>
        <v>8530.94</v>
      </c>
      <c r="M5" s="511">
        <v>44207</v>
      </c>
      <c r="N5" s="511">
        <v>44208</v>
      </c>
      <c r="O5" s="511">
        <v>44208</v>
      </c>
      <c r="P5" s="511">
        <v>44241</v>
      </c>
      <c r="Q5" s="511">
        <v>44246</v>
      </c>
      <c r="R5" s="512" t="s">
        <v>4009</v>
      </c>
      <c r="S5" s="515" t="s">
        <v>3752</v>
      </c>
      <c r="T5" s="510" t="s">
        <v>3681</v>
      </c>
      <c r="U5" s="516" t="s">
        <v>3031</v>
      </c>
      <c r="V5" s="359">
        <v>44235</v>
      </c>
      <c r="W5" s="510" t="s">
        <v>3147</v>
      </c>
      <c r="X5" s="510" t="s">
        <v>3147</v>
      </c>
      <c r="Y5" s="511">
        <v>44241</v>
      </c>
      <c r="Z5" s="510" t="s">
        <v>3252</v>
      </c>
      <c r="AA5" s="510" t="s">
        <v>3548</v>
      </c>
      <c r="AB5" s="510" t="s">
        <v>3788</v>
      </c>
      <c r="AC5" s="510" t="s">
        <v>2146</v>
      </c>
      <c r="AD5" s="511">
        <v>44244</v>
      </c>
      <c r="AE5" s="515">
        <v>5882.4448000000002</v>
      </c>
      <c r="AF5" s="507" t="s">
        <v>3756</v>
      </c>
      <c r="AG5" s="510" t="s">
        <v>3108</v>
      </c>
      <c r="AH5" s="517">
        <v>202192.49</v>
      </c>
      <c r="AI5" s="517">
        <f>1105.76+1073.7+1073.7+91.37+95.04+58.76+58.76+346.25+1073.7+894.48+151.62+143.55+37.46+67.85</f>
        <v>6272.0000000000009</v>
      </c>
      <c r="AJ5" s="517">
        <v>14</v>
      </c>
      <c r="AK5" s="517">
        <f t="shared" si="0"/>
        <v>208478.49</v>
      </c>
      <c r="AL5" s="518">
        <v>5.3815</v>
      </c>
      <c r="AM5" s="519">
        <f t="shared" si="1"/>
        <v>1121926.9939349999</v>
      </c>
      <c r="AN5" s="519">
        <v>0</v>
      </c>
      <c r="AO5" s="510">
        <v>12</v>
      </c>
      <c r="AP5" s="519">
        <v>19241.259999999998</v>
      </c>
      <c r="AQ5" s="519">
        <v>114116.8</v>
      </c>
      <c r="AR5" s="519">
        <v>23560.46</v>
      </c>
      <c r="AS5" s="519">
        <v>108265.98</v>
      </c>
      <c r="AT5" s="519">
        <v>281490.11</v>
      </c>
      <c r="AU5" s="519">
        <v>8921.89</v>
      </c>
      <c r="AV5" s="519">
        <v>426.9</v>
      </c>
      <c r="AW5" s="510" t="s">
        <v>3139</v>
      </c>
      <c r="AX5" s="627">
        <f t="shared" si="2"/>
        <v>44246</v>
      </c>
      <c r="AY5" s="519">
        <v>5119.84</v>
      </c>
      <c r="AZ5" s="519">
        <f t="shared" si="7"/>
        <v>1682890.4909024998</v>
      </c>
      <c r="BA5" s="521">
        <f t="shared" si="3"/>
        <v>2</v>
      </c>
      <c r="BB5" s="519">
        <f t="shared" si="4"/>
        <v>841445.24545124988</v>
      </c>
      <c r="BC5" s="519">
        <v>549.92999999999995</v>
      </c>
      <c r="BD5" s="519">
        <f t="shared" si="5"/>
        <v>20</v>
      </c>
      <c r="BE5" s="519">
        <f t="shared" si="6"/>
        <v>569.92999999999995</v>
      </c>
      <c r="BF5" s="513" t="s">
        <v>1771</v>
      </c>
      <c r="BG5" s="514" t="s">
        <v>1771</v>
      </c>
      <c r="BH5" s="510" t="s">
        <v>1771</v>
      </c>
    </row>
    <row r="6" spans="1:60" s="523" customFormat="1" ht="180">
      <c r="A6" s="538" t="s">
        <v>6051</v>
      </c>
      <c r="B6" s="507" t="s">
        <v>3042</v>
      </c>
      <c r="C6" s="507" t="s">
        <v>3743</v>
      </c>
      <c r="D6" s="508" t="s">
        <v>3764</v>
      </c>
      <c r="E6" s="507" t="s">
        <v>3758</v>
      </c>
      <c r="F6" s="507" t="s">
        <v>4012</v>
      </c>
      <c r="G6" s="509">
        <v>207932665</v>
      </c>
      <c r="H6" s="507" t="s">
        <v>3762</v>
      </c>
      <c r="I6" s="510" t="s">
        <v>1771</v>
      </c>
      <c r="J6" s="510">
        <v>1</v>
      </c>
      <c r="K6" s="507">
        <f>1+2+5+5+25+1+1+14</f>
        <v>54</v>
      </c>
      <c r="L6" s="507">
        <f>114.5+55.18+846.38+846+3218+158.5+0.44+388.895</f>
        <v>5627.8949999999986</v>
      </c>
      <c r="M6" s="511"/>
      <c r="N6" s="511">
        <v>44211</v>
      </c>
      <c r="O6" s="511">
        <v>44211</v>
      </c>
      <c r="P6" s="511">
        <v>44255</v>
      </c>
      <c r="Q6" s="511">
        <v>44264</v>
      </c>
      <c r="R6" s="512" t="s">
        <v>4011</v>
      </c>
      <c r="S6" s="515" t="s">
        <v>3752</v>
      </c>
      <c r="T6" s="510" t="s">
        <v>3128</v>
      </c>
      <c r="U6" s="516" t="s">
        <v>3031</v>
      </c>
      <c r="V6" s="359">
        <v>44238</v>
      </c>
      <c r="W6" s="510" t="s">
        <v>3261</v>
      </c>
      <c r="X6" s="510" t="s">
        <v>3261</v>
      </c>
      <c r="Y6" s="511">
        <v>44255</v>
      </c>
      <c r="Z6" s="510" t="s">
        <v>3252</v>
      </c>
      <c r="AA6" s="510" t="s">
        <v>3548</v>
      </c>
      <c r="AB6" s="510" t="s">
        <v>3808</v>
      </c>
      <c r="AC6" s="510" t="s">
        <v>2146</v>
      </c>
      <c r="AD6" s="511">
        <v>44260</v>
      </c>
      <c r="AE6" s="515">
        <v>3884.5650000000001</v>
      </c>
      <c r="AF6" s="507" t="s">
        <v>3763</v>
      </c>
      <c r="AG6" s="510" t="s">
        <v>3108</v>
      </c>
      <c r="AH6" s="517">
        <v>319075.11</v>
      </c>
      <c r="AI6" s="517">
        <f>300.66+0.67+76.16+1993.74+406.52+406.71+26.52+55.02</f>
        <v>3266</v>
      </c>
      <c r="AJ6" s="517">
        <v>8</v>
      </c>
      <c r="AK6" s="517">
        <f t="shared" si="0"/>
        <v>322349.11</v>
      </c>
      <c r="AL6" s="518">
        <v>5.6007999999999996</v>
      </c>
      <c r="AM6" s="519">
        <f t="shared" si="1"/>
        <v>1805412.8952879999</v>
      </c>
      <c r="AN6" s="519">
        <v>0</v>
      </c>
      <c r="AO6" s="510">
        <v>14</v>
      </c>
      <c r="AP6" s="519">
        <v>231513.7</v>
      </c>
      <c r="AQ6" s="519">
        <v>282364.67</v>
      </c>
      <c r="AR6" s="519">
        <v>37913.660000000003</v>
      </c>
      <c r="AS6" s="519">
        <v>174222.35</v>
      </c>
      <c r="AT6" s="519">
        <v>480796.81</v>
      </c>
      <c r="AU6" s="519">
        <v>4767.8500000000004</v>
      </c>
      <c r="AV6" s="519">
        <v>450.5</v>
      </c>
      <c r="AW6" s="510" t="s">
        <v>3139</v>
      </c>
      <c r="AX6" s="627">
        <f t="shared" si="2"/>
        <v>44264</v>
      </c>
      <c r="AY6" s="519">
        <v>5550.59</v>
      </c>
      <c r="AZ6" s="519">
        <f t="shared" si="7"/>
        <v>2708119.3429319998</v>
      </c>
      <c r="BA6" s="521">
        <f t="shared" si="3"/>
        <v>1</v>
      </c>
      <c r="BB6" s="519">
        <f t="shared" si="4"/>
        <v>2708119.3429319998</v>
      </c>
      <c r="BC6" s="519">
        <v>574.73</v>
      </c>
      <c r="BD6" s="519">
        <f t="shared" si="5"/>
        <v>40</v>
      </c>
      <c r="BE6" s="519">
        <f t="shared" si="6"/>
        <v>614.73</v>
      </c>
      <c r="BF6" s="513" t="s">
        <v>1771</v>
      </c>
      <c r="BG6" s="514" t="s">
        <v>1771</v>
      </c>
      <c r="BH6" s="510" t="s">
        <v>1771</v>
      </c>
    </row>
    <row r="7" spans="1:60" s="523" customFormat="1" ht="168">
      <c r="A7" s="538" t="s">
        <v>6052</v>
      </c>
      <c r="B7" s="507" t="s">
        <v>3042</v>
      </c>
      <c r="C7" s="507" t="s">
        <v>3743</v>
      </c>
      <c r="D7" s="508" t="s">
        <v>3761</v>
      </c>
      <c r="E7" s="507" t="s">
        <v>3760</v>
      </c>
      <c r="F7" s="507" t="s">
        <v>4014</v>
      </c>
      <c r="G7" s="509">
        <v>207903944</v>
      </c>
      <c r="H7" s="507" t="s">
        <v>3762</v>
      </c>
      <c r="I7" s="510">
        <v>1</v>
      </c>
      <c r="J7" s="510" t="s">
        <v>1771</v>
      </c>
      <c r="K7" s="507">
        <f>3+1+2+1+2+2+5+9+2</f>
        <v>27</v>
      </c>
      <c r="L7" s="507">
        <f>175.5+77+213.5+37.5+93.84+93.66+932+1383.5+119</f>
        <v>3125.5</v>
      </c>
      <c r="M7" s="511">
        <v>44211</v>
      </c>
      <c r="N7" s="511">
        <v>44212</v>
      </c>
      <c r="O7" s="511">
        <v>44212</v>
      </c>
      <c r="P7" s="511">
        <v>44255</v>
      </c>
      <c r="Q7" s="511">
        <v>44264</v>
      </c>
      <c r="R7" s="512" t="s">
        <v>4013</v>
      </c>
      <c r="S7" s="515" t="s">
        <v>3752</v>
      </c>
      <c r="T7" s="510" t="s">
        <v>3154</v>
      </c>
      <c r="U7" s="516" t="s">
        <v>3031</v>
      </c>
      <c r="V7" s="359">
        <v>44238</v>
      </c>
      <c r="W7" s="510" t="s">
        <v>3261</v>
      </c>
      <c r="X7" s="510" t="s">
        <v>3261</v>
      </c>
      <c r="Y7" s="511">
        <v>44255</v>
      </c>
      <c r="Z7" s="510" t="s">
        <v>3252</v>
      </c>
      <c r="AA7" s="510" t="s">
        <v>3548</v>
      </c>
      <c r="AB7" s="510" t="s">
        <v>3809</v>
      </c>
      <c r="AC7" s="510" t="s">
        <v>2146</v>
      </c>
      <c r="AD7" s="511">
        <v>44260</v>
      </c>
      <c r="AE7" s="515">
        <v>2208.9910100000002</v>
      </c>
      <c r="AF7" s="507" t="s">
        <v>3626</v>
      </c>
      <c r="AG7" s="510" t="s">
        <v>3108</v>
      </c>
      <c r="AH7" s="517">
        <v>48748.07</v>
      </c>
      <c r="AI7" s="517">
        <v>3006</v>
      </c>
      <c r="AJ7" s="517">
        <v>9</v>
      </c>
      <c r="AK7" s="517">
        <f t="shared" si="0"/>
        <v>51763.07</v>
      </c>
      <c r="AL7" s="518">
        <v>5.6007999999999996</v>
      </c>
      <c r="AM7" s="519">
        <f t="shared" si="1"/>
        <v>289914.60245599999</v>
      </c>
      <c r="AN7" s="519">
        <v>0</v>
      </c>
      <c r="AO7" s="510">
        <v>14</v>
      </c>
      <c r="AP7" s="519">
        <v>14941.49</v>
      </c>
      <c r="AQ7" s="519">
        <v>31760.26</v>
      </c>
      <c r="AR7" s="519">
        <v>6088.22</v>
      </c>
      <c r="AS7" s="519">
        <v>27976.77</v>
      </c>
      <c r="AT7" s="519">
        <v>73596.34</v>
      </c>
      <c r="AU7" s="519">
        <v>4501.0200000000004</v>
      </c>
      <c r="AV7" s="519">
        <v>450.5</v>
      </c>
      <c r="AW7" s="510" t="s">
        <v>3139</v>
      </c>
      <c r="AX7" s="627">
        <f t="shared" si="2"/>
        <v>44264</v>
      </c>
      <c r="AY7" s="519">
        <v>1472.42</v>
      </c>
      <c r="AZ7" s="519">
        <f t="shared" si="7"/>
        <v>434871.90368400002</v>
      </c>
      <c r="BA7" s="521">
        <f t="shared" si="3"/>
        <v>1</v>
      </c>
      <c r="BB7" s="519">
        <f t="shared" si="4"/>
        <v>434871.90368400002</v>
      </c>
      <c r="BC7" s="519">
        <v>574.73</v>
      </c>
      <c r="BD7" s="519">
        <f t="shared" si="5"/>
        <v>40</v>
      </c>
      <c r="BE7" s="519">
        <f t="shared" si="6"/>
        <v>614.73</v>
      </c>
      <c r="BF7" s="513" t="s">
        <v>1771</v>
      </c>
      <c r="BG7" s="514" t="s">
        <v>1771</v>
      </c>
      <c r="BH7" s="510" t="s">
        <v>1771</v>
      </c>
    </row>
    <row r="8" spans="1:60" s="523" customFormat="1" ht="120">
      <c r="A8" s="538" t="s">
        <v>6053</v>
      </c>
      <c r="B8" s="507" t="s">
        <v>3042</v>
      </c>
      <c r="C8" s="507" t="s">
        <v>3743</v>
      </c>
      <c r="D8" s="508" t="s">
        <v>3767</v>
      </c>
      <c r="E8" s="507" t="s">
        <v>3759</v>
      </c>
      <c r="F8" s="507" t="s">
        <v>4016</v>
      </c>
      <c r="G8" s="509">
        <v>911687479</v>
      </c>
      <c r="H8" s="507" t="s">
        <v>3762</v>
      </c>
      <c r="I8" s="510" t="s">
        <v>1771</v>
      </c>
      <c r="J8" s="510">
        <v>1</v>
      </c>
      <c r="K8" s="507">
        <f>7+7+2+1+1+13+8+13</f>
        <v>52</v>
      </c>
      <c r="L8" s="507">
        <f>842+839.5+110.5+5.28+3.1+1587.5+542.1+1564</f>
        <v>5493.98</v>
      </c>
      <c r="M8" s="511"/>
      <c r="N8" s="511">
        <v>44210</v>
      </c>
      <c r="O8" s="511">
        <v>44210</v>
      </c>
      <c r="P8" s="511">
        <v>44255</v>
      </c>
      <c r="Q8" s="511">
        <v>44265</v>
      </c>
      <c r="R8" s="512" t="s">
        <v>4015</v>
      </c>
      <c r="S8" s="515" t="s">
        <v>3752</v>
      </c>
      <c r="T8" s="510" t="s">
        <v>3128</v>
      </c>
      <c r="U8" s="516" t="s">
        <v>3031</v>
      </c>
      <c r="V8" s="359">
        <v>44238</v>
      </c>
      <c r="W8" s="510" t="s">
        <v>3261</v>
      </c>
      <c r="X8" s="510" t="s">
        <v>3261</v>
      </c>
      <c r="Y8" s="511">
        <v>44255</v>
      </c>
      <c r="Z8" s="510" t="s">
        <v>3252</v>
      </c>
      <c r="AA8" s="510" t="s">
        <v>3548</v>
      </c>
      <c r="AB8" s="510" t="s">
        <v>3820</v>
      </c>
      <c r="AC8" s="510" t="s">
        <v>2146</v>
      </c>
      <c r="AD8" s="511">
        <v>44264</v>
      </c>
      <c r="AE8" s="515">
        <v>3916.7</v>
      </c>
      <c r="AF8" s="507" t="s">
        <v>3238</v>
      </c>
      <c r="AG8" s="510" t="s">
        <v>3108</v>
      </c>
      <c r="AH8" s="517">
        <v>48918.39</v>
      </c>
      <c r="AI8" s="517">
        <f>997.1+323.02+752.2+1.94+2.17+105.03+542.27+542.27</f>
        <v>3266</v>
      </c>
      <c r="AJ8" s="517">
        <v>8</v>
      </c>
      <c r="AK8" s="517">
        <f t="shared" si="0"/>
        <v>52192.39</v>
      </c>
      <c r="AL8" s="518">
        <v>5.7343000000000002</v>
      </c>
      <c r="AM8" s="519">
        <f t="shared" si="1"/>
        <v>299286.82197699999</v>
      </c>
      <c r="AN8" s="519">
        <v>0</v>
      </c>
      <c r="AO8" s="510">
        <v>6</v>
      </c>
      <c r="AP8" s="519">
        <v>23942.94</v>
      </c>
      <c r="AQ8" s="519">
        <v>32322.93</v>
      </c>
      <c r="AR8" s="519">
        <v>6285.02</v>
      </c>
      <c r="AS8" s="519">
        <v>28881.18</v>
      </c>
      <c r="AT8" s="519">
        <v>79791.87</v>
      </c>
      <c r="AU8" s="519">
        <v>4767.8500000000004</v>
      </c>
      <c r="AV8" s="519">
        <v>332.5</v>
      </c>
      <c r="AW8" s="510" t="s">
        <v>3139</v>
      </c>
      <c r="AX8" s="627">
        <f t="shared" si="2"/>
        <v>44265</v>
      </c>
      <c r="AY8" s="519">
        <v>1472.42</v>
      </c>
      <c r="AZ8" s="519">
        <f t="shared" si="7"/>
        <v>448930.23296549998</v>
      </c>
      <c r="BA8" s="521">
        <f t="shared" si="3"/>
        <v>1</v>
      </c>
      <c r="BB8" s="519">
        <f t="shared" si="4"/>
        <v>448930.23296549998</v>
      </c>
      <c r="BC8" s="519">
        <v>525.13</v>
      </c>
      <c r="BD8" s="519">
        <f t="shared" si="5"/>
        <v>-40</v>
      </c>
      <c r="BE8" s="519">
        <f t="shared" si="6"/>
        <v>485.13</v>
      </c>
      <c r="BF8" s="513" t="s">
        <v>1771</v>
      </c>
      <c r="BG8" s="514" t="s">
        <v>1771</v>
      </c>
      <c r="BH8" s="510" t="s">
        <v>1771</v>
      </c>
    </row>
    <row r="9" spans="1:60" s="523" customFormat="1" ht="132">
      <c r="A9" s="538" t="s">
        <v>6054</v>
      </c>
      <c r="B9" s="507" t="s">
        <v>3042</v>
      </c>
      <c r="C9" s="507" t="s">
        <v>3743</v>
      </c>
      <c r="D9" s="508" t="s">
        <v>3766</v>
      </c>
      <c r="E9" s="507" t="s">
        <v>3765</v>
      </c>
      <c r="F9" s="507" t="s">
        <v>4039</v>
      </c>
      <c r="G9" s="509">
        <v>911717382</v>
      </c>
      <c r="H9" s="507" t="s">
        <v>3768</v>
      </c>
      <c r="I9" s="510">
        <v>1</v>
      </c>
      <c r="J9" s="510">
        <v>1</v>
      </c>
      <c r="K9" s="507">
        <f>25+1+13+1+16+5+14</f>
        <v>75</v>
      </c>
      <c r="L9" s="507">
        <f>2882+122+1140+34.66+2085+983.5+1653</f>
        <v>8900.16</v>
      </c>
      <c r="M9" s="511" t="s">
        <v>1771</v>
      </c>
      <c r="N9" s="511">
        <v>44214</v>
      </c>
      <c r="O9" s="511">
        <v>44214</v>
      </c>
      <c r="P9" s="511">
        <v>44248</v>
      </c>
      <c r="Q9" s="511">
        <v>44267</v>
      </c>
      <c r="R9" s="512" t="s">
        <v>4038</v>
      </c>
      <c r="S9" s="515" t="s">
        <v>3752</v>
      </c>
      <c r="T9" s="510" t="s">
        <v>3681</v>
      </c>
      <c r="U9" s="516" t="s">
        <v>3031</v>
      </c>
      <c r="V9" s="359">
        <v>44238</v>
      </c>
      <c r="W9" s="510" t="s">
        <v>3147</v>
      </c>
      <c r="X9" s="510" t="s">
        <v>3147</v>
      </c>
      <c r="Y9" s="511">
        <v>44249</v>
      </c>
      <c r="Z9" s="510" t="s">
        <v>3252</v>
      </c>
      <c r="AA9" s="510" t="s">
        <v>3548</v>
      </c>
      <c r="AB9" s="510" t="s">
        <v>3827</v>
      </c>
      <c r="AC9" s="510" t="s">
        <v>2146</v>
      </c>
      <c r="AD9" s="511">
        <v>44266</v>
      </c>
      <c r="AE9" s="515">
        <v>6375.0025999999998</v>
      </c>
      <c r="AF9" s="507" t="s">
        <v>3268</v>
      </c>
      <c r="AG9" s="510" t="s">
        <v>3108</v>
      </c>
      <c r="AH9" s="517">
        <v>191795.16</v>
      </c>
      <c r="AI9" s="517">
        <f>2073.86+1481.46+563.16+1193.9+19.85+869.91+69.86</f>
        <v>6272.0000000000009</v>
      </c>
      <c r="AJ9" s="517">
        <v>7</v>
      </c>
      <c r="AK9" s="517">
        <f t="shared" si="0"/>
        <v>198074.16</v>
      </c>
      <c r="AL9" s="518">
        <v>5.7449000000000003</v>
      </c>
      <c r="AM9" s="519">
        <f t="shared" si="1"/>
        <v>1137916.2417840001</v>
      </c>
      <c r="AN9" s="519">
        <v>0</v>
      </c>
      <c r="AO9" s="510">
        <v>10</v>
      </c>
      <c r="AP9" s="519">
        <v>20164.91</v>
      </c>
      <c r="AQ9" s="519">
        <v>115808.07</v>
      </c>
      <c r="AR9" s="519">
        <v>23896.25</v>
      </c>
      <c r="AS9" s="519">
        <v>109808.94</v>
      </c>
      <c r="AT9" s="519">
        <v>285613.64</v>
      </c>
      <c r="AU9" s="519">
        <v>8938.98</v>
      </c>
      <c r="AV9" s="519">
        <v>403.3</v>
      </c>
      <c r="AW9" s="510" t="s">
        <v>3139</v>
      </c>
      <c r="AX9" s="627">
        <f t="shared" si="2"/>
        <v>44267</v>
      </c>
      <c r="AY9" s="519">
        <v>10943.86</v>
      </c>
      <c r="AZ9" s="519">
        <f t="shared" si="7"/>
        <v>1706874.3626760002</v>
      </c>
      <c r="BA9" s="521">
        <f t="shared" si="3"/>
        <v>2</v>
      </c>
      <c r="BB9" s="519">
        <f t="shared" si="4"/>
        <v>853437.18133800011</v>
      </c>
      <c r="BC9" s="519">
        <v>525.13</v>
      </c>
      <c r="BD9" s="519">
        <f t="shared" si="5"/>
        <v>0</v>
      </c>
      <c r="BE9" s="519">
        <f t="shared" si="6"/>
        <v>525.13</v>
      </c>
      <c r="BF9" s="513" t="s">
        <v>1771</v>
      </c>
      <c r="BG9" s="514" t="s">
        <v>1771</v>
      </c>
      <c r="BH9" s="510" t="s">
        <v>1771</v>
      </c>
    </row>
    <row r="10" spans="1:60" s="523" customFormat="1" ht="120">
      <c r="A10" s="538" t="s">
        <v>6055</v>
      </c>
      <c r="B10" s="507" t="s">
        <v>3042</v>
      </c>
      <c r="C10" s="507" t="s">
        <v>3743</v>
      </c>
      <c r="D10" s="508" t="s">
        <v>3771</v>
      </c>
      <c r="E10" s="507" t="s">
        <v>3770</v>
      </c>
      <c r="F10" s="507" t="s">
        <v>4041</v>
      </c>
      <c r="G10" s="509" t="s">
        <v>3773</v>
      </c>
      <c r="H10" s="507" t="s">
        <v>3772</v>
      </c>
      <c r="I10" s="510" t="s">
        <v>1771</v>
      </c>
      <c r="J10" s="510">
        <v>1</v>
      </c>
      <c r="K10" s="507">
        <f>2+13+13+2</f>
        <v>30</v>
      </c>
      <c r="L10" s="507">
        <f>131.5+1583.5+1626+287.5</f>
        <v>3628.5</v>
      </c>
      <c r="M10" s="511">
        <v>44218</v>
      </c>
      <c r="N10" s="511">
        <v>44219</v>
      </c>
      <c r="O10" s="511">
        <v>44219</v>
      </c>
      <c r="P10" s="511">
        <v>44252</v>
      </c>
      <c r="Q10" s="511">
        <v>44278</v>
      </c>
      <c r="R10" s="512" t="s">
        <v>4040</v>
      </c>
      <c r="S10" s="515" t="s">
        <v>3752</v>
      </c>
      <c r="T10" s="510" t="s">
        <v>3128</v>
      </c>
      <c r="U10" s="516" t="s">
        <v>3031</v>
      </c>
      <c r="V10" s="359">
        <v>44238</v>
      </c>
      <c r="W10" s="510" t="s">
        <v>3337</v>
      </c>
      <c r="X10" s="510" t="s">
        <v>3341</v>
      </c>
      <c r="Y10" s="511">
        <v>44252</v>
      </c>
      <c r="Z10" s="510" t="s">
        <v>3252</v>
      </c>
      <c r="AA10" s="510" t="s">
        <v>3548</v>
      </c>
      <c r="AB10" s="510" t="s">
        <v>3838</v>
      </c>
      <c r="AC10" s="510" t="s">
        <v>2146</v>
      </c>
      <c r="AD10" s="511">
        <v>44277</v>
      </c>
      <c r="AE10" s="515">
        <v>2429.6017999999999</v>
      </c>
      <c r="AF10" s="507" t="s">
        <v>3268</v>
      </c>
      <c r="AG10" s="510" t="s">
        <v>3108</v>
      </c>
      <c r="AH10" s="517">
        <v>32656.45</v>
      </c>
      <c r="AI10" s="517">
        <f>1428.83+1163.84+169.02+77.31+50</f>
        <v>2889</v>
      </c>
      <c r="AJ10" s="517">
        <v>4</v>
      </c>
      <c r="AK10" s="517">
        <f t="shared" si="0"/>
        <v>35549.449999999997</v>
      </c>
      <c r="AL10" s="518">
        <v>5.5082000000000004</v>
      </c>
      <c r="AM10" s="519">
        <f t="shared" si="1"/>
        <v>195813.48048999999</v>
      </c>
      <c r="AN10" s="519">
        <v>0</v>
      </c>
      <c r="AO10" s="510">
        <v>6</v>
      </c>
      <c r="AP10" s="519">
        <v>15877.81</v>
      </c>
      <c r="AQ10" s="519">
        <v>21169.11</v>
      </c>
      <c r="AR10" s="519">
        <v>4112.09</v>
      </c>
      <c r="AS10" s="519">
        <v>18895.990000000002</v>
      </c>
      <c r="AT10" s="519">
        <v>52487.8</v>
      </c>
      <c r="AU10" s="519">
        <v>4079.26</v>
      </c>
      <c r="AV10" s="519">
        <v>332.5</v>
      </c>
      <c r="AW10" s="510" t="s">
        <v>3139</v>
      </c>
      <c r="AX10" s="627">
        <f t="shared" si="2"/>
        <v>44278</v>
      </c>
      <c r="AY10" s="519">
        <v>3834.42</v>
      </c>
      <c r="AZ10" s="519">
        <f t="shared" si="7"/>
        <v>293720.22073499998</v>
      </c>
      <c r="BA10" s="521">
        <f t="shared" si="3"/>
        <v>1</v>
      </c>
      <c r="BB10" s="519">
        <f t="shared" si="4"/>
        <v>293720.22073499998</v>
      </c>
      <c r="BC10" s="519">
        <v>525.13</v>
      </c>
      <c r="BD10" s="519">
        <f t="shared" si="5"/>
        <v>-40</v>
      </c>
      <c r="BE10" s="519">
        <f t="shared" si="6"/>
        <v>485.13</v>
      </c>
      <c r="BF10" s="513" t="s">
        <v>1771</v>
      </c>
      <c r="BG10" s="514" t="s">
        <v>1771</v>
      </c>
      <c r="BH10" s="510" t="s">
        <v>1771</v>
      </c>
    </row>
    <row r="11" spans="1:60" s="523" customFormat="1" ht="120">
      <c r="A11" s="538" t="s">
        <v>6056</v>
      </c>
      <c r="B11" s="507" t="s">
        <v>3042</v>
      </c>
      <c r="C11" s="507" t="s">
        <v>3774</v>
      </c>
      <c r="D11" s="508" t="s">
        <v>3776</v>
      </c>
      <c r="E11" s="507" t="s">
        <v>3775</v>
      </c>
      <c r="F11" s="507" t="s">
        <v>4043</v>
      </c>
      <c r="G11" s="509">
        <v>911733894</v>
      </c>
      <c r="H11" s="507" t="s">
        <v>3778</v>
      </c>
      <c r="I11" s="510" t="s">
        <v>1771</v>
      </c>
      <c r="J11" s="510">
        <v>1</v>
      </c>
      <c r="K11" s="507">
        <f>13+11+3+13+1</f>
        <v>41</v>
      </c>
      <c r="L11" s="507">
        <f>1596.5+1224.5+187.5+1418.5+54</f>
        <v>4481</v>
      </c>
      <c r="M11" s="511">
        <v>44228</v>
      </c>
      <c r="N11" s="511">
        <v>44228</v>
      </c>
      <c r="O11" s="511">
        <v>44228</v>
      </c>
      <c r="P11" s="511">
        <v>44264</v>
      </c>
      <c r="Q11" s="511">
        <v>44278</v>
      </c>
      <c r="R11" s="512" t="s">
        <v>4042</v>
      </c>
      <c r="S11" s="515" t="s">
        <v>3752</v>
      </c>
      <c r="T11" s="510" t="s">
        <v>3681</v>
      </c>
      <c r="U11" s="516" t="s">
        <v>3031</v>
      </c>
      <c r="V11" s="359">
        <v>44250</v>
      </c>
      <c r="W11" s="510" t="s">
        <v>3147</v>
      </c>
      <c r="X11" s="510" t="s">
        <v>3147</v>
      </c>
      <c r="Y11" s="511">
        <v>44264</v>
      </c>
      <c r="Z11" s="510" t="s">
        <v>3252</v>
      </c>
      <c r="AA11" s="510" t="s">
        <v>3548</v>
      </c>
      <c r="AB11" s="510" t="s">
        <v>3839</v>
      </c>
      <c r="AC11" s="510" t="s">
        <v>2146</v>
      </c>
      <c r="AD11" s="511">
        <v>44277</v>
      </c>
      <c r="AE11" s="515">
        <v>3158.7336</v>
      </c>
      <c r="AF11" s="507" t="s">
        <v>3777</v>
      </c>
      <c r="AG11" s="510" t="s">
        <v>3108</v>
      </c>
      <c r="AH11" s="517">
        <v>85297.58</v>
      </c>
      <c r="AI11" s="517">
        <f>58.13+1261.4+124.77+717.8+1103.9</f>
        <v>3266.0000000000005</v>
      </c>
      <c r="AJ11" s="517">
        <v>5</v>
      </c>
      <c r="AK11" s="517">
        <f t="shared" ref="AK11:AK16" si="8">SUM(AH11:AJ11)</f>
        <v>88568.58</v>
      </c>
      <c r="AL11" s="518">
        <v>5.5082000000000004</v>
      </c>
      <c r="AM11" s="519">
        <f t="shared" ref="AM11:AM16" si="9">AK11*AL11</f>
        <v>487853.45235600002</v>
      </c>
      <c r="AN11" s="519">
        <v>0</v>
      </c>
      <c r="AO11" s="510">
        <v>11</v>
      </c>
      <c r="AP11" s="519">
        <v>15413.12</v>
      </c>
      <c r="AQ11" s="519">
        <v>50863.67</v>
      </c>
      <c r="AR11" s="519">
        <v>10244.92</v>
      </c>
      <c r="AS11" s="519">
        <v>47077.84</v>
      </c>
      <c r="AT11" s="519">
        <v>123457.69</v>
      </c>
      <c r="AU11" s="519">
        <v>5020.5600000000004</v>
      </c>
      <c r="AV11" s="519">
        <v>415.1</v>
      </c>
      <c r="AW11" s="510" t="s">
        <v>3139</v>
      </c>
      <c r="AX11" s="627">
        <f t="shared" ref="AX11:AX16" si="10">Q11</f>
        <v>44278</v>
      </c>
      <c r="AY11" s="519">
        <v>2389.4</v>
      </c>
      <c r="AZ11" s="519">
        <f t="shared" si="7"/>
        <v>731780.17853400006</v>
      </c>
      <c r="BA11" s="521">
        <f t="shared" ref="BA11:BA16" si="11">SUM(I11:J11)</f>
        <v>1</v>
      </c>
      <c r="BB11" s="519">
        <f t="shared" ref="BB11:BB16" si="12">AZ11/BA11</f>
        <v>731780.17853400006</v>
      </c>
      <c r="BC11" s="519">
        <v>537.53</v>
      </c>
      <c r="BD11" s="519">
        <f t="shared" si="5"/>
        <v>10</v>
      </c>
      <c r="BE11" s="519">
        <f t="shared" si="6"/>
        <v>547.53</v>
      </c>
      <c r="BF11" s="513" t="s">
        <v>1771</v>
      </c>
      <c r="BG11" s="514" t="s">
        <v>1771</v>
      </c>
      <c r="BH11" s="510" t="s">
        <v>1771</v>
      </c>
    </row>
    <row r="12" spans="1:60" s="523" customFormat="1" ht="204">
      <c r="A12" s="538" t="s">
        <v>6057</v>
      </c>
      <c r="B12" s="507" t="s">
        <v>3042</v>
      </c>
      <c r="C12" s="507" t="s">
        <v>3774</v>
      </c>
      <c r="D12" s="508" t="s">
        <v>3789</v>
      </c>
      <c r="E12" s="507" t="s">
        <v>3786</v>
      </c>
      <c r="F12" s="507" t="s">
        <v>4045</v>
      </c>
      <c r="G12" s="509" t="s">
        <v>3792</v>
      </c>
      <c r="H12" s="507" t="s">
        <v>3791</v>
      </c>
      <c r="I12" s="510">
        <v>1</v>
      </c>
      <c r="J12" s="510">
        <v>1</v>
      </c>
      <c r="K12" s="507">
        <f>1+13+13+12+1+1+7+2+5+7+1+1+1+1+1+3+6</f>
        <v>76</v>
      </c>
      <c r="L12" s="507">
        <f>7.94+1583+1383.5+1296.5+17.5+33+851.5+230.5+489.19+847.5+0.42+4.16+79.5+1.02+11.98+228+466</f>
        <v>7531.21</v>
      </c>
      <c r="M12" s="511"/>
      <c r="N12" s="511">
        <v>44243</v>
      </c>
      <c r="O12" s="511">
        <v>44243</v>
      </c>
      <c r="P12" s="511">
        <v>44277</v>
      </c>
      <c r="Q12" s="511">
        <v>44280</v>
      </c>
      <c r="R12" s="512" t="s">
        <v>4044</v>
      </c>
      <c r="S12" s="515" t="s">
        <v>3752</v>
      </c>
      <c r="T12" s="510" t="s">
        <v>3128</v>
      </c>
      <c r="U12" s="516" t="s">
        <v>3031</v>
      </c>
      <c r="V12" s="359">
        <v>44271</v>
      </c>
      <c r="W12" s="510" t="s">
        <v>3337</v>
      </c>
      <c r="X12" s="510" t="s">
        <v>3341</v>
      </c>
      <c r="Y12" s="511">
        <v>44278</v>
      </c>
      <c r="Z12" s="510" t="s">
        <v>3252</v>
      </c>
      <c r="AA12" s="510" t="s">
        <v>3548</v>
      </c>
      <c r="AB12" s="510" t="s">
        <v>3846</v>
      </c>
      <c r="AC12" s="510" t="s">
        <v>2146</v>
      </c>
      <c r="AD12" s="511">
        <v>44279</v>
      </c>
      <c r="AE12" s="515">
        <v>5380.2673000000004</v>
      </c>
      <c r="AF12" s="507" t="s">
        <v>3790</v>
      </c>
      <c r="AG12" s="510" t="s">
        <v>3108</v>
      </c>
      <c r="AH12" s="517">
        <v>155751.29999999999</v>
      </c>
      <c r="AI12" s="517">
        <f>17.78+10.99+954.75+1006.09+1009.64+4.28+714.14+404.62+142.87+714.14+178.04+8.16+0.72+72.85+2.24+0.84+291.85</f>
        <v>5534.0000000000009</v>
      </c>
      <c r="AJ12" s="517">
        <v>17</v>
      </c>
      <c r="AK12" s="517">
        <f t="shared" si="8"/>
        <v>161302.29999999999</v>
      </c>
      <c r="AL12" s="518">
        <v>5.4950999999999999</v>
      </c>
      <c r="AM12" s="519">
        <f t="shared" si="9"/>
        <v>886372.26872999989</v>
      </c>
      <c r="AN12" s="519">
        <v>0</v>
      </c>
      <c r="AO12" s="510">
        <v>16</v>
      </c>
      <c r="AP12" s="519">
        <v>19773.5</v>
      </c>
      <c r="AQ12" s="519">
        <v>90866.64</v>
      </c>
      <c r="AR12" s="519">
        <v>18613.82</v>
      </c>
      <c r="AS12" s="519">
        <v>85534.94</v>
      </c>
      <c r="AT12" s="519">
        <v>223652.54</v>
      </c>
      <c r="AU12" s="519">
        <v>8092.66</v>
      </c>
      <c r="AV12" s="519">
        <v>474.1</v>
      </c>
      <c r="AW12" s="510" t="s">
        <v>3139</v>
      </c>
      <c r="AX12" s="627">
        <f t="shared" si="10"/>
        <v>44280</v>
      </c>
      <c r="AY12" s="519">
        <v>2421</v>
      </c>
      <c r="AZ12" s="519">
        <f t="shared" si="7"/>
        <v>1329558.403095</v>
      </c>
      <c r="BA12" s="521">
        <f t="shared" si="11"/>
        <v>2</v>
      </c>
      <c r="BB12" s="519">
        <f t="shared" si="12"/>
        <v>664779.20154749998</v>
      </c>
      <c r="BC12" s="519">
        <v>599.53</v>
      </c>
      <c r="BD12" s="519">
        <f t="shared" si="5"/>
        <v>60</v>
      </c>
      <c r="BE12" s="519">
        <f t="shared" ref="BE12:BE17" si="13">SUM(BC12:BD12)</f>
        <v>659.53</v>
      </c>
      <c r="BF12" s="513" t="s">
        <v>1771</v>
      </c>
      <c r="BG12" s="514" t="s">
        <v>1771</v>
      </c>
      <c r="BH12" s="510" t="s">
        <v>1771</v>
      </c>
    </row>
    <row r="13" spans="1:60" s="523" customFormat="1" ht="120">
      <c r="A13" s="538" t="s">
        <v>6058</v>
      </c>
      <c r="B13" s="507" t="s">
        <v>3042</v>
      </c>
      <c r="C13" s="507" t="s">
        <v>3774</v>
      </c>
      <c r="D13" s="508" t="s">
        <v>3784</v>
      </c>
      <c r="E13" s="507" t="s">
        <v>3782</v>
      </c>
      <c r="F13" s="507" t="s">
        <v>4047</v>
      </c>
      <c r="G13" s="509">
        <v>208175091</v>
      </c>
      <c r="H13" s="507" t="s">
        <v>3785</v>
      </c>
      <c r="I13" s="510" t="s">
        <v>1771</v>
      </c>
      <c r="J13" s="510">
        <v>1</v>
      </c>
      <c r="K13" s="507">
        <f>5+17+13+9+5+5</f>
        <v>54</v>
      </c>
      <c r="L13" s="507">
        <f>444+2380.1+1579.5+1381.5+913.5+903</f>
        <v>7601.6</v>
      </c>
      <c r="M13" s="511">
        <v>44235</v>
      </c>
      <c r="N13" s="511">
        <v>44236</v>
      </c>
      <c r="O13" s="511">
        <v>44236</v>
      </c>
      <c r="P13" s="511">
        <v>44276</v>
      </c>
      <c r="Q13" s="511">
        <f>P13+5</f>
        <v>44281</v>
      </c>
      <c r="R13" s="512" t="s">
        <v>4046</v>
      </c>
      <c r="S13" s="515" t="s">
        <v>3752</v>
      </c>
      <c r="T13" s="510" t="s">
        <v>3681</v>
      </c>
      <c r="U13" s="516" t="s">
        <v>3031</v>
      </c>
      <c r="V13" s="359">
        <v>44271</v>
      </c>
      <c r="W13" s="510" t="s">
        <v>3147</v>
      </c>
      <c r="X13" s="510" t="s">
        <v>3147</v>
      </c>
      <c r="Y13" s="511">
        <v>44277</v>
      </c>
      <c r="Z13" s="510" t="s">
        <v>3252</v>
      </c>
      <c r="AA13" s="510" t="s">
        <v>3548</v>
      </c>
      <c r="AB13" s="510" t="s">
        <v>3847</v>
      </c>
      <c r="AC13" s="510" t="s">
        <v>2146</v>
      </c>
      <c r="AD13" s="511">
        <v>44279</v>
      </c>
      <c r="AE13" s="515">
        <v>5625.0493999999999</v>
      </c>
      <c r="AF13" s="507" t="s">
        <v>3486</v>
      </c>
      <c r="AG13" s="510" t="s">
        <v>3108</v>
      </c>
      <c r="AH13" s="517">
        <v>92319.53</v>
      </c>
      <c r="AI13" s="517">
        <f>362.82+367.04+678.16+976.2+633.31+248.47</f>
        <v>3266</v>
      </c>
      <c r="AJ13" s="517">
        <v>6</v>
      </c>
      <c r="AK13" s="517">
        <f t="shared" si="8"/>
        <v>95591.53</v>
      </c>
      <c r="AL13" s="518">
        <v>5.4950999999999999</v>
      </c>
      <c r="AM13" s="519">
        <f t="shared" si="9"/>
        <v>525285.01650299993</v>
      </c>
      <c r="AN13" s="519">
        <v>0</v>
      </c>
      <c r="AO13" s="510">
        <v>10</v>
      </c>
      <c r="AP13" s="519">
        <v>24155.62</v>
      </c>
      <c r="AQ13" s="519">
        <v>54944.03</v>
      </c>
      <c r="AR13" s="519">
        <v>11030.99</v>
      </c>
      <c r="AS13" s="519">
        <v>50690.02</v>
      </c>
      <c r="AT13" s="519">
        <v>135288.65</v>
      </c>
      <c r="AU13" s="519">
        <v>4749.8900000000003</v>
      </c>
      <c r="AV13" s="519">
        <v>403.3</v>
      </c>
      <c r="AW13" s="510" t="s">
        <v>3139</v>
      </c>
      <c r="AX13" s="627">
        <f t="shared" si="10"/>
        <v>44281</v>
      </c>
      <c r="AY13" s="519">
        <v>2476.6999999999998</v>
      </c>
      <c r="AZ13" s="519">
        <f t="shared" si="7"/>
        <v>787927.5247544999</v>
      </c>
      <c r="BA13" s="521">
        <f t="shared" si="11"/>
        <v>1</v>
      </c>
      <c r="BB13" s="519">
        <f t="shared" si="12"/>
        <v>787927.5247544999</v>
      </c>
      <c r="BC13" s="519">
        <v>525.13</v>
      </c>
      <c r="BD13" s="519">
        <f t="shared" si="5"/>
        <v>0</v>
      </c>
      <c r="BE13" s="519">
        <f t="shared" si="13"/>
        <v>525.13</v>
      </c>
      <c r="BF13" s="513" t="s">
        <v>1771</v>
      </c>
      <c r="BG13" s="514" t="s">
        <v>1771</v>
      </c>
      <c r="BH13" s="510" t="s">
        <v>1771</v>
      </c>
    </row>
    <row r="14" spans="1:60" s="523" customFormat="1" ht="144">
      <c r="A14" s="538" t="s">
        <v>6059</v>
      </c>
      <c r="B14" s="507" t="s">
        <v>3042</v>
      </c>
      <c r="C14" s="507" t="s">
        <v>3774</v>
      </c>
      <c r="D14" s="508" t="s">
        <v>3783</v>
      </c>
      <c r="E14" s="507" t="s">
        <v>3781</v>
      </c>
      <c r="F14" s="507" t="s">
        <v>4049</v>
      </c>
      <c r="G14" s="509">
        <v>911806972</v>
      </c>
      <c r="H14" s="507" t="s">
        <v>3785</v>
      </c>
      <c r="I14" s="510" t="s">
        <v>1771</v>
      </c>
      <c r="J14" s="510">
        <v>1</v>
      </c>
      <c r="K14" s="507">
        <f>1+9+13+1+1+1+13+13</f>
        <v>52</v>
      </c>
      <c r="L14" s="507">
        <f>0.4+1245+1655+54.5+2.5+4.12+1381.5+1388</f>
        <v>5731.02</v>
      </c>
      <c r="M14" s="511">
        <v>44235</v>
      </c>
      <c r="N14" s="511">
        <v>44236</v>
      </c>
      <c r="O14" s="511">
        <v>44236</v>
      </c>
      <c r="P14" s="511">
        <v>44276</v>
      </c>
      <c r="Q14" s="511">
        <f>P14+5</f>
        <v>44281</v>
      </c>
      <c r="R14" s="512" t="s">
        <v>4048</v>
      </c>
      <c r="S14" s="515" t="s">
        <v>3752</v>
      </c>
      <c r="T14" s="510" t="s">
        <v>3681</v>
      </c>
      <c r="U14" s="516" t="s">
        <v>3031</v>
      </c>
      <c r="V14" s="359">
        <v>44271</v>
      </c>
      <c r="W14" s="510" t="s">
        <v>3147</v>
      </c>
      <c r="X14" s="510" t="s">
        <v>3147</v>
      </c>
      <c r="Y14" s="511">
        <v>44277</v>
      </c>
      <c r="Z14" s="510" t="s">
        <v>3252</v>
      </c>
      <c r="AA14" s="510" t="s">
        <v>3548</v>
      </c>
      <c r="AB14" s="510" t="s">
        <v>3845</v>
      </c>
      <c r="AC14" s="510" t="s">
        <v>2146</v>
      </c>
      <c r="AD14" s="511">
        <v>44279</v>
      </c>
      <c r="AE14" s="515">
        <v>4282.47</v>
      </c>
      <c r="AF14" s="507" t="s">
        <v>3486</v>
      </c>
      <c r="AG14" s="510" t="s">
        <v>3108</v>
      </c>
      <c r="AH14" s="517">
        <v>130203.82</v>
      </c>
      <c r="AI14" s="517">
        <f>972.58+972.93+1.79+1.09+24.15+752.09+540.76+0.61</f>
        <v>3266.0000000000005</v>
      </c>
      <c r="AJ14" s="517">
        <v>8</v>
      </c>
      <c r="AK14" s="517">
        <f t="shared" si="8"/>
        <v>133477.82</v>
      </c>
      <c r="AL14" s="518">
        <v>5.4950999999999999</v>
      </c>
      <c r="AM14" s="519">
        <f t="shared" si="9"/>
        <v>733473.96868200006</v>
      </c>
      <c r="AN14" s="519">
        <v>0</v>
      </c>
      <c r="AO14" s="510">
        <v>7</v>
      </c>
      <c r="AP14" s="519">
        <v>10693.82</v>
      </c>
      <c r="AQ14" s="519">
        <v>74416.77</v>
      </c>
      <c r="AR14" s="519">
        <v>15402.98</v>
      </c>
      <c r="AS14" s="519">
        <v>70780.259999999995</v>
      </c>
      <c r="AT14" s="519">
        <v>183391.74</v>
      </c>
      <c r="AU14" s="519">
        <v>4749.8900000000003</v>
      </c>
      <c r="AV14" s="519">
        <v>350.2</v>
      </c>
      <c r="AW14" s="510" t="s">
        <v>3139</v>
      </c>
      <c r="AX14" s="627">
        <f t="shared" si="10"/>
        <v>44281</v>
      </c>
      <c r="AY14" s="519">
        <v>2962.27</v>
      </c>
      <c r="AZ14" s="519">
        <f t="shared" si="7"/>
        <v>1100210.9530230002</v>
      </c>
      <c r="BA14" s="521">
        <f t="shared" si="11"/>
        <v>1</v>
      </c>
      <c r="BB14" s="519">
        <f t="shared" si="12"/>
        <v>1100210.9530230002</v>
      </c>
      <c r="BC14" s="519">
        <v>525.13</v>
      </c>
      <c r="BD14" s="519">
        <f t="shared" si="5"/>
        <v>-30</v>
      </c>
      <c r="BE14" s="519">
        <f t="shared" si="13"/>
        <v>495.13</v>
      </c>
      <c r="BF14" s="513" t="s">
        <v>1771</v>
      </c>
      <c r="BG14" s="514" t="s">
        <v>1771</v>
      </c>
      <c r="BH14" s="510" t="s">
        <v>1771</v>
      </c>
    </row>
    <row r="15" spans="1:60" s="523" customFormat="1" ht="120">
      <c r="A15" s="538" t="s">
        <v>6060</v>
      </c>
      <c r="B15" s="507" t="s">
        <v>3042</v>
      </c>
      <c r="C15" s="507" t="s">
        <v>3774</v>
      </c>
      <c r="D15" s="508" t="s">
        <v>3780</v>
      </c>
      <c r="E15" s="507" t="s">
        <v>3779</v>
      </c>
      <c r="F15" s="507" t="s">
        <v>4051</v>
      </c>
      <c r="G15" s="509">
        <v>208173620</v>
      </c>
      <c r="H15" s="507" t="s">
        <v>3793</v>
      </c>
      <c r="I15" s="510" t="s">
        <v>1771</v>
      </c>
      <c r="J15" s="510">
        <v>1</v>
      </c>
      <c r="K15" s="507">
        <f>18+12+13+13</f>
        <v>56</v>
      </c>
      <c r="L15" s="507">
        <f>2030+1363+1392+1603.5</f>
        <v>6388.5</v>
      </c>
      <c r="M15" s="511">
        <v>44231</v>
      </c>
      <c r="N15" s="511">
        <v>44237</v>
      </c>
      <c r="O15" s="511">
        <v>44237</v>
      </c>
      <c r="P15" s="511">
        <v>44276</v>
      </c>
      <c r="Q15" s="511">
        <v>44284</v>
      </c>
      <c r="R15" s="512" t="s">
        <v>4050</v>
      </c>
      <c r="S15" s="515" t="s">
        <v>3752</v>
      </c>
      <c r="T15" s="510" t="s">
        <v>3681</v>
      </c>
      <c r="U15" s="516" t="s">
        <v>3031</v>
      </c>
      <c r="V15" s="359">
        <v>44271</v>
      </c>
      <c r="W15" s="510" t="s">
        <v>3261</v>
      </c>
      <c r="X15" s="510" t="s">
        <v>3261</v>
      </c>
      <c r="Y15" s="511">
        <v>44279</v>
      </c>
      <c r="Z15" s="510" t="s">
        <v>3298</v>
      </c>
      <c r="AA15" s="510" t="s">
        <v>3548</v>
      </c>
      <c r="AB15" s="510" t="s">
        <v>3851</v>
      </c>
      <c r="AC15" s="510" t="s">
        <v>2146</v>
      </c>
      <c r="AD15" s="511">
        <v>44281</v>
      </c>
      <c r="AE15" s="515">
        <v>4991.3799900000004</v>
      </c>
      <c r="AF15" s="507" t="s">
        <v>3756</v>
      </c>
      <c r="AG15" s="510" t="s">
        <v>3108</v>
      </c>
      <c r="AH15" s="517">
        <v>102128.43</v>
      </c>
      <c r="AI15" s="517">
        <v>3266</v>
      </c>
      <c r="AJ15" s="517">
        <v>4</v>
      </c>
      <c r="AK15" s="517">
        <f t="shared" si="8"/>
        <v>105398.43</v>
      </c>
      <c r="AL15" s="518">
        <v>5.6585000000000001</v>
      </c>
      <c r="AM15" s="519">
        <f t="shared" si="9"/>
        <v>596397.01615499996</v>
      </c>
      <c r="AN15" s="519">
        <v>0</v>
      </c>
      <c r="AO15" s="510">
        <v>10</v>
      </c>
      <c r="AP15" s="519">
        <v>20703.12</v>
      </c>
      <c r="AQ15" s="519">
        <v>61709.97</v>
      </c>
      <c r="AR15" s="519">
        <v>12524.35</v>
      </c>
      <c r="AS15" s="519">
        <v>57552.33</v>
      </c>
      <c r="AT15" s="519">
        <v>151979.38</v>
      </c>
      <c r="AU15" s="519">
        <v>4770.1400000000003</v>
      </c>
      <c r="AV15" s="519">
        <v>403.3</v>
      </c>
      <c r="AW15" s="510" t="s">
        <v>3139</v>
      </c>
      <c r="AX15" s="627">
        <f t="shared" si="10"/>
        <v>44284</v>
      </c>
      <c r="AY15" s="519">
        <v>2163.02</v>
      </c>
      <c r="AZ15" s="519">
        <f t="shared" si="7"/>
        <v>894595.5242325</v>
      </c>
      <c r="BA15" s="521">
        <f t="shared" si="11"/>
        <v>1</v>
      </c>
      <c r="BB15" s="519">
        <f t="shared" si="12"/>
        <v>894595.5242325</v>
      </c>
      <c r="BC15" s="519">
        <v>525.13</v>
      </c>
      <c r="BD15" s="519">
        <f t="shared" si="5"/>
        <v>0</v>
      </c>
      <c r="BE15" s="519">
        <f t="shared" si="13"/>
        <v>525.13</v>
      </c>
      <c r="BF15" s="513" t="s">
        <v>1771</v>
      </c>
      <c r="BG15" s="514" t="s">
        <v>1771</v>
      </c>
      <c r="BH15" s="510" t="s">
        <v>1771</v>
      </c>
    </row>
    <row r="16" spans="1:60" s="523" customFormat="1" ht="144">
      <c r="A16" s="538" t="s">
        <v>6061</v>
      </c>
      <c r="B16" s="507" t="s">
        <v>3042</v>
      </c>
      <c r="C16" s="507" t="s">
        <v>3774</v>
      </c>
      <c r="D16" s="508" t="s">
        <v>3801</v>
      </c>
      <c r="E16" s="507" t="s">
        <v>3800</v>
      </c>
      <c r="F16" s="507" t="s">
        <v>4053</v>
      </c>
      <c r="G16" s="509" t="s">
        <v>3810</v>
      </c>
      <c r="H16" s="507" t="s">
        <v>3811</v>
      </c>
      <c r="I16" s="510" t="s">
        <v>1771</v>
      </c>
      <c r="J16" s="510">
        <v>2</v>
      </c>
      <c r="K16" s="507">
        <f>1+6+13+13+1+9+9+5+11+5+26+2</f>
        <v>101</v>
      </c>
      <c r="L16" s="507">
        <f>74.5+480+1617+1617+61+1384.5+1380.5+903.5+1308+900.5+2753.64+379</f>
        <v>12859.14</v>
      </c>
      <c r="M16" s="511">
        <v>44253</v>
      </c>
      <c r="N16" s="511">
        <v>44254</v>
      </c>
      <c r="O16" s="511">
        <v>44254</v>
      </c>
      <c r="P16" s="511">
        <v>44287</v>
      </c>
      <c r="Q16" s="511">
        <v>44293</v>
      </c>
      <c r="R16" s="512" t="s">
        <v>4052</v>
      </c>
      <c r="S16" s="515" t="s">
        <v>3752</v>
      </c>
      <c r="T16" s="510" t="s">
        <v>3128</v>
      </c>
      <c r="U16" s="516" t="s">
        <v>3031</v>
      </c>
      <c r="V16" s="359">
        <v>44278</v>
      </c>
      <c r="W16" s="510" t="s">
        <v>3337</v>
      </c>
      <c r="X16" s="510" t="s">
        <v>3341</v>
      </c>
      <c r="Y16" s="511">
        <v>44289</v>
      </c>
      <c r="Z16" s="510" t="s">
        <v>3252</v>
      </c>
      <c r="AA16" s="510" t="s">
        <v>3548</v>
      </c>
      <c r="AB16" s="510" t="s">
        <v>3860</v>
      </c>
      <c r="AC16" s="510" t="s">
        <v>2146</v>
      </c>
      <c r="AD16" s="511">
        <v>44292</v>
      </c>
      <c r="AE16" s="515">
        <v>9419.4609999999993</v>
      </c>
      <c r="AF16" s="507" t="s">
        <v>3359</v>
      </c>
      <c r="AG16" s="510" t="s">
        <v>3108</v>
      </c>
      <c r="AH16" s="517">
        <v>226838.05</v>
      </c>
      <c r="AI16" s="517">
        <f>158.24+1166.13+370.07+546.12+377.23+708.02+707.65+43.07+341.74+998.81+230.3</f>
        <v>5647.38</v>
      </c>
      <c r="AJ16" s="517">
        <v>12</v>
      </c>
      <c r="AK16" s="517">
        <f t="shared" si="8"/>
        <v>232497.43</v>
      </c>
      <c r="AL16" s="518">
        <v>5.6578999999999997</v>
      </c>
      <c r="AM16" s="519">
        <f t="shared" si="9"/>
        <v>1315447.2091969999</v>
      </c>
      <c r="AN16" s="519">
        <v>0</v>
      </c>
      <c r="AO16" s="510">
        <v>14</v>
      </c>
      <c r="AP16" s="519">
        <v>34113.68</v>
      </c>
      <c r="AQ16" s="519">
        <v>135369.35999999999</v>
      </c>
      <c r="AR16" s="519">
        <v>27711.200000000001</v>
      </c>
      <c r="AS16" s="519">
        <v>127339.54</v>
      </c>
      <c r="AT16" s="519">
        <v>333281.26</v>
      </c>
      <c r="AU16" s="519">
        <v>9085.77</v>
      </c>
      <c r="AV16" s="519">
        <v>450.5</v>
      </c>
      <c r="AW16" s="510" t="s">
        <v>3139</v>
      </c>
      <c r="AX16" s="627">
        <f t="shared" si="10"/>
        <v>44293</v>
      </c>
      <c r="AY16" s="519">
        <v>2423</v>
      </c>
      <c r="AZ16" s="519">
        <f t="shared" si="7"/>
        <v>1973170.8137955</v>
      </c>
      <c r="BA16" s="521">
        <f t="shared" si="11"/>
        <v>2</v>
      </c>
      <c r="BB16" s="519">
        <f t="shared" si="12"/>
        <v>986585.40689774998</v>
      </c>
      <c r="BC16" s="519">
        <v>574.73</v>
      </c>
      <c r="BD16" s="519">
        <f t="shared" si="5"/>
        <v>40</v>
      </c>
      <c r="BE16" s="519">
        <f t="shared" si="13"/>
        <v>614.73</v>
      </c>
      <c r="BF16" s="513" t="s">
        <v>1771</v>
      </c>
      <c r="BG16" s="514" t="s">
        <v>1771</v>
      </c>
      <c r="BH16" s="510" t="s">
        <v>1771</v>
      </c>
    </row>
    <row r="17" spans="1:60" s="523" customFormat="1" ht="132">
      <c r="A17" s="538" t="s">
        <v>6062</v>
      </c>
      <c r="B17" s="507" t="s">
        <v>3042</v>
      </c>
      <c r="C17" s="507" t="s">
        <v>3774</v>
      </c>
      <c r="D17" s="508" t="s">
        <v>3795</v>
      </c>
      <c r="E17" s="507" t="s">
        <v>3794</v>
      </c>
      <c r="F17" s="507" t="s">
        <v>4055</v>
      </c>
      <c r="G17" s="509">
        <v>911811857</v>
      </c>
      <c r="H17" s="507" t="s">
        <v>3796</v>
      </c>
      <c r="I17" s="510" t="s">
        <v>1771</v>
      </c>
      <c r="J17" s="510">
        <v>1</v>
      </c>
      <c r="K17" s="507">
        <f>1+3+1+5+5+11+5+5+5+1+9</f>
        <v>51</v>
      </c>
      <c r="L17" s="507">
        <f>0.44+460.5+218+917.2+924.5+1513+942.64+926+918.5+36+1382</f>
        <v>8238.7800000000007</v>
      </c>
      <c r="M17" s="511" t="s">
        <v>1771</v>
      </c>
      <c r="N17" s="511">
        <v>44247</v>
      </c>
      <c r="O17" s="511">
        <v>44247</v>
      </c>
      <c r="P17" s="511">
        <v>44283</v>
      </c>
      <c r="Q17" s="511">
        <v>44294</v>
      </c>
      <c r="R17" s="512" t="s">
        <v>4054</v>
      </c>
      <c r="S17" s="515" t="s">
        <v>3752</v>
      </c>
      <c r="T17" s="510" t="s">
        <v>3128</v>
      </c>
      <c r="U17" s="516" t="s">
        <v>3031</v>
      </c>
      <c r="V17" s="359">
        <v>44278</v>
      </c>
      <c r="W17" s="510" t="s">
        <v>3147</v>
      </c>
      <c r="X17" s="510" t="s">
        <v>3147</v>
      </c>
      <c r="Y17" s="511">
        <v>44284</v>
      </c>
      <c r="Z17" s="510" t="s">
        <v>3252</v>
      </c>
      <c r="AA17" s="510" t="s">
        <v>3548</v>
      </c>
      <c r="AB17" s="510" t="s">
        <v>3867</v>
      </c>
      <c r="AC17" s="510" t="s">
        <v>2146</v>
      </c>
      <c r="AD17" s="511">
        <v>44293</v>
      </c>
      <c r="AE17" s="515">
        <v>6309.4751299999998</v>
      </c>
      <c r="AF17" s="507" t="s">
        <v>3268</v>
      </c>
      <c r="AG17" s="510" t="s">
        <v>3108</v>
      </c>
      <c r="AH17" s="517">
        <v>242779.25</v>
      </c>
      <c r="AI17" s="517">
        <f>391.2+15.09+384.79+388.18+395.16+634.26+387.56+384.49+91.39+193.04+0.84</f>
        <v>3266.0000000000005</v>
      </c>
      <c r="AJ17" s="517">
        <v>11</v>
      </c>
      <c r="AK17" s="517">
        <f t="shared" ref="AK17:AK23" si="14">SUM(AH17:AJ17)</f>
        <v>246056.25</v>
      </c>
      <c r="AL17" s="518">
        <v>5.6262999999999996</v>
      </c>
      <c r="AM17" s="519">
        <f t="shared" ref="AM17:AM22" si="15">AK17*AL17</f>
        <v>1384386.2793749999</v>
      </c>
      <c r="AN17" s="519">
        <v>0</v>
      </c>
      <c r="AO17" s="510">
        <v>12</v>
      </c>
      <c r="AP17" s="519">
        <v>13928.38</v>
      </c>
      <c r="AQ17" s="519">
        <v>139831.42000000001</v>
      </c>
      <c r="AR17" s="519">
        <v>29072.12</v>
      </c>
      <c r="AS17" s="519">
        <v>133593.29</v>
      </c>
      <c r="AT17" s="519">
        <v>343841.49</v>
      </c>
      <c r="AU17" s="519">
        <v>4982.0200000000004</v>
      </c>
      <c r="AV17" s="519">
        <v>426.9</v>
      </c>
      <c r="AW17" s="510" t="s">
        <v>3139</v>
      </c>
      <c r="AX17" s="627">
        <f t="shared" ref="AX17:AX22" si="16">Q17</f>
        <v>44294</v>
      </c>
      <c r="AY17" s="519">
        <v>4480.43</v>
      </c>
      <c r="AZ17" s="519">
        <f t="shared" si="7"/>
        <v>2076579.4190624999</v>
      </c>
      <c r="BA17" s="521">
        <f t="shared" ref="BA17:BA22" si="17">SUM(I17:J17)</f>
        <v>1</v>
      </c>
      <c r="BB17" s="519">
        <f t="shared" ref="BB17:BB22" si="18">AZ17/BA17</f>
        <v>2076579.4190624999</v>
      </c>
      <c r="BC17" s="519">
        <v>549.92999999999995</v>
      </c>
      <c r="BD17" s="519">
        <f t="shared" si="5"/>
        <v>20</v>
      </c>
      <c r="BE17" s="519">
        <f t="shared" si="13"/>
        <v>569.92999999999995</v>
      </c>
      <c r="BF17" s="513" t="s">
        <v>1771</v>
      </c>
      <c r="BG17" s="514" t="s">
        <v>1771</v>
      </c>
      <c r="BH17" s="510" t="s">
        <v>1771</v>
      </c>
    </row>
    <row r="18" spans="1:60" s="523" customFormat="1" ht="144">
      <c r="A18" s="538" t="s">
        <v>6063</v>
      </c>
      <c r="B18" s="507" t="s">
        <v>3042</v>
      </c>
      <c r="C18" s="507" t="s">
        <v>3774</v>
      </c>
      <c r="D18" s="508" t="s">
        <v>3819</v>
      </c>
      <c r="E18" s="507" t="s">
        <v>3818</v>
      </c>
      <c r="F18" s="507" t="s">
        <v>4057</v>
      </c>
      <c r="G18" s="509" t="s">
        <v>3824</v>
      </c>
      <c r="H18" s="507" t="s">
        <v>3821</v>
      </c>
      <c r="I18" s="510" t="s">
        <v>1771</v>
      </c>
      <c r="J18" s="510">
        <v>1</v>
      </c>
      <c r="K18" s="507">
        <f>7+13+8+1+5+7+7+7</f>
        <v>55</v>
      </c>
      <c r="L18" s="507">
        <f>832+1150.5+566.3+1.4+416+836.5+837.5+833.5</f>
        <v>5473.7000000000007</v>
      </c>
      <c r="M18" s="511">
        <v>44260</v>
      </c>
      <c r="N18" s="511">
        <v>44261</v>
      </c>
      <c r="O18" s="511">
        <v>44261</v>
      </c>
      <c r="P18" s="511">
        <v>44297</v>
      </c>
      <c r="Q18" s="511">
        <v>44299</v>
      </c>
      <c r="R18" s="512" t="s">
        <v>4056</v>
      </c>
      <c r="S18" s="515" t="s">
        <v>3752</v>
      </c>
      <c r="T18" s="510" t="s">
        <v>3128</v>
      </c>
      <c r="U18" s="516" t="s">
        <v>3031</v>
      </c>
      <c r="V18" s="359">
        <v>44288</v>
      </c>
      <c r="W18" s="510" t="s">
        <v>3337</v>
      </c>
      <c r="X18" s="510" t="s">
        <v>3341</v>
      </c>
      <c r="Y18" s="511">
        <v>44298</v>
      </c>
      <c r="Z18" s="510" t="s">
        <v>3252</v>
      </c>
      <c r="AA18" s="510" t="s">
        <v>3548</v>
      </c>
      <c r="AB18" s="510" t="s">
        <v>3871</v>
      </c>
      <c r="AC18" s="510" t="s">
        <v>2146</v>
      </c>
      <c r="AD18" s="511">
        <v>44298</v>
      </c>
      <c r="AE18" s="515">
        <v>4006.6727999999998</v>
      </c>
      <c r="AF18" s="507" t="s">
        <v>3486</v>
      </c>
      <c r="AG18" s="510" t="s">
        <v>3108</v>
      </c>
      <c r="AH18" s="517">
        <v>44336.65</v>
      </c>
      <c r="AI18" s="517">
        <v>3189</v>
      </c>
      <c r="AJ18" s="517">
        <v>8</v>
      </c>
      <c r="AK18" s="517">
        <f t="shared" si="14"/>
        <v>47533.65</v>
      </c>
      <c r="AL18" s="518">
        <v>5.6444999999999999</v>
      </c>
      <c r="AM18" s="519">
        <f t="shared" si="15"/>
        <v>268303.68742500001</v>
      </c>
      <c r="AN18" s="519">
        <v>0</v>
      </c>
      <c r="AO18" s="510">
        <v>15</v>
      </c>
      <c r="AP18" s="519">
        <v>19478.12</v>
      </c>
      <c r="AQ18" s="519">
        <v>28778.080000000002</v>
      </c>
      <c r="AR18" s="519">
        <v>5634.38</v>
      </c>
      <c r="AS18" s="519">
        <v>25891.26</v>
      </c>
      <c r="AT18" s="519">
        <v>71185.759999999995</v>
      </c>
      <c r="AU18" s="519">
        <v>4521.2700000000004</v>
      </c>
      <c r="AV18" s="519">
        <v>462.3</v>
      </c>
      <c r="AW18" s="510" t="s">
        <v>3139</v>
      </c>
      <c r="AX18" s="627">
        <f t="shared" si="16"/>
        <v>44299</v>
      </c>
      <c r="AY18" s="519">
        <v>1210.5</v>
      </c>
      <c r="AZ18" s="519">
        <f t="shared" si="7"/>
        <v>402455.53113750002</v>
      </c>
      <c r="BA18" s="521">
        <f t="shared" si="17"/>
        <v>1</v>
      </c>
      <c r="BB18" s="519">
        <f t="shared" si="18"/>
        <v>402455.53113750002</v>
      </c>
      <c r="BC18" s="519">
        <v>587.13</v>
      </c>
      <c r="BD18" s="519">
        <f t="shared" si="5"/>
        <v>50</v>
      </c>
      <c r="BE18" s="519">
        <f t="shared" ref="BE18:BE81" si="19">SUM(BC18:BD18)</f>
        <v>637.13</v>
      </c>
      <c r="BF18" s="513" t="s">
        <v>1771</v>
      </c>
      <c r="BG18" s="514" t="s">
        <v>1771</v>
      </c>
      <c r="BH18" s="510" t="s">
        <v>1771</v>
      </c>
    </row>
    <row r="19" spans="1:60" s="523" customFormat="1" ht="144">
      <c r="A19" s="538" t="s">
        <v>6064</v>
      </c>
      <c r="B19" s="507" t="s">
        <v>3042</v>
      </c>
      <c r="C19" s="507" t="s">
        <v>3774</v>
      </c>
      <c r="D19" s="508" t="s">
        <v>3814</v>
      </c>
      <c r="E19" s="507" t="s">
        <v>3813</v>
      </c>
      <c r="F19" s="507" t="s">
        <v>4059</v>
      </c>
      <c r="G19" s="509" t="s">
        <v>3822</v>
      </c>
      <c r="H19" s="507" t="s">
        <v>3821</v>
      </c>
      <c r="I19" s="510" t="s">
        <v>1771</v>
      </c>
      <c r="J19" s="510">
        <v>1</v>
      </c>
      <c r="K19" s="507">
        <f>2+2+5+5+10+8+1+8+8+8</f>
        <v>57</v>
      </c>
      <c r="L19" s="507">
        <f>116.5+150+772.9+771.37+1601.5+858.5+101+839.5+839.5+841</f>
        <v>6891.77</v>
      </c>
      <c r="M19" s="511">
        <v>44263</v>
      </c>
      <c r="N19" s="511">
        <v>44262</v>
      </c>
      <c r="O19" s="511">
        <v>44262</v>
      </c>
      <c r="P19" s="511">
        <v>44297</v>
      </c>
      <c r="Q19" s="511">
        <v>44300</v>
      </c>
      <c r="R19" s="512" t="s">
        <v>4058</v>
      </c>
      <c r="S19" s="515" t="s">
        <v>3752</v>
      </c>
      <c r="T19" s="510" t="s">
        <v>3128</v>
      </c>
      <c r="U19" s="516" t="s">
        <v>3031</v>
      </c>
      <c r="V19" s="359">
        <v>44288</v>
      </c>
      <c r="W19" s="510" t="s">
        <v>3337</v>
      </c>
      <c r="X19" s="510" t="s">
        <v>3341</v>
      </c>
      <c r="Y19" s="511">
        <v>44298</v>
      </c>
      <c r="Z19" s="510" t="s">
        <v>3252</v>
      </c>
      <c r="AA19" s="510" t="s">
        <v>3548</v>
      </c>
      <c r="AB19" s="510" t="s">
        <v>3870</v>
      </c>
      <c r="AC19" s="510" t="s">
        <v>2146</v>
      </c>
      <c r="AD19" s="511">
        <v>44298</v>
      </c>
      <c r="AE19" s="515">
        <v>5080.076</v>
      </c>
      <c r="AF19" s="507" t="s">
        <v>3359</v>
      </c>
      <c r="AG19" s="510" t="s">
        <v>3108</v>
      </c>
      <c r="AH19" s="517">
        <v>100849.64</v>
      </c>
      <c r="AI19" s="517">
        <v>3189</v>
      </c>
      <c r="AJ19" s="517">
        <v>10</v>
      </c>
      <c r="AK19" s="517">
        <f t="shared" si="14"/>
        <v>104048.64</v>
      </c>
      <c r="AL19" s="518">
        <v>5.6444999999999999</v>
      </c>
      <c r="AM19" s="519">
        <f t="shared" si="15"/>
        <v>587302.54848</v>
      </c>
      <c r="AN19" s="519">
        <v>0</v>
      </c>
      <c r="AO19" s="510">
        <v>8</v>
      </c>
      <c r="AP19" s="519">
        <v>18489.34</v>
      </c>
      <c r="AQ19" s="519">
        <v>60579.14</v>
      </c>
      <c r="AR19" s="519">
        <v>12333.35</v>
      </c>
      <c r="AS19" s="519">
        <v>56674.67</v>
      </c>
      <c r="AT19" s="519">
        <v>149200.01</v>
      </c>
      <c r="AU19" s="519">
        <v>4521.2700000000004</v>
      </c>
      <c r="AV19" s="519">
        <v>367.9</v>
      </c>
      <c r="AW19" s="510" t="s">
        <v>3139</v>
      </c>
      <c r="AX19" s="627">
        <f t="shared" si="16"/>
        <v>44300</v>
      </c>
      <c r="AY19" s="519">
        <v>1210.5</v>
      </c>
      <c r="AZ19" s="519">
        <f t="shared" si="7"/>
        <v>880953.82272000005</v>
      </c>
      <c r="BA19" s="521">
        <f t="shared" si="17"/>
        <v>1</v>
      </c>
      <c r="BB19" s="519">
        <f t="shared" si="18"/>
        <v>880953.82272000005</v>
      </c>
      <c r="BC19" s="519">
        <v>525.13</v>
      </c>
      <c r="BD19" s="519">
        <f t="shared" si="5"/>
        <v>-20</v>
      </c>
      <c r="BE19" s="519">
        <f t="shared" si="19"/>
        <v>505.13</v>
      </c>
      <c r="BF19" s="513" t="s">
        <v>1771</v>
      </c>
      <c r="BG19" s="514" t="s">
        <v>1771</v>
      </c>
      <c r="BH19" s="510" t="s">
        <v>1771</v>
      </c>
    </row>
    <row r="20" spans="1:60" s="523" customFormat="1" ht="120">
      <c r="A20" s="538" t="s">
        <v>6065</v>
      </c>
      <c r="B20" s="507" t="s">
        <v>3042</v>
      </c>
      <c r="C20" s="507" t="s">
        <v>3774</v>
      </c>
      <c r="D20" s="508" t="s">
        <v>3798</v>
      </c>
      <c r="E20" s="507" t="s">
        <v>3797</v>
      </c>
      <c r="F20" s="507" t="s">
        <v>4061</v>
      </c>
      <c r="G20" s="509">
        <v>208369744</v>
      </c>
      <c r="H20" s="507" t="s">
        <v>3796</v>
      </c>
      <c r="I20" s="510">
        <v>1</v>
      </c>
      <c r="J20" s="510" t="s">
        <v>1771</v>
      </c>
      <c r="K20" s="507">
        <f>1+5+13</f>
        <v>19</v>
      </c>
      <c r="L20" s="507">
        <f>70.5+932.5+1380</f>
        <v>2383</v>
      </c>
      <c r="M20" s="511" t="s">
        <v>1771</v>
      </c>
      <c r="N20" s="511">
        <v>44250</v>
      </c>
      <c r="O20" s="511">
        <v>44250</v>
      </c>
      <c r="P20" s="511">
        <v>44283</v>
      </c>
      <c r="Q20" s="511">
        <v>44300</v>
      </c>
      <c r="R20" s="512" t="s">
        <v>4060</v>
      </c>
      <c r="S20" s="515" t="s">
        <v>3752</v>
      </c>
      <c r="T20" s="510" t="s">
        <v>3128</v>
      </c>
      <c r="U20" s="516" t="s">
        <v>3031</v>
      </c>
      <c r="V20" s="359">
        <v>44278</v>
      </c>
      <c r="W20" s="510" t="s">
        <v>3147</v>
      </c>
      <c r="X20" s="510" t="s">
        <v>3147</v>
      </c>
      <c r="Y20" s="511">
        <v>44284</v>
      </c>
      <c r="Z20" s="510" t="s">
        <v>3252</v>
      </c>
      <c r="AA20" s="510" t="s">
        <v>3548</v>
      </c>
      <c r="AB20" s="510" t="s">
        <v>3869</v>
      </c>
      <c r="AC20" s="510" t="s">
        <v>2146</v>
      </c>
      <c r="AD20" s="511">
        <v>44295</v>
      </c>
      <c r="AE20" s="515">
        <v>1730</v>
      </c>
      <c r="AF20" s="507" t="s">
        <v>3799</v>
      </c>
      <c r="AG20" s="510" t="s">
        <v>3108</v>
      </c>
      <c r="AH20" s="517">
        <v>94774.28</v>
      </c>
      <c r="AI20" s="517">
        <f>2047.61+891.03+67.36</f>
        <v>3006</v>
      </c>
      <c r="AJ20" s="517">
        <v>3</v>
      </c>
      <c r="AK20" s="517">
        <f t="shared" si="14"/>
        <v>97783.28</v>
      </c>
      <c r="AL20" s="518">
        <v>5.5816999999999997</v>
      </c>
      <c r="AM20" s="519">
        <f t="shared" si="15"/>
        <v>545796.93397599994</v>
      </c>
      <c r="AN20" s="519">
        <v>0</v>
      </c>
      <c r="AO20" s="510">
        <v>3</v>
      </c>
      <c r="AP20" s="519">
        <v>259.01</v>
      </c>
      <c r="AQ20" s="519">
        <v>54605.57</v>
      </c>
      <c r="AR20" s="519">
        <v>11461.73</v>
      </c>
      <c r="AS20" s="519">
        <v>52669.4</v>
      </c>
      <c r="AT20" s="519">
        <v>135013.21</v>
      </c>
      <c r="AU20" s="519">
        <v>4605.51</v>
      </c>
      <c r="AV20" s="519">
        <v>267.60000000000002</v>
      </c>
      <c r="AW20" s="510" t="s">
        <v>3139</v>
      </c>
      <c r="AX20" s="627">
        <f t="shared" si="16"/>
        <v>44300</v>
      </c>
      <c r="AY20" s="519">
        <v>4798.78</v>
      </c>
      <c r="AZ20" s="519">
        <f t="shared" si="7"/>
        <v>818695.40096399991</v>
      </c>
      <c r="BA20" s="521">
        <f t="shared" si="17"/>
        <v>1</v>
      </c>
      <c r="BB20" s="519">
        <f t="shared" si="18"/>
        <v>818695.40096399991</v>
      </c>
      <c r="BC20" s="519">
        <v>525.13</v>
      </c>
      <c r="BD20" s="519">
        <f t="shared" si="5"/>
        <v>-70</v>
      </c>
      <c r="BE20" s="519">
        <f t="shared" si="19"/>
        <v>455.13</v>
      </c>
      <c r="BF20" s="513" t="s">
        <v>1771</v>
      </c>
      <c r="BG20" s="514" t="s">
        <v>1771</v>
      </c>
      <c r="BH20" s="510" t="s">
        <v>1771</v>
      </c>
    </row>
    <row r="21" spans="1:60" s="523" customFormat="1" ht="144">
      <c r="A21" s="538" t="s">
        <v>6066</v>
      </c>
      <c r="B21" s="507" t="s">
        <v>3042</v>
      </c>
      <c r="C21" s="507" t="s">
        <v>3774</v>
      </c>
      <c r="D21" s="508" t="s">
        <v>3806</v>
      </c>
      <c r="E21" s="507" t="s">
        <v>3807</v>
      </c>
      <c r="F21" s="507" t="s">
        <v>4063</v>
      </c>
      <c r="G21" s="509" t="s">
        <v>3823</v>
      </c>
      <c r="H21" s="507" t="s">
        <v>3821</v>
      </c>
      <c r="I21" s="510" t="s">
        <v>1771</v>
      </c>
      <c r="J21" s="510">
        <v>1</v>
      </c>
      <c r="K21" s="507">
        <f>12+4+25+13+5+4+4</f>
        <v>67</v>
      </c>
      <c r="L21" s="507">
        <f>1370.5+510+2509.5+1390.5+911.72+273+400.5</f>
        <v>7365.72</v>
      </c>
      <c r="M21" s="511">
        <v>44259</v>
      </c>
      <c r="N21" s="511">
        <v>44259</v>
      </c>
      <c r="O21" s="511">
        <v>44259</v>
      </c>
      <c r="P21" s="511">
        <v>44297</v>
      </c>
      <c r="Q21" s="511">
        <v>44308</v>
      </c>
      <c r="R21" s="512" t="s">
        <v>4062</v>
      </c>
      <c r="S21" s="515" t="s">
        <v>3752</v>
      </c>
      <c r="T21" s="510" t="s">
        <v>3128</v>
      </c>
      <c r="U21" s="516" t="s">
        <v>3031</v>
      </c>
      <c r="V21" s="359">
        <v>44288</v>
      </c>
      <c r="W21" s="510" t="s">
        <v>3337</v>
      </c>
      <c r="X21" s="510" t="s">
        <v>3341</v>
      </c>
      <c r="Y21" s="511">
        <v>44298</v>
      </c>
      <c r="Z21" s="510" t="s">
        <v>3252</v>
      </c>
      <c r="AA21" s="510" t="s">
        <v>3548</v>
      </c>
      <c r="AB21" s="510" t="s">
        <v>3886</v>
      </c>
      <c r="AC21" s="510" t="s">
        <v>2146</v>
      </c>
      <c r="AD21" s="511">
        <v>44306</v>
      </c>
      <c r="AE21" s="515">
        <v>5263.1886000000004</v>
      </c>
      <c r="AF21" s="507" t="s">
        <v>3817</v>
      </c>
      <c r="AG21" s="510" t="s">
        <v>3108</v>
      </c>
      <c r="AH21" s="517">
        <v>149347.22</v>
      </c>
      <c r="AI21" s="517">
        <v>3189</v>
      </c>
      <c r="AJ21" s="517">
        <v>7</v>
      </c>
      <c r="AK21" s="517">
        <f t="shared" si="14"/>
        <v>152543.22</v>
      </c>
      <c r="AL21" s="518">
        <v>5.5750000000000002</v>
      </c>
      <c r="AM21" s="519">
        <f t="shared" si="15"/>
        <v>850428.45150000008</v>
      </c>
      <c r="AN21" s="519">
        <v>0</v>
      </c>
      <c r="AO21" s="510">
        <v>12</v>
      </c>
      <c r="AP21" s="519">
        <v>22303.919999999998</v>
      </c>
      <c r="AQ21" s="519">
        <v>87273.17</v>
      </c>
      <c r="AR21" s="519">
        <v>17859.009999999998</v>
      </c>
      <c r="AS21" s="519">
        <v>82066.320000000007</v>
      </c>
      <c r="AT21" s="519">
        <v>214596.38</v>
      </c>
      <c r="AU21" s="519">
        <v>4521.2700000000004</v>
      </c>
      <c r="AV21" s="519">
        <v>426.9</v>
      </c>
      <c r="AW21" s="510" t="s">
        <v>3139</v>
      </c>
      <c r="AX21" s="627">
        <f t="shared" si="16"/>
        <v>44308</v>
      </c>
      <c r="AY21" s="519">
        <v>2085.14</v>
      </c>
      <c r="AZ21" s="519">
        <f t="shared" si="7"/>
        <v>1275642.6772500002</v>
      </c>
      <c r="BA21" s="521">
        <f t="shared" si="17"/>
        <v>1</v>
      </c>
      <c r="BB21" s="519">
        <f t="shared" si="18"/>
        <v>1275642.6772500002</v>
      </c>
      <c r="BC21" s="519">
        <v>549.92999999999995</v>
      </c>
      <c r="BD21" s="519">
        <f t="shared" si="5"/>
        <v>20</v>
      </c>
      <c r="BE21" s="519">
        <f t="shared" si="19"/>
        <v>569.92999999999995</v>
      </c>
      <c r="BF21" s="513" t="s">
        <v>1771</v>
      </c>
      <c r="BG21" s="514" t="s">
        <v>1771</v>
      </c>
      <c r="BH21" s="510" t="s">
        <v>1771</v>
      </c>
    </row>
    <row r="22" spans="1:60" s="523" customFormat="1" ht="144">
      <c r="A22" s="538" t="s">
        <v>6067</v>
      </c>
      <c r="B22" s="507" t="s">
        <v>3042</v>
      </c>
      <c r="C22" s="507" t="s">
        <v>3774</v>
      </c>
      <c r="D22" s="508" t="s">
        <v>3816</v>
      </c>
      <c r="E22" s="507" t="s">
        <v>3815</v>
      </c>
      <c r="F22" s="507" t="s">
        <v>4065</v>
      </c>
      <c r="G22" s="509">
        <v>911940628</v>
      </c>
      <c r="H22" s="507" t="s">
        <v>3837</v>
      </c>
      <c r="I22" s="510" t="s">
        <v>1771</v>
      </c>
      <c r="J22" s="510">
        <v>1</v>
      </c>
      <c r="K22" s="507">
        <f>8+1+1+13+13+13</f>
        <v>49</v>
      </c>
      <c r="L22" s="507">
        <f>820+4.56+121+1374.5+1621+1395</f>
        <v>5336.0599999999995</v>
      </c>
      <c r="M22" s="511">
        <v>44263</v>
      </c>
      <c r="N22" s="511">
        <v>44263</v>
      </c>
      <c r="O22" s="511">
        <v>44263</v>
      </c>
      <c r="P22" s="511">
        <v>44303</v>
      </c>
      <c r="Q22" s="511">
        <v>44308</v>
      </c>
      <c r="R22" s="512" t="s">
        <v>4064</v>
      </c>
      <c r="S22" s="515" t="s">
        <v>3752</v>
      </c>
      <c r="T22" s="510" t="s">
        <v>3128</v>
      </c>
      <c r="U22" s="516" t="s">
        <v>3031</v>
      </c>
      <c r="V22" s="359">
        <v>44295</v>
      </c>
      <c r="W22" s="510" t="s">
        <v>3261</v>
      </c>
      <c r="X22" s="510" t="s">
        <v>3261</v>
      </c>
      <c r="Y22" s="511">
        <v>44303</v>
      </c>
      <c r="Z22" s="510" t="s">
        <v>3298</v>
      </c>
      <c r="AA22" s="510" t="s">
        <v>3548</v>
      </c>
      <c r="AB22" s="510" t="s">
        <v>3887</v>
      </c>
      <c r="AC22" s="510" t="s">
        <v>2146</v>
      </c>
      <c r="AD22" s="511">
        <v>44306</v>
      </c>
      <c r="AE22" s="515">
        <v>3738.03</v>
      </c>
      <c r="AF22" s="507" t="s">
        <v>3817</v>
      </c>
      <c r="AG22" s="510" t="s">
        <v>3108</v>
      </c>
      <c r="AH22" s="517">
        <v>134974.29999999999</v>
      </c>
      <c r="AI22" s="517">
        <v>3333</v>
      </c>
      <c r="AJ22" s="517">
        <v>6</v>
      </c>
      <c r="AK22" s="517">
        <f t="shared" si="14"/>
        <v>138313.29999999999</v>
      </c>
      <c r="AL22" s="518">
        <v>5.5750000000000002</v>
      </c>
      <c r="AM22" s="519">
        <f t="shared" si="15"/>
        <v>771096.64749999996</v>
      </c>
      <c r="AN22" s="519">
        <v>0</v>
      </c>
      <c r="AO22" s="510">
        <v>7</v>
      </c>
      <c r="AP22" s="519">
        <v>10894.78</v>
      </c>
      <c r="AQ22" s="519">
        <v>78454.880000000005</v>
      </c>
      <c r="AR22" s="519">
        <v>16193.02</v>
      </c>
      <c r="AS22" s="519">
        <v>74410.83</v>
      </c>
      <c r="AT22" s="519">
        <v>192707.89</v>
      </c>
      <c r="AU22" s="519">
        <v>4945.9799999999996</v>
      </c>
      <c r="AV22" s="519">
        <v>350.2</v>
      </c>
      <c r="AW22" s="510" t="s">
        <v>3139</v>
      </c>
      <c r="AX22" s="627">
        <f t="shared" si="16"/>
        <v>44308</v>
      </c>
      <c r="AY22" s="519">
        <v>2672.35</v>
      </c>
      <c r="AZ22" s="519">
        <f t="shared" si="7"/>
        <v>1156644.9712499999</v>
      </c>
      <c r="BA22" s="521">
        <f t="shared" si="17"/>
        <v>1</v>
      </c>
      <c r="BB22" s="519">
        <f t="shared" si="18"/>
        <v>1156644.9712499999</v>
      </c>
      <c r="BC22" s="519">
        <v>525.13</v>
      </c>
      <c r="BD22" s="519">
        <f t="shared" si="5"/>
        <v>-30</v>
      </c>
      <c r="BE22" s="519">
        <f t="shared" si="19"/>
        <v>495.13</v>
      </c>
      <c r="BF22" s="513" t="s">
        <v>1771</v>
      </c>
      <c r="BG22" s="514" t="s">
        <v>1771</v>
      </c>
      <c r="BH22" s="510" t="s">
        <v>1771</v>
      </c>
    </row>
    <row r="23" spans="1:60" s="523" customFormat="1" ht="168">
      <c r="A23" s="538" t="s">
        <v>6068</v>
      </c>
      <c r="B23" s="507" t="s">
        <v>3042</v>
      </c>
      <c r="C23" s="507" t="s">
        <v>3774</v>
      </c>
      <c r="D23" s="508" t="s">
        <v>3803</v>
      </c>
      <c r="E23" s="507" t="s">
        <v>3802</v>
      </c>
      <c r="F23" s="507" t="s">
        <v>4067</v>
      </c>
      <c r="G23" s="509">
        <v>911866370</v>
      </c>
      <c r="H23" s="507" t="s">
        <v>3812</v>
      </c>
      <c r="I23" s="510">
        <v>1</v>
      </c>
      <c r="J23" s="510" t="s">
        <v>1771</v>
      </c>
      <c r="K23" s="507">
        <f>2+8+8+8</f>
        <v>26</v>
      </c>
      <c r="L23" s="507">
        <f>45.32+826.5+825.5+829.5</f>
        <v>2526.8200000000002</v>
      </c>
      <c r="M23" s="511">
        <v>44257</v>
      </c>
      <c r="N23" s="511">
        <v>44259</v>
      </c>
      <c r="O23" s="511">
        <v>44259</v>
      </c>
      <c r="P23" s="511">
        <v>44297</v>
      </c>
      <c r="Q23" s="511">
        <v>44308</v>
      </c>
      <c r="R23" s="512" t="s">
        <v>4066</v>
      </c>
      <c r="S23" s="515" t="s">
        <v>3752</v>
      </c>
      <c r="T23" s="510" t="s">
        <v>3128</v>
      </c>
      <c r="U23" s="516" t="s">
        <v>3031</v>
      </c>
      <c r="V23" s="359">
        <v>44292</v>
      </c>
      <c r="W23" s="510" t="s">
        <v>3147</v>
      </c>
      <c r="X23" s="510" t="s">
        <v>3147</v>
      </c>
      <c r="Y23" s="511">
        <v>44298</v>
      </c>
      <c r="Z23" s="510" t="s">
        <v>3252</v>
      </c>
      <c r="AA23" s="510" t="s">
        <v>3548</v>
      </c>
      <c r="AB23" s="510" t="s">
        <v>3885</v>
      </c>
      <c r="AC23" s="510" t="s">
        <v>2146</v>
      </c>
      <c r="AD23" s="511">
        <v>44306</v>
      </c>
      <c r="AE23" s="515">
        <v>1690</v>
      </c>
      <c r="AF23" s="507" t="s">
        <v>3268</v>
      </c>
      <c r="AG23" s="510" t="s">
        <v>3108</v>
      </c>
      <c r="AH23" s="517">
        <v>22888</v>
      </c>
      <c r="AI23" s="517">
        <f>989.02+989.02+989.02+38.94</f>
        <v>3006</v>
      </c>
      <c r="AJ23" s="517">
        <v>4</v>
      </c>
      <c r="AK23" s="517">
        <f t="shared" si="14"/>
        <v>25898</v>
      </c>
      <c r="AL23" s="518">
        <v>5.5750000000000002</v>
      </c>
      <c r="AM23" s="519">
        <f t="shared" ref="AM23:AM28" si="20">AK23*AL23</f>
        <v>144381.35</v>
      </c>
      <c r="AN23" s="519">
        <v>0</v>
      </c>
      <c r="AO23" s="510">
        <v>2</v>
      </c>
      <c r="AP23" s="519">
        <v>10395.459999999999</v>
      </c>
      <c r="AQ23" s="519">
        <v>15477.67</v>
      </c>
      <c r="AR23" s="519">
        <v>3032.01</v>
      </c>
      <c r="AS23" s="519">
        <v>13932.8</v>
      </c>
      <c r="AT23" s="519">
        <v>38739.49</v>
      </c>
      <c r="AU23" s="519">
        <v>4494.29</v>
      </c>
      <c r="AV23" s="519">
        <v>244</v>
      </c>
      <c r="AW23" s="510" t="s">
        <v>3139</v>
      </c>
      <c r="AX23" s="627">
        <f t="shared" ref="AX23:AX28" si="21">Q23</f>
        <v>44308</v>
      </c>
      <c r="AY23" s="519">
        <v>1588.29</v>
      </c>
      <c r="AZ23" s="519">
        <f t="shared" si="7"/>
        <v>216572.02500000002</v>
      </c>
      <c r="BA23" s="521">
        <f t="shared" ref="BA23:BA28" si="22">SUM(I23:J23)</f>
        <v>1</v>
      </c>
      <c r="BB23" s="519">
        <f t="shared" ref="BB23:BB28" si="23">AZ23/BA23</f>
        <v>216572.02500000002</v>
      </c>
      <c r="BC23" s="519">
        <v>525.13</v>
      </c>
      <c r="BD23" s="519">
        <f t="shared" si="5"/>
        <v>-80</v>
      </c>
      <c r="BE23" s="519">
        <f t="shared" si="19"/>
        <v>445.13</v>
      </c>
      <c r="BF23" s="513" t="s">
        <v>1771</v>
      </c>
      <c r="BG23" s="514" t="s">
        <v>1771</v>
      </c>
      <c r="BH23" s="510" t="s">
        <v>1771</v>
      </c>
    </row>
    <row r="24" spans="1:60" s="523" customFormat="1" ht="180">
      <c r="A24" s="538" t="s">
        <v>6069</v>
      </c>
      <c r="B24" s="507" t="s">
        <v>3042</v>
      </c>
      <c r="C24" s="507" t="s">
        <v>3774</v>
      </c>
      <c r="D24" s="508" t="s">
        <v>3844</v>
      </c>
      <c r="E24" s="507" t="s">
        <v>3840</v>
      </c>
      <c r="F24" s="507" t="s">
        <v>4069</v>
      </c>
      <c r="G24" s="509">
        <v>911940699</v>
      </c>
      <c r="H24" s="507" t="s">
        <v>3850</v>
      </c>
      <c r="I24" s="510">
        <v>1</v>
      </c>
      <c r="J24" s="510" t="s">
        <v>1771</v>
      </c>
      <c r="K24" s="507">
        <f>1+1+13+1+21</f>
        <v>37</v>
      </c>
      <c r="L24" s="507">
        <f>3+0.54+1383+11+456.23</f>
        <v>1853.77</v>
      </c>
      <c r="M24" s="511">
        <v>44277</v>
      </c>
      <c r="N24" s="511">
        <v>44276</v>
      </c>
      <c r="O24" s="511">
        <v>44276</v>
      </c>
      <c r="P24" s="511">
        <v>44306</v>
      </c>
      <c r="Q24" s="511">
        <v>44314</v>
      </c>
      <c r="R24" s="512" t="s">
        <v>4068</v>
      </c>
      <c r="S24" s="515" t="s">
        <v>3752</v>
      </c>
      <c r="T24" s="510" t="s">
        <v>3128</v>
      </c>
      <c r="U24" s="516" t="s">
        <v>3031</v>
      </c>
      <c r="V24" s="359">
        <v>44309</v>
      </c>
      <c r="W24" s="510" t="s">
        <v>3261</v>
      </c>
      <c r="X24" s="510" t="s">
        <v>3261</v>
      </c>
      <c r="Y24" s="511">
        <v>44312</v>
      </c>
      <c r="Z24" s="510" t="s">
        <v>3298</v>
      </c>
      <c r="AA24" s="510" t="s">
        <v>3548</v>
      </c>
      <c r="AB24" s="510" t="s">
        <v>3900</v>
      </c>
      <c r="AC24" s="510" t="s">
        <v>2146</v>
      </c>
      <c r="AD24" s="511">
        <v>44313</v>
      </c>
      <c r="AE24" s="515">
        <v>1293.99</v>
      </c>
      <c r="AF24" s="507" t="s">
        <v>3843</v>
      </c>
      <c r="AG24" s="510" t="s">
        <v>3108</v>
      </c>
      <c r="AH24" s="517">
        <v>143847.38</v>
      </c>
      <c r="AI24" s="517">
        <f>819.94+32.65+2146.57+1.59+5.25</f>
        <v>3006.0000000000005</v>
      </c>
      <c r="AJ24" s="517">
        <v>5</v>
      </c>
      <c r="AK24" s="517">
        <f t="shared" ref="AK24:AK32" si="24">SUM(AH24:AJ24)</f>
        <v>146858.38</v>
      </c>
      <c r="AL24" s="518">
        <v>5.4565999999999999</v>
      </c>
      <c r="AM24" s="519">
        <f t="shared" si="20"/>
        <v>801347.436308</v>
      </c>
      <c r="AN24" s="519">
        <v>0</v>
      </c>
      <c r="AO24" s="510">
        <v>11</v>
      </c>
      <c r="AP24" s="519">
        <v>59689.61</v>
      </c>
      <c r="AQ24" s="519">
        <v>112967.59</v>
      </c>
      <c r="AR24" s="519">
        <v>16828.310000000001</v>
      </c>
      <c r="AS24" s="519">
        <v>77330.05</v>
      </c>
      <c r="AT24" s="519">
        <v>174101.98</v>
      </c>
      <c r="AU24" s="519">
        <v>4369.6899999999996</v>
      </c>
      <c r="AV24" s="519">
        <v>415.1</v>
      </c>
      <c r="AW24" s="510" t="s">
        <v>3139</v>
      </c>
      <c r="AX24" s="627">
        <f t="shared" si="21"/>
        <v>44314</v>
      </c>
      <c r="AY24" s="519">
        <v>2760.55</v>
      </c>
      <c r="AZ24" s="519">
        <f t="shared" si="7"/>
        <v>1202021.1544619999</v>
      </c>
      <c r="BA24" s="521">
        <f t="shared" si="22"/>
        <v>1</v>
      </c>
      <c r="BB24" s="519">
        <f t="shared" si="23"/>
        <v>1202021.1544619999</v>
      </c>
      <c r="BC24" s="519">
        <v>537.53</v>
      </c>
      <c r="BD24" s="519">
        <f t="shared" si="5"/>
        <v>10</v>
      </c>
      <c r="BE24" s="519">
        <f t="shared" si="19"/>
        <v>547.53</v>
      </c>
      <c r="BF24" s="513" t="s">
        <v>1771</v>
      </c>
      <c r="BG24" s="514" t="s">
        <v>1771</v>
      </c>
      <c r="BH24" s="510" t="s">
        <v>1771</v>
      </c>
    </row>
    <row r="25" spans="1:60" s="523" customFormat="1" ht="168">
      <c r="A25" s="538" t="s">
        <v>6070</v>
      </c>
      <c r="B25" s="507" t="s">
        <v>3042</v>
      </c>
      <c r="C25" s="507" t="s">
        <v>3774</v>
      </c>
      <c r="D25" s="508" t="s">
        <v>3804</v>
      </c>
      <c r="E25" s="507" t="s">
        <v>3805</v>
      </c>
      <c r="F25" s="507" t="s">
        <v>4071</v>
      </c>
      <c r="G25" s="509">
        <v>208586257</v>
      </c>
      <c r="H25" s="507" t="s">
        <v>3812</v>
      </c>
      <c r="I25" s="510" t="s">
        <v>1771</v>
      </c>
      <c r="J25" s="510">
        <v>1</v>
      </c>
      <c r="K25" s="507">
        <f>13+13+13+2</f>
        <v>41</v>
      </c>
      <c r="L25" s="507">
        <f>1380.5+1616+1616+127</f>
        <v>4739.5</v>
      </c>
      <c r="M25" s="511">
        <v>44258</v>
      </c>
      <c r="N25" s="511">
        <v>44256</v>
      </c>
      <c r="O25" s="511">
        <v>44256</v>
      </c>
      <c r="P25" s="511">
        <v>44297</v>
      </c>
      <c r="Q25" s="511">
        <v>44319</v>
      </c>
      <c r="R25" s="512" t="s">
        <v>4070</v>
      </c>
      <c r="S25" s="515" t="s">
        <v>3752</v>
      </c>
      <c r="T25" s="510" t="s">
        <v>3128</v>
      </c>
      <c r="U25" s="516" t="s">
        <v>3031</v>
      </c>
      <c r="V25" s="359">
        <v>44292</v>
      </c>
      <c r="W25" s="510" t="s">
        <v>3147</v>
      </c>
      <c r="X25" s="510" t="s">
        <v>3147</v>
      </c>
      <c r="Y25" s="511">
        <v>44298</v>
      </c>
      <c r="Z25" s="510" t="s">
        <v>3252</v>
      </c>
      <c r="AA25" s="510" t="s">
        <v>3548</v>
      </c>
      <c r="AB25" s="510" t="s">
        <v>3904</v>
      </c>
      <c r="AC25" s="510" t="s">
        <v>2146</v>
      </c>
      <c r="AD25" s="511">
        <v>44316</v>
      </c>
      <c r="AE25" s="515">
        <v>3221.1</v>
      </c>
      <c r="AF25" s="507" t="s">
        <v>3268</v>
      </c>
      <c r="AG25" s="510" t="s">
        <v>3108</v>
      </c>
      <c r="AH25" s="517">
        <v>83872.429999999993</v>
      </c>
      <c r="AI25" s="517">
        <v>3266</v>
      </c>
      <c r="AJ25" s="517">
        <v>4</v>
      </c>
      <c r="AK25" s="517">
        <f t="shared" si="24"/>
        <v>87142.43</v>
      </c>
      <c r="AL25" s="518">
        <v>5.3662000000000001</v>
      </c>
      <c r="AM25" s="519">
        <f t="shared" si="20"/>
        <v>467623.70786599995</v>
      </c>
      <c r="AN25" s="519">
        <v>0</v>
      </c>
      <c r="AO25" s="510">
        <v>5</v>
      </c>
      <c r="AP25" s="519">
        <v>12777.26</v>
      </c>
      <c r="AQ25" s="519">
        <v>48040.06</v>
      </c>
      <c r="AR25" s="519">
        <v>9820.1</v>
      </c>
      <c r="AS25" s="519">
        <v>45125.68</v>
      </c>
      <c r="AT25" s="519">
        <v>118651.32</v>
      </c>
      <c r="AU25" s="519">
        <v>4861.18</v>
      </c>
      <c r="AV25" s="519">
        <v>314.8</v>
      </c>
      <c r="AW25" s="510" t="s">
        <v>3139</v>
      </c>
      <c r="AX25" s="627">
        <f t="shared" si="21"/>
        <v>44319</v>
      </c>
      <c r="AY25" s="519">
        <v>4434.12</v>
      </c>
      <c r="AZ25" s="519">
        <f t="shared" si="7"/>
        <v>701435.5617989999</v>
      </c>
      <c r="BA25" s="521">
        <f t="shared" si="22"/>
        <v>1</v>
      </c>
      <c r="BB25" s="519">
        <f t="shared" si="23"/>
        <v>701435.5617989999</v>
      </c>
      <c r="BC25" s="519">
        <v>525.13</v>
      </c>
      <c r="BD25" s="519">
        <f t="shared" si="5"/>
        <v>-50</v>
      </c>
      <c r="BE25" s="519">
        <f t="shared" si="19"/>
        <v>475.13</v>
      </c>
      <c r="BF25" s="513" t="s">
        <v>1771</v>
      </c>
      <c r="BG25" s="514" t="s">
        <v>1771</v>
      </c>
      <c r="BH25" s="510" t="s">
        <v>1771</v>
      </c>
    </row>
    <row r="26" spans="1:60" s="523" customFormat="1" ht="168">
      <c r="A26" s="538" t="s">
        <v>6071</v>
      </c>
      <c r="B26" s="507" t="s">
        <v>3042</v>
      </c>
      <c r="C26" s="507" t="s">
        <v>3774</v>
      </c>
      <c r="D26" s="508" t="s">
        <v>3853</v>
      </c>
      <c r="E26" s="507" t="s">
        <v>3852</v>
      </c>
      <c r="F26" s="507" t="s">
        <v>4073</v>
      </c>
      <c r="G26" s="509">
        <v>911940639</v>
      </c>
      <c r="H26" s="507" t="s">
        <v>3854</v>
      </c>
      <c r="I26" s="510">
        <v>1</v>
      </c>
      <c r="J26" s="510" t="s">
        <v>1771</v>
      </c>
      <c r="K26" s="507">
        <f>2+5+5+5</f>
        <v>17</v>
      </c>
      <c r="L26" s="507">
        <f>129.5+898.11+470.36+912.56</f>
        <v>2410.5300000000002</v>
      </c>
      <c r="M26" s="511">
        <v>44282</v>
      </c>
      <c r="N26" s="511">
        <v>44282</v>
      </c>
      <c r="O26" s="511">
        <v>44282</v>
      </c>
      <c r="P26" s="511">
        <v>44315</v>
      </c>
      <c r="Q26" s="511">
        <f>P26+5</f>
        <v>44320</v>
      </c>
      <c r="R26" s="512" t="s">
        <v>4072</v>
      </c>
      <c r="S26" s="515" t="s">
        <v>3752</v>
      </c>
      <c r="T26" s="510" t="s">
        <v>3128</v>
      </c>
      <c r="U26" s="516" t="s">
        <v>3031</v>
      </c>
      <c r="V26" s="359">
        <v>44302</v>
      </c>
      <c r="W26" s="510" t="s">
        <v>3261</v>
      </c>
      <c r="X26" s="510" t="s">
        <v>3261</v>
      </c>
      <c r="Y26" s="511">
        <v>44319</v>
      </c>
      <c r="Z26" s="510" t="s">
        <v>3252</v>
      </c>
      <c r="AA26" s="510" t="s">
        <v>3548</v>
      </c>
      <c r="AB26" s="510" t="s">
        <v>3905</v>
      </c>
      <c r="AC26" s="510" t="s">
        <v>2146</v>
      </c>
      <c r="AD26" s="511">
        <v>44319</v>
      </c>
      <c r="AE26" s="515">
        <v>1809.9267</v>
      </c>
      <c r="AF26" s="507" t="s">
        <v>3268</v>
      </c>
      <c r="AG26" s="510" t="s">
        <v>3108</v>
      </c>
      <c r="AH26" s="517">
        <v>64840.93</v>
      </c>
      <c r="AI26" s="517">
        <f>1062.34+637.25+1000.77+305.64</f>
        <v>3005.9999999999995</v>
      </c>
      <c r="AJ26" s="517">
        <v>4</v>
      </c>
      <c r="AK26" s="517">
        <f t="shared" si="24"/>
        <v>67850.929999999993</v>
      </c>
      <c r="AL26" s="518">
        <v>5.4036</v>
      </c>
      <c r="AM26" s="519">
        <f t="shared" si="20"/>
        <v>366639.28534799995</v>
      </c>
      <c r="AN26" s="519">
        <v>0</v>
      </c>
      <c r="AO26" s="510">
        <v>7</v>
      </c>
      <c r="AP26" s="519">
        <v>1938.2</v>
      </c>
      <c r="AQ26" s="519">
        <v>36857.72</v>
      </c>
      <c r="AR26" s="519">
        <v>7699.42</v>
      </c>
      <c r="AS26" s="519">
        <v>35380.699999999997</v>
      </c>
      <c r="AT26" s="519">
        <v>91387.56</v>
      </c>
      <c r="AU26" s="519">
        <v>4313.25</v>
      </c>
      <c r="AV26" s="519">
        <v>350.2</v>
      </c>
      <c r="AW26" s="510" t="s">
        <v>3139</v>
      </c>
      <c r="AX26" s="627">
        <f t="shared" si="21"/>
        <v>44320</v>
      </c>
      <c r="AY26" s="519">
        <v>1472.42</v>
      </c>
      <c r="AZ26" s="519">
        <f t="shared" si="7"/>
        <v>549958.92802199989</v>
      </c>
      <c r="BA26" s="521">
        <f t="shared" si="22"/>
        <v>1</v>
      </c>
      <c r="BB26" s="519">
        <f t="shared" si="23"/>
        <v>549958.92802199989</v>
      </c>
      <c r="BC26" s="519">
        <v>525.13</v>
      </c>
      <c r="BD26" s="519">
        <f t="shared" si="5"/>
        <v>-30</v>
      </c>
      <c r="BE26" s="519">
        <f t="shared" si="19"/>
        <v>495.13</v>
      </c>
      <c r="BF26" s="513" t="s">
        <v>1771</v>
      </c>
      <c r="BG26" s="514" t="s">
        <v>1771</v>
      </c>
      <c r="BH26" s="510" t="s">
        <v>1771</v>
      </c>
    </row>
    <row r="27" spans="1:60" s="523" customFormat="1" ht="144">
      <c r="A27" s="538" t="s">
        <v>6072</v>
      </c>
      <c r="B27" s="507" t="s">
        <v>3042</v>
      </c>
      <c r="C27" s="507" t="s">
        <v>3774</v>
      </c>
      <c r="D27" s="508" t="s">
        <v>3842</v>
      </c>
      <c r="E27" s="507" t="s">
        <v>3841</v>
      </c>
      <c r="F27" s="507" t="s">
        <v>4075</v>
      </c>
      <c r="G27" s="509" t="s">
        <v>3849</v>
      </c>
      <c r="H27" s="507" t="s">
        <v>3848</v>
      </c>
      <c r="I27" s="510">
        <v>1</v>
      </c>
      <c r="J27" s="510" t="s">
        <v>1771</v>
      </c>
      <c r="K27" s="507">
        <f>5+9+8+1</f>
        <v>23</v>
      </c>
      <c r="L27" s="507">
        <f>583.5+1370.5+850.5+55</f>
        <v>2859.5</v>
      </c>
      <c r="M27" s="511">
        <v>44278</v>
      </c>
      <c r="N27" s="511">
        <v>44279</v>
      </c>
      <c r="O27" s="511">
        <v>44279</v>
      </c>
      <c r="P27" s="511">
        <v>44314</v>
      </c>
      <c r="Q27" s="511">
        <v>44321</v>
      </c>
      <c r="R27" s="512" t="s">
        <v>4074</v>
      </c>
      <c r="S27" s="515" t="s">
        <v>3752</v>
      </c>
      <c r="T27" s="510" t="s">
        <v>3128</v>
      </c>
      <c r="U27" s="516" t="s">
        <v>3031</v>
      </c>
      <c r="V27" s="359">
        <v>44309</v>
      </c>
      <c r="W27" s="510" t="s">
        <v>3337</v>
      </c>
      <c r="X27" s="510" t="s">
        <v>3341</v>
      </c>
      <c r="Y27" s="511">
        <v>44316</v>
      </c>
      <c r="Z27" s="510" t="s">
        <v>3252</v>
      </c>
      <c r="AA27" s="510" t="s">
        <v>3548</v>
      </c>
      <c r="AB27" s="510" t="s">
        <v>3909</v>
      </c>
      <c r="AC27" s="510" t="s">
        <v>2146</v>
      </c>
      <c r="AD27" s="511">
        <v>44320</v>
      </c>
      <c r="AE27" s="515">
        <v>2120.9337</v>
      </c>
      <c r="AF27" s="507" t="s">
        <v>3268</v>
      </c>
      <c r="AG27" s="510" t="s">
        <v>3108</v>
      </c>
      <c r="AH27" s="517">
        <v>25462.560000000001</v>
      </c>
      <c r="AI27" s="517">
        <v>3035</v>
      </c>
      <c r="AJ27" s="517">
        <v>4</v>
      </c>
      <c r="AK27" s="517">
        <f t="shared" si="24"/>
        <v>28501.56</v>
      </c>
      <c r="AL27" s="518">
        <v>5.4086999999999996</v>
      </c>
      <c r="AM27" s="519">
        <f t="shared" si="20"/>
        <v>154156.38757200001</v>
      </c>
      <c r="AN27" s="519">
        <v>0</v>
      </c>
      <c r="AO27" s="510">
        <v>5</v>
      </c>
      <c r="AP27" s="519">
        <v>11099.24</v>
      </c>
      <c r="AQ27" s="519">
        <v>16525.53</v>
      </c>
      <c r="AR27" s="519">
        <v>3237.28</v>
      </c>
      <c r="AS27" s="519">
        <v>14876.08</v>
      </c>
      <c r="AT27" s="519">
        <v>41219.230000000003</v>
      </c>
      <c r="AU27" s="519">
        <v>4092.8</v>
      </c>
      <c r="AV27" s="519">
        <v>314.8</v>
      </c>
      <c r="AW27" s="510" t="s">
        <v>3139</v>
      </c>
      <c r="AX27" s="627">
        <f t="shared" si="21"/>
        <v>44321</v>
      </c>
      <c r="AY27" s="519">
        <v>1210.5</v>
      </c>
      <c r="AZ27" s="519">
        <f t="shared" si="7"/>
        <v>231234.581358</v>
      </c>
      <c r="BA27" s="521">
        <f t="shared" si="22"/>
        <v>1</v>
      </c>
      <c r="BB27" s="519">
        <f t="shared" si="23"/>
        <v>231234.581358</v>
      </c>
      <c r="BC27" s="519">
        <v>525.13</v>
      </c>
      <c r="BD27" s="519">
        <f t="shared" si="5"/>
        <v>-50</v>
      </c>
      <c r="BE27" s="519">
        <f t="shared" si="19"/>
        <v>475.13</v>
      </c>
      <c r="BF27" s="513" t="s">
        <v>1771</v>
      </c>
      <c r="BG27" s="514" t="s">
        <v>1771</v>
      </c>
      <c r="BH27" s="510" t="s">
        <v>1771</v>
      </c>
    </row>
    <row r="28" spans="1:60" s="523" customFormat="1" ht="156">
      <c r="A28" s="538" t="s">
        <v>6073</v>
      </c>
      <c r="B28" s="507" t="s">
        <v>3042</v>
      </c>
      <c r="C28" s="507" t="s">
        <v>3774</v>
      </c>
      <c r="D28" s="508" t="s">
        <v>3862</v>
      </c>
      <c r="E28" s="507" t="s">
        <v>3861</v>
      </c>
      <c r="F28" s="507" t="s">
        <v>4077</v>
      </c>
      <c r="G28" s="509">
        <v>209945599</v>
      </c>
      <c r="H28" s="507" t="s">
        <v>3868</v>
      </c>
      <c r="I28" s="510" t="s">
        <v>1771</v>
      </c>
      <c r="J28" s="510">
        <v>1</v>
      </c>
      <c r="K28" s="507">
        <f>5+4+13+25+5+2+2+3</f>
        <v>59</v>
      </c>
      <c r="L28" s="507">
        <f>1125.5+748.5+1621+2574+47.87+117.4+116.2+144.82</f>
        <v>6495.2899999999991</v>
      </c>
      <c r="M28" s="511">
        <v>44292</v>
      </c>
      <c r="N28" s="511">
        <v>44292</v>
      </c>
      <c r="O28" s="511">
        <v>44292</v>
      </c>
      <c r="P28" s="511">
        <v>44322</v>
      </c>
      <c r="Q28" s="511">
        <f>P28+5</f>
        <v>44327</v>
      </c>
      <c r="R28" s="512" t="s">
        <v>4076</v>
      </c>
      <c r="S28" s="515" t="s">
        <v>3752</v>
      </c>
      <c r="T28" s="510" t="s">
        <v>3128</v>
      </c>
      <c r="U28" s="516" t="s">
        <v>3031</v>
      </c>
      <c r="V28" s="359">
        <v>44309</v>
      </c>
      <c r="W28" s="510" t="s">
        <v>3261</v>
      </c>
      <c r="X28" s="510" t="s">
        <v>3261</v>
      </c>
      <c r="Y28" s="511">
        <v>44322</v>
      </c>
      <c r="Z28" s="510" t="s">
        <v>3252</v>
      </c>
      <c r="AA28" s="510" t="s">
        <v>3548</v>
      </c>
      <c r="AB28" s="510" t="s">
        <v>3910</v>
      </c>
      <c r="AC28" s="510" t="s">
        <v>2146</v>
      </c>
      <c r="AD28" s="511">
        <v>44326</v>
      </c>
      <c r="AE28" s="515">
        <v>4583.1377000000002</v>
      </c>
      <c r="AF28" s="507" t="s">
        <v>3857</v>
      </c>
      <c r="AG28" s="510" t="s">
        <v>3108</v>
      </c>
      <c r="AH28" s="517">
        <v>143324.56</v>
      </c>
      <c r="AI28" s="517">
        <f>77.11+87.62+87.62+36.27+1042.54+827.65+593.67+636.52</f>
        <v>3389</v>
      </c>
      <c r="AJ28" s="517">
        <v>8</v>
      </c>
      <c r="AK28" s="517">
        <f t="shared" si="24"/>
        <v>146721.56</v>
      </c>
      <c r="AL28" s="518">
        <v>5.2217000000000002</v>
      </c>
      <c r="AM28" s="519">
        <f t="shared" si="20"/>
        <v>766135.96985200001</v>
      </c>
      <c r="AN28" s="519">
        <v>0</v>
      </c>
      <c r="AO28" s="510">
        <v>13</v>
      </c>
      <c r="AP28" s="519">
        <v>25652.46</v>
      </c>
      <c r="AQ28" s="519">
        <v>80011.78</v>
      </c>
      <c r="AR28" s="519">
        <v>16088.86</v>
      </c>
      <c r="AS28" s="519">
        <v>73932.11</v>
      </c>
      <c r="AT28" s="519">
        <v>191590.82</v>
      </c>
      <c r="AU28" s="519">
        <v>4734.1400000000003</v>
      </c>
      <c r="AV28" s="519">
        <v>438.7</v>
      </c>
      <c r="AW28" s="510" t="s">
        <v>3139</v>
      </c>
      <c r="AX28" s="627">
        <f t="shared" si="21"/>
        <v>44327</v>
      </c>
      <c r="AY28" s="519">
        <v>2520.63</v>
      </c>
      <c r="AZ28" s="519">
        <f t="shared" si="7"/>
        <v>1149203.954778</v>
      </c>
      <c r="BA28" s="521">
        <f t="shared" si="22"/>
        <v>1</v>
      </c>
      <c r="BB28" s="519">
        <f t="shared" si="23"/>
        <v>1149203.954778</v>
      </c>
      <c r="BC28" s="519">
        <v>562.33000000000004</v>
      </c>
      <c r="BD28" s="519">
        <f t="shared" si="5"/>
        <v>30</v>
      </c>
      <c r="BE28" s="519">
        <f t="shared" si="19"/>
        <v>592.33000000000004</v>
      </c>
      <c r="BF28" s="513" t="s">
        <v>1771</v>
      </c>
      <c r="BG28" s="514" t="s">
        <v>1771</v>
      </c>
      <c r="BH28" s="510" t="s">
        <v>1771</v>
      </c>
    </row>
    <row r="29" spans="1:60" s="523" customFormat="1" ht="156">
      <c r="A29" s="538" t="s">
        <v>6074</v>
      </c>
      <c r="B29" s="507" t="s">
        <v>3042</v>
      </c>
      <c r="C29" s="507" t="s">
        <v>3774</v>
      </c>
      <c r="D29" s="508" t="s">
        <v>3834</v>
      </c>
      <c r="E29" s="507" t="s">
        <v>3833</v>
      </c>
      <c r="F29" s="507" t="s">
        <v>4079</v>
      </c>
      <c r="G29" s="509" t="s">
        <v>3836</v>
      </c>
      <c r="H29" s="507" t="s">
        <v>3828</v>
      </c>
      <c r="I29" s="510" t="s">
        <v>1771</v>
      </c>
      <c r="J29" s="510">
        <v>1</v>
      </c>
      <c r="K29" s="507">
        <f>1+1+13+13+13+5+6+2</f>
        <v>54</v>
      </c>
      <c r="L29" s="507">
        <f>0.98+71+1379.5+1386.5+1376.5+425+244.38+34.28</f>
        <v>4918.1399999999994</v>
      </c>
      <c r="M29" s="511">
        <v>44270</v>
      </c>
      <c r="N29" s="511">
        <v>44269</v>
      </c>
      <c r="O29" s="511">
        <v>44269</v>
      </c>
      <c r="P29" s="511">
        <v>44306</v>
      </c>
      <c r="Q29" s="511">
        <v>44328</v>
      </c>
      <c r="R29" s="512" t="s">
        <v>4078</v>
      </c>
      <c r="S29" s="515" t="s">
        <v>3752</v>
      </c>
      <c r="T29" s="510" t="s">
        <v>3128</v>
      </c>
      <c r="U29" s="516" t="s">
        <v>3031</v>
      </c>
      <c r="V29" s="359">
        <v>44295</v>
      </c>
      <c r="W29" s="510" t="s">
        <v>3337</v>
      </c>
      <c r="X29" s="510" t="s">
        <v>3341</v>
      </c>
      <c r="Y29" s="511">
        <v>44322</v>
      </c>
      <c r="Z29" s="510" t="s">
        <v>3252</v>
      </c>
      <c r="AA29" s="510" t="s">
        <v>3548</v>
      </c>
      <c r="AB29" s="510" t="s">
        <v>3911</v>
      </c>
      <c r="AC29" s="510" t="s">
        <v>2146</v>
      </c>
      <c r="AD29" s="511">
        <v>44327</v>
      </c>
      <c r="AE29" s="515">
        <v>3479.65</v>
      </c>
      <c r="AF29" s="507" t="s">
        <v>3835</v>
      </c>
      <c r="AG29" s="510" t="s">
        <v>3108</v>
      </c>
      <c r="AH29" s="517">
        <v>174857.98</v>
      </c>
      <c r="AI29" s="517">
        <f>15.57+146.35+265.57+908.89+909.89+909.89+32.24+0.6</f>
        <v>3188.9999999999995</v>
      </c>
      <c r="AJ29" s="517">
        <v>8</v>
      </c>
      <c r="AK29" s="517">
        <f t="shared" si="24"/>
        <v>178054.98</v>
      </c>
      <c r="AL29" s="518">
        <v>5.2226999999999997</v>
      </c>
      <c r="AM29" s="519">
        <f t="shared" ref="AM29:AM39" si="25">AK29*AL29</f>
        <v>929927.74404599995</v>
      </c>
      <c r="AN29" s="519">
        <v>0</v>
      </c>
      <c r="AO29" s="510">
        <v>11</v>
      </c>
      <c r="AP29" s="519">
        <v>7010.97</v>
      </c>
      <c r="AQ29" s="519">
        <v>94486.97</v>
      </c>
      <c r="AR29" s="519">
        <v>19528.5</v>
      </c>
      <c r="AS29" s="519">
        <v>89737.99</v>
      </c>
      <c r="AT29" s="519">
        <v>229568.1</v>
      </c>
      <c r="AU29" s="519">
        <v>4238.41</v>
      </c>
      <c r="AV29" s="519">
        <v>415.1</v>
      </c>
      <c r="AW29" s="510" t="s">
        <v>3139</v>
      </c>
      <c r="AX29" s="627">
        <f t="shared" ref="AX29:AX39" si="26">Q29</f>
        <v>44328</v>
      </c>
      <c r="AY29" s="519">
        <v>1210.5</v>
      </c>
      <c r="AZ29" s="519">
        <f t="shared" si="7"/>
        <v>1394891.616069</v>
      </c>
      <c r="BA29" s="521">
        <f t="shared" ref="BA29:BA39" si="27">SUM(I29:J29)</f>
        <v>1</v>
      </c>
      <c r="BB29" s="519">
        <f t="shared" ref="BB29:BB39" si="28">AZ29/BA29</f>
        <v>1394891.616069</v>
      </c>
      <c r="BC29" s="519">
        <v>537.53</v>
      </c>
      <c r="BD29" s="519">
        <f t="shared" si="5"/>
        <v>10</v>
      </c>
      <c r="BE29" s="519">
        <f t="shared" si="19"/>
        <v>547.53</v>
      </c>
      <c r="BF29" s="513" t="s">
        <v>1771</v>
      </c>
      <c r="BG29" s="514" t="s">
        <v>1771</v>
      </c>
      <c r="BH29" s="510" t="s">
        <v>1771</v>
      </c>
    </row>
    <row r="30" spans="1:60" s="523" customFormat="1" ht="156">
      <c r="A30" s="538" t="s">
        <v>6075</v>
      </c>
      <c r="B30" s="507" t="s">
        <v>3042</v>
      </c>
      <c r="C30" s="507" t="s">
        <v>3774</v>
      </c>
      <c r="D30" s="508" t="s">
        <v>3831</v>
      </c>
      <c r="E30" s="507" t="s">
        <v>3830</v>
      </c>
      <c r="F30" s="507" t="s">
        <v>4081</v>
      </c>
      <c r="G30" s="509" t="s">
        <v>3832</v>
      </c>
      <c r="H30" s="507" t="s">
        <v>3828</v>
      </c>
      <c r="I30" s="510" t="s">
        <v>1771</v>
      </c>
      <c r="J30" s="510">
        <v>1</v>
      </c>
      <c r="K30" s="507">
        <f>3+1+24+13+13+2+1</f>
        <v>57</v>
      </c>
      <c r="L30" s="507">
        <f>178.5+10.2+2407.5+1604+1584+121.4+78.2</f>
        <v>5983.7999999999993</v>
      </c>
      <c r="M30" s="511">
        <v>44270</v>
      </c>
      <c r="N30" s="511">
        <v>44270</v>
      </c>
      <c r="O30" s="511">
        <v>44270</v>
      </c>
      <c r="P30" s="511">
        <v>44306</v>
      </c>
      <c r="Q30" s="511">
        <v>44328</v>
      </c>
      <c r="R30" s="512" t="s">
        <v>4080</v>
      </c>
      <c r="S30" s="515" t="s">
        <v>3752</v>
      </c>
      <c r="T30" s="510" t="s">
        <v>3128</v>
      </c>
      <c r="U30" s="516" t="s">
        <v>3031</v>
      </c>
      <c r="V30" s="359">
        <v>44299</v>
      </c>
      <c r="W30" s="510" t="s">
        <v>3337</v>
      </c>
      <c r="X30" s="510" t="s">
        <v>3341</v>
      </c>
      <c r="Y30" s="511">
        <v>44322</v>
      </c>
      <c r="Z30" s="510" t="s">
        <v>3252</v>
      </c>
      <c r="AA30" s="510" t="s">
        <v>3548</v>
      </c>
      <c r="AB30" s="510" t="s">
        <v>3912</v>
      </c>
      <c r="AC30" s="510" t="s">
        <v>2146</v>
      </c>
      <c r="AD30" s="511">
        <v>44327</v>
      </c>
      <c r="AE30" s="515">
        <v>4221.6100100000003</v>
      </c>
      <c r="AF30" s="507" t="s">
        <v>3777</v>
      </c>
      <c r="AG30" s="510" t="s">
        <v>3108</v>
      </c>
      <c r="AH30" s="517">
        <v>73015.94</v>
      </c>
      <c r="AI30" s="517">
        <f>53.42+77.82+874.32+873.97+1199.95+4.51+105.01</f>
        <v>3189.0000000000009</v>
      </c>
      <c r="AJ30" s="517">
        <v>7</v>
      </c>
      <c r="AK30" s="517">
        <f t="shared" si="24"/>
        <v>76211.94</v>
      </c>
      <c r="AL30" s="518">
        <v>5.2226999999999997</v>
      </c>
      <c r="AM30" s="519">
        <f t="shared" si="25"/>
        <v>398032.09903799999</v>
      </c>
      <c r="AN30" s="519">
        <v>0</v>
      </c>
      <c r="AO30" s="510">
        <v>12</v>
      </c>
      <c r="AP30" s="519">
        <v>31620.36</v>
      </c>
      <c r="AQ30" s="519">
        <v>45948.83</v>
      </c>
      <c r="AR30" s="519">
        <v>8358.67</v>
      </c>
      <c r="AS30" s="519">
        <v>38410.050000000003</v>
      </c>
      <c r="AT30" s="519">
        <v>101204.13</v>
      </c>
      <c r="AU30" s="519">
        <v>4238.41</v>
      </c>
      <c r="AV30" s="519">
        <v>426.9</v>
      </c>
      <c r="AW30" s="510" t="s">
        <v>3139</v>
      </c>
      <c r="AX30" s="627">
        <f t="shared" si="26"/>
        <v>44328</v>
      </c>
      <c r="AY30" s="519">
        <v>1210.5</v>
      </c>
      <c r="AZ30" s="519">
        <f t="shared" si="7"/>
        <v>597048.14855699998</v>
      </c>
      <c r="BA30" s="521">
        <f t="shared" si="27"/>
        <v>1</v>
      </c>
      <c r="BB30" s="519">
        <f t="shared" si="28"/>
        <v>597048.14855699998</v>
      </c>
      <c r="BC30" s="519">
        <v>549.92999999999995</v>
      </c>
      <c r="BD30" s="519">
        <f t="shared" si="5"/>
        <v>20</v>
      </c>
      <c r="BE30" s="519">
        <f t="shared" si="19"/>
        <v>569.92999999999995</v>
      </c>
      <c r="BF30" s="513" t="s">
        <v>1771</v>
      </c>
      <c r="BG30" s="514" t="s">
        <v>1771</v>
      </c>
      <c r="BH30" s="510" t="s">
        <v>1771</v>
      </c>
    </row>
    <row r="31" spans="1:60" s="523" customFormat="1" ht="144">
      <c r="A31" s="538" t="s">
        <v>6076</v>
      </c>
      <c r="B31" s="507" t="s">
        <v>3042</v>
      </c>
      <c r="C31" s="507" t="s">
        <v>3774</v>
      </c>
      <c r="D31" s="508" t="s">
        <v>3864</v>
      </c>
      <c r="E31" s="507" t="s">
        <v>3863</v>
      </c>
      <c r="F31" s="507" t="s">
        <v>4024</v>
      </c>
      <c r="G31" s="509" t="s">
        <v>3866</v>
      </c>
      <c r="H31" s="507" t="s">
        <v>3859</v>
      </c>
      <c r="I31" s="510" t="s">
        <v>1771</v>
      </c>
      <c r="J31" s="510">
        <v>1</v>
      </c>
      <c r="K31" s="507">
        <f>4+1+1+30+5+8+5+8+7+4</f>
        <v>73</v>
      </c>
      <c r="L31" s="507">
        <f>191.74+33+0.92+4094.26+1087.5+852.5+474.5+847+378+15.8</f>
        <v>7975.22</v>
      </c>
      <c r="M31" s="511">
        <v>44291</v>
      </c>
      <c r="N31" s="511">
        <v>44289</v>
      </c>
      <c r="O31" s="511">
        <v>44289</v>
      </c>
      <c r="P31" s="511">
        <v>44322</v>
      </c>
      <c r="Q31" s="511">
        <v>44328</v>
      </c>
      <c r="R31" s="512" t="s">
        <v>4023</v>
      </c>
      <c r="S31" s="515" t="s">
        <v>3752</v>
      </c>
      <c r="T31" s="510" t="s">
        <v>3128</v>
      </c>
      <c r="U31" s="516" t="s">
        <v>3031</v>
      </c>
      <c r="V31" s="359">
        <v>44313</v>
      </c>
      <c r="W31" s="510" t="s">
        <v>3337</v>
      </c>
      <c r="X31" s="510" t="s">
        <v>3341</v>
      </c>
      <c r="Y31" s="511">
        <v>44326</v>
      </c>
      <c r="Z31" s="510" t="s">
        <v>3252</v>
      </c>
      <c r="AA31" s="510" t="s">
        <v>3548</v>
      </c>
      <c r="AB31" s="510" t="s">
        <v>3914</v>
      </c>
      <c r="AC31" s="510" t="s">
        <v>2146</v>
      </c>
      <c r="AD31" s="511">
        <v>44327</v>
      </c>
      <c r="AE31" s="515">
        <v>6199.1554999999998</v>
      </c>
      <c r="AF31" s="507" t="s">
        <v>3865</v>
      </c>
      <c r="AG31" s="510" t="s">
        <v>3108</v>
      </c>
      <c r="AH31" s="517">
        <v>113254.04</v>
      </c>
      <c r="AI31" s="517">
        <f>6.28+200.04+517.52+220.3+517.52+432.13+1308.89+0.53+13.11+95.68</f>
        <v>3312.0000000000005</v>
      </c>
      <c r="AJ31" s="517">
        <v>10</v>
      </c>
      <c r="AK31" s="517">
        <f t="shared" si="24"/>
        <v>116576.04</v>
      </c>
      <c r="AL31" s="518">
        <v>5.2226999999999997</v>
      </c>
      <c r="AM31" s="519">
        <f t="shared" si="25"/>
        <v>608841.6841079999</v>
      </c>
      <c r="AN31" s="519">
        <v>0</v>
      </c>
      <c r="AO31" s="510">
        <v>14</v>
      </c>
      <c r="AP31" s="519">
        <v>25797.89</v>
      </c>
      <c r="AQ31" s="519">
        <v>63538.559999999998</v>
      </c>
      <c r="AR31" s="519">
        <v>12785.67</v>
      </c>
      <c r="AS31" s="524">
        <v>58753.21</v>
      </c>
      <c r="AT31" s="519">
        <v>156067.51</v>
      </c>
      <c r="AU31" s="519">
        <v>4345.59</v>
      </c>
      <c r="AV31" s="519">
        <v>450.5</v>
      </c>
      <c r="AW31" s="510" t="s">
        <v>3139</v>
      </c>
      <c r="AX31" s="627">
        <f t="shared" si="26"/>
        <v>44328</v>
      </c>
      <c r="AY31" s="519">
        <v>1238.53</v>
      </c>
      <c r="AZ31" s="519">
        <f t="shared" si="7"/>
        <v>913262.52616199991</v>
      </c>
      <c r="BA31" s="521">
        <f t="shared" si="27"/>
        <v>1</v>
      </c>
      <c r="BB31" s="519">
        <f t="shared" si="28"/>
        <v>913262.52616199991</v>
      </c>
      <c r="BC31" s="519">
        <v>574.73</v>
      </c>
      <c r="BD31" s="519">
        <f t="shared" si="5"/>
        <v>40</v>
      </c>
      <c r="BE31" s="519">
        <f t="shared" si="19"/>
        <v>614.73</v>
      </c>
      <c r="BF31" s="513" t="s">
        <v>1771</v>
      </c>
      <c r="BG31" s="514" t="s">
        <v>1771</v>
      </c>
      <c r="BH31" s="510" t="s">
        <v>1771</v>
      </c>
    </row>
    <row r="32" spans="1:60" s="523" customFormat="1" ht="144">
      <c r="A32" s="538" t="s">
        <v>6077</v>
      </c>
      <c r="B32" s="507" t="s">
        <v>3042</v>
      </c>
      <c r="C32" s="507" t="s">
        <v>3774</v>
      </c>
      <c r="D32" s="508" t="s">
        <v>3856</v>
      </c>
      <c r="E32" s="507" t="s">
        <v>3855</v>
      </c>
      <c r="F32" s="507" t="s">
        <v>4026</v>
      </c>
      <c r="G32" s="509" t="s">
        <v>3858</v>
      </c>
      <c r="H32" s="507" t="s">
        <v>3859</v>
      </c>
      <c r="I32" s="510" t="s">
        <v>1771</v>
      </c>
      <c r="J32" s="510">
        <v>1</v>
      </c>
      <c r="K32" s="507">
        <f>1+2+2+5+5+5+8+8+8+3+2+1</f>
        <v>50</v>
      </c>
      <c r="L32" s="507">
        <f>99.5+100.5+385+1127.5+1145.5+1136+843.5+838+846+456.5+118.4+59.2</f>
        <v>7155.5999999999995</v>
      </c>
      <c r="M32" s="511">
        <v>44286</v>
      </c>
      <c r="N32" s="511">
        <v>44286</v>
      </c>
      <c r="O32" s="511">
        <v>44286</v>
      </c>
      <c r="P32" s="511">
        <v>44322</v>
      </c>
      <c r="Q32" s="511">
        <v>44329</v>
      </c>
      <c r="R32" s="512" t="s">
        <v>4025</v>
      </c>
      <c r="S32" s="515" t="s">
        <v>3752</v>
      </c>
      <c r="T32" s="510" t="s">
        <v>3128</v>
      </c>
      <c r="U32" s="516" t="s">
        <v>3031</v>
      </c>
      <c r="V32" s="359">
        <v>44320</v>
      </c>
      <c r="W32" s="510" t="s">
        <v>3337</v>
      </c>
      <c r="X32" s="510" t="s">
        <v>3341</v>
      </c>
      <c r="Y32" s="511">
        <v>44327</v>
      </c>
      <c r="Z32" s="510" t="s">
        <v>3252</v>
      </c>
      <c r="AA32" s="510" t="s">
        <v>3548</v>
      </c>
      <c r="AB32" s="510" t="s">
        <v>3915</v>
      </c>
      <c r="AC32" s="510" t="s">
        <v>2146</v>
      </c>
      <c r="AD32" s="511">
        <v>44327</v>
      </c>
      <c r="AE32" s="515">
        <v>4841.7800999999999</v>
      </c>
      <c r="AF32" s="507" t="s">
        <v>3857</v>
      </c>
      <c r="AG32" s="510" t="s">
        <v>3108</v>
      </c>
      <c r="AH32" s="517">
        <v>201619.85</v>
      </c>
      <c r="AI32" s="517">
        <f>37.05+74.1+192.2+548.35+548.35+548.35+372.29+372.29+372.72+162.1+42.31+41.89</f>
        <v>3311.9999999999995</v>
      </c>
      <c r="AJ32" s="517">
        <v>12</v>
      </c>
      <c r="AK32" s="517">
        <f t="shared" si="24"/>
        <v>204943.85</v>
      </c>
      <c r="AL32" s="518">
        <v>5.2226999999999997</v>
      </c>
      <c r="AM32" s="519">
        <f t="shared" si="25"/>
        <v>1070360.2453949999</v>
      </c>
      <c r="AN32" s="519">
        <v>0</v>
      </c>
      <c r="AO32" s="510">
        <v>9</v>
      </c>
      <c r="AP32" s="519">
        <v>14112.12</v>
      </c>
      <c r="AQ32" s="519">
        <v>108447.16</v>
      </c>
      <c r="AR32" s="519">
        <v>22477.57</v>
      </c>
      <c r="AS32" s="519">
        <v>103289.75</v>
      </c>
      <c r="AT32" s="519">
        <v>266700.88</v>
      </c>
      <c r="AU32" s="519">
        <v>4345.59</v>
      </c>
      <c r="AV32" s="519">
        <v>385.6</v>
      </c>
      <c r="AW32" s="510" t="s">
        <v>3139</v>
      </c>
      <c r="AX32" s="627">
        <f t="shared" si="26"/>
        <v>44329</v>
      </c>
      <c r="AY32" s="519">
        <v>1210.5</v>
      </c>
      <c r="AZ32" s="519">
        <f t="shared" si="7"/>
        <v>1605540.3680924997</v>
      </c>
      <c r="BA32" s="521">
        <f t="shared" si="27"/>
        <v>1</v>
      </c>
      <c r="BB32" s="519">
        <f t="shared" si="28"/>
        <v>1605540.3680924997</v>
      </c>
      <c r="BC32" s="519">
        <v>525.13</v>
      </c>
      <c r="BD32" s="519">
        <f t="shared" si="5"/>
        <v>-10</v>
      </c>
      <c r="BE32" s="519">
        <f t="shared" si="19"/>
        <v>515.13</v>
      </c>
      <c r="BF32" s="513" t="s">
        <v>1771</v>
      </c>
      <c r="BG32" s="514" t="s">
        <v>1771</v>
      </c>
      <c r="BH32" s="510" t="s">
        <v>1771</v>
      </c>
    </row>
    <row r="33" spans="1:61" s="523" customFormat="1" ht="180">
      <c r="A33" s="538" t="s">
        <v>6078</v>
      </c>
      <c r="B33" s="507" t="s">
        <v>3042</v>
      </c>
      <c r="C33" s="507" t="s">
        <v>3774</v>
      </c>
      <c r="D33" s="508" t="s">
        <v>3826</v>
      </c>
      <c r="E33" s="507" t="s">
        <v>3825</v>
      </c>
      <c r="F33" s="507" t="s">
        <v>4028</v>
      </c>
      <c r="G33" s="509" t="s">
        <v>3829</v>
      </c>
      <c r="H33" s="507" t="s">
        <v>3828</v>
      </c>
      <c r="I33" s="510" t="s">
        <v>1771</v>
      </c>
      <c r="J33" s="510">
        <v>2</v>
      </c>
      <c r="K33" s="507">
        <f>1+13+13+5+5+10+8+5+5+13+7+5+8+5+5</f>
        <v>108</v>
      </c>
      <c r="L33" s="507">
        <f>1.02+1615+1622+909.84+934.21+1236.5+822+774.29+778.22+1618.5+882.5+923.96+851.5+932.64+928.5</f>
        <v>14830.68</v>
      </c>
      <c r="M33" s="511">
        <v>44265</v>
      </c>
      <c r="N33" s="511">
        <v>44266</v>
      </c>
      <c r="O33" s="511">
        <v>44266</v>
      </c>
      <c r="P33" s="511">
        <v>44306</v>
      </c>
      <c r="Q33" s="511">
        <v>44329</v>
      </c>
      <c r="R33" s="512" t="s">
        <v>4027</v>
      </c>
      <c r="S33" s="515" t="s">
        <v>3752</v>
      </c>
      <c r="T33" s="510" t="s">
        <v>3128</v>
      </c>
      <c r="U33" s="516" t="s">
        <v>3031</v>
      </c>
      <c r="V33" s="359">
        <v>44295</v>
      </c>
      <c r="W33" s="510" t="s">
        <v>3337</v>
      </c>
      <c r="X33" s="510" t="s">
        <v>3341</v>
      </c>
      <c r="Y33" s="511">
        <v>44323</v>
      </c>
      <c r="Z33" s="510" t="s">
        <v>3252</v>
      </c>
      <c r="AA33" s="510" t="s">
        <v>3548</v>
      </c>
      <c r="AB33" s="510" t="s">
        <v>3913</v>
      </c>
      <c r="AC33" s="510" t="s">
        <v>2146</v>
      </c>
      <c r="AD33" s="511">
        <v>44327</v>
      </c>
      <c r="AE33" s="515">
        <v>10746.659799999999</v>
      </c>
      <c r="AF33" s="507" t="s">
        <v>3486</v>
      </c>
      <c r="AG33" s="510" t="s">
        <v>3108</v>
      </c>
      <c r="AH33" s="517">
        <v>347492.1</v>
      </c>
      <c r="AI33" s="517">
        <f>314.1+315.5+440.59+312.56+418.29+834+281.55+281.55+440.59+448.44+316.03+307.79+833.34+833.2+0.47</f>
        <v>6378.0000000000009</v>
      </c>
      <c r="AJ33" s="517">
        <v>15</v>
      </c>
      <c r="AK33" s="517">
        <f t="shared" ref="AK33:AK39" si="29">SUM(AH33:AJ33)</f>
        <v>353885.1</v>
      </c>
      <c r="AL33" s="518">
        <v>5.2226999999999997</v>
      </c>
      <c r="AM33" s="519">
        <f t="shared" si="25"/>
        <v>1848235.7117699997</v>
      </c>
      <c r="AN33" s="519">
        <v>0</v>
      </c>
      <c r="AO33" s="510">
        <v>10</v>
      </c>
      <c r="AP33" s="519">
        <v>31260.3</v>
      </c>
      <c r="AQ33" s="519">
        <v>187949.53</v>
      </c>
      <c r="AR33" s="519">
        <v>38812.94</v>
      </c>
      <c r="AS33" s="519">
        <v>178354.73</v>
      </c>
      <c r="AT33" s="519">
        <v>462187.84</v>
      </c>
      <c r="AU33" s="519">
        <v>8455.6200000000008</v>
      </c>
      <c r="AV33" s="519">
        <v>403.3</v>
      </c>
      <c r="AW33" s="510" t="s">
        <v>3139</v>
      </c>
      <c r="AX33" s="627">
        <f t="shared" si="26"/>
        <v>44329</v>
      </c>
      <c r="AY33" s="519">
        <v>2423</v>
      </c>
      <c r="AZ33" s="519">
        <f t="shared" si="7"/>
        <v>2772353.5676549994</v>
      </c>
      <c r="BA33" s="521">
        <f t="shared" si="27"/>
        <v>2</v>
      </c>
      <c r="BB33" s="519">
        <f t="shared" si="28"/>
        <v>1386176.7838274997</v>
      </c>
      <c r="BC33" s="519">
        <v>525.13</v>
      </c>
      <c r="BD33" s="519">
        <f t="shared" si="5"/>
        <v>0</v>
      </c>
      <c r="BE33" s="519">
        <f t="shared" si="19"/>
        <v>525.13</v>
      </c>
      <c r="BF33" s="513" t="s">
        <v>1771</v>
      </c>
      <c r="BG33" s="514" t="s">
        <v>1771</v>
      </c>
      <c r="BH33" s="510" t="s">
        <v>1771</v>
      </c>
    </row>
    <row r="34" spans="1:61" s="523" customFormat="1" ht="216">
      <c r="A34" s="538" t="s">
        <v>6079</v>
      </c>
      <c r="B34" s="507" t="s">
        <v>3042</v>
      </c>
      <c r="C34" s="507" t="s">
        <v>3774</v>
      </c>
      <c r="D34" s="508" t="s">
        <v>3882</v>
      </c>
      <c r="E34" s="507" t="s">
        <v>3880</v>
      </c>
      <c r="F34" s="507" t="s">
        <v>4030</v>
      </c>
      <c r="G34" s="509" t="s">
        <v>3884</v>
      </c>
      <c r="H34" s="507" t="s">
        <v>3883</v>
      </c>
      <c r="I34" s="510" t="s">
        <v>1771</v>
      </c>
      <c r="J34" s="510">
        <v>2</v>
      </c>
      <c r="K34" s="507">
        <f>3+5+8+8+8+8+13+3+3+13+8+3+3+5+8+8+5+8</f>
        <v>120</v>
      </c>
      <c r="L34" s="507">
        <f>89.5+421.36+836.5+849+855+846.5+1617+43.7+131.36+163.59+835.5+92+274+808.5+844+846+789+871</f>
        <v>11213.51</v>
      </c>
      <c r="M34" s="511">
        <v>44301</v>
      </c>
      <c r="N34" s="511">
        <v>44302</v>
      </c>
      <c r="O34" s="511">
        <v>44302</v>
      </c>
      <c r="P34" s="511">
        <v>44337</v>
      </c>
      <c r="Q34" s="511">
        <f>P34+5</f>
        <v>44342</v>
      </c>
      <c r="R34" s="512" t="s">
        <v>4029</v>
      </c>
      <c r="S34" s="515" t="s">
        <v>3752</v>
      </c>
      <c r="T34" s="510" t="s">
        <v>3128</v>
      </c>
      <c r="U34" s="516" t="s">
        <v>3031</v>
      </c>
      <c r="V34" s="359">
        <v>44327</v>
      </c>
      <c r="W34" s="510" t="s">
        <v>3337</v>
      </c>
      <c r="X34" s="510" t="s">
        <v>3406</v>
      </c>
      <c r="Y34" s="511">
        <v>44340</v>
      </c>
      <c r="Z34" s="510" t="s">
        <v>3252</v>
      </c>
      <c r="AA34" s="510" t="s">
        <v>3542</v>
      </c>
      <c r="AB34" s="510" t="s">
        <v>3935</v>
      </c>
      <c r="AC34" s="510" t="s">
        <v>2146</v>
      </c>
      <c r="AD34" s="511">
        <v>44340</v>
      </c>
      <c r="AE34" s="515">
        <v>7893.1719999999996</v>
      </c>
      <c r="AF34" s="507" t="s">
        <v>3881</v>
      </c>
      <c r="AG34" s="510" t="s">
        <v>3108</v>
      </c>
      <c r="AH34" s="517">
        <v>450906.47</v>
      </c>
      <c r="AI34" s="517">
        <v>6624</v>
      </c>
      <c r="AJ34" s="517">
        <v>18</v>
      </c>
      <c r="AK34" s="517">
        <f t="shared" si="29"/>
        <v>457548.47</v>
      </c>
      <c r="AL34" s="518">
        <v>5.3026999999999997</v>
      </c>
      <c r="AM34" s="519">
        <f t="shared" si="25"/>
        <v>2426242.2718689996</v>
      </c>
      <c r="AN34" s="519">
        <v>0</v>
      </c>
      <c r="AO34" s="510">
        <v>14</v>
      </c>
      <c r="AP34" s="519">
        <v>288724.53999999998</v>
      </c>
      <c r="AQ34" s="519">
        <v>367252.49</v>
      </c>
      <c r="AR34" s="519">
        <v>50951.08</v>
      </c>
      <c r="AS34" s="519">
        <v>234132.4</v>
      </c>
      <c r="AT34" s="519">
        <v>643049.02</v>
      </c>
      <c r="AU34" s="519">
        <v>8802.4699999999993</v>
      </c>
      <c r="AV34" s="519">
        <v>450.5</v>
      </c>
      <c r="AW34" s="510" t="s">
        <v>3139</v>
      </c>
      <c r="AX34" s="627">
        <f t="shared" si="26"/>
        <v>44342</v>
      </c>
      <c r="AY34" s="519">
        <v>2421</v>
      </c>
      <c r="AZ34" s="519">
        <f t="shared" si="7"/>
        <v>3639363.4078034991</v>
      </c>
      <c r="BA34" s="521">
        <f t="shared" si="27"/>
        <v>2</v>
      </c>
      <c r="BB34" s="519">
        <f t="shared" si="28"/>
        <v>1819681.7039017496</v>
      </c>
      <c r="BC34" s="519">
        <v>574.73</v>
      </c>
      <c r="BD34" s="519">
        <f t="shared" si="5"/>
        <v>40</v>
      </c>
      <c r="BE34" s="519">
        <f t="shared" si="19"/>
        <v>614.73</v>
      </c>
      <c r="BF34" s="513" t="s">
        <v>1771</v>
      </c>
      <c r="BG34" s="514" t="s">
        <v>1771</v>
      </c>
      <c r="BH34" s="510" t="s">
        <v>1771</v>
      </c>
    </row>
    <row r="35" spans="1:61" s="523" customFormat="1" ht="396">
      <c r="A35" s="538" t="s">
        <v>6080</v>
      </c>
      <c r="B35" s="507" t="s">
        <v>3042</v>
      </c>
      <c r="C35" s="507" t="s">
        <v>3774</v>
      </c>
      <c r="D35" s="508" t="s">
        <v>3889</v>
      </c>
      <c r="E35" s="507" t="s">
        <v>3888</v>
      </c>
      <c r="F35" s="507" t="s">
        <v>4034</v>
      </c>
      <c r="G35" s="509" t="s">
        <v>3891</v>
      </c>
      <c r="H35" s="507" t="s">
        <v>3883</v>
      </c>
      <c r="I35" s="510" t="s">
        <v>1771</v>
      </c>
      <c r="J35" s="510">
        <v>3</v>
      </c>
      <c r="K35" s="507">
        <f>8+5+5+5+8+2+13+8+1+4+4+4+1+2+13+8+3+1+1+2+8+4+8+5+1+11+1+2+2+5+8+2+8</f>
        <v>163</v>
      </c>
      <c r="L35" s="507">
        <f>826+928.5+789+777+835+63+1617+146.41+2.04+24.12+24.07+394.5+13.97+135+1445.3+1173.5+290.14+125.5+81+372.5+843.5+185.16+857+780+39.74+1329.5+31.5+79.5+79+775+867.5+385.5+820</f>
        <v>17136.449999999997</v>
      </c>
      <c r="M35" s="511">
        <v>44305</v>
      </c>
      <c r="N35" s="511">
        <v>44305</v>
      </c>
      <c r="O35" s="511">
        <v>44305</v>
      </c>
      <c r="P35" s="511">
        <v>44337</v>
      </c>
      <c r="Q35" s="511">
        <f>P35+5</f>
        <v>44342</v>
      </c>
      <c r="R35" s="512" t="s">
        <v>4033</v>
      </c>
      <c r="S35" s="515" t="s">
        <v>3752</v>
      </c>
      <c r="T35" s="510" t="s">
        <v>3128</v>
      </c>
      <c r="U35" s="516" t="s">
        <v>3031</v>
      </c>
      <c r="V35" s="359">
        <v>44334</v>
      </c>
      <c r="W35" s="510" t="s">
        <v>3337</v>
      </c>
      <c r="X35" s="510" t="s">
        <v>3406</v>
      </c>
      <c r="Y35" s="511">
        <v>44340</v>
      </c>
      <c r="Z35" s="510" t="s">
        <v>3252</v>
      </c>
      <c r="AA35" s="510" t="s">
        <v>3542</v>
      </c>
      <c r="AB35" s="510" t="s">
        <v>3936</v>
      </c>
      <c r="AC35" s="510" t="s">
        <v>2146</v>
      </c>
      <c r="AD35" s="511">
        <v>44340</v>
      </c>
      <c r="AE35" s="515">
        <v>12925.383099999999</v>
      </c>
      <c r="AF35" s="507" t="s">
        <v>3890</v>
      </c>
      <c r="AG35" s="510" t="s">
        <v>3108</v>
      </c>
      <c r="AH35" s="517">
        <v>295913.19</v>
      </c>
      <c r="AI35" s="517">
        <v>9936</v>
      </c>
      <c r="AJ35" s="517">
        <v>33</v>
      </c>
      <c r="AK35" s="517">
        <f t="shared" si="29"/>
        <v>305882.19</v>
      </c>
      <c r="AL35" s="518">
        <v>5.3026999999999997</v>
      </c>
      <c r="AM35" s="519">
        <f t="shared" si="25"/>
        <v>1622001.4889129999</v>
      </c>
      <c r="AN35" s="519">
        <v>0</v>
      </c>
      <c r="AO35" s="510">
        <v>24</v>
      </c>
      <c r="AP35" s="519">
        <v>66913.23</v>
      </c>
      <c r="AQ35" s="519">
        <v>181376.66</v>
      </c>
      <c r="AR35" s="519">
        <v>34062.04</v>
      </c>
      <c r="AS35" s="519">
        <v>156523.12</v>
      </c>
      <c r="AT35" s="519">
        <v>399474.67</v>
      </c>
      <c r="AU35" s="519">
        <v>13193.1</v>
      </c>
      <c r="AV35" s="519">
        <v>544.9</v>
      </c>
      <c r="AW35" s="510" t="s">
        <v>3139</v>
      </c>
      <c r="AX35" s="627">
        <f t="shared" si="26"/>
        <v>44342</v>
      </c>
      <c r="AY35" s="519">
        <v>3631.5</v>
      </c>
      <c r="AZ35" s="519">
        <f t="shared" si="7"/>
        <v>2433002.2333694999</v>
      </c>
      <c r="BA35" s="521">
        <f t="shared" si="27"/>
        <v>3</v>
      </c>
      <c r="BB35" s="519">
        <f t="shared" si="28"/>
        <v>811000.74445649993</v>
      </c>
      <c r="BC35" s="519">
        <v>698.73</v>
      </c>
      <c r="BD35" s="519">
        <f t="shared" si="5"/>
        <v>140</v>
      </c>
      <c r="BE35" s="519">
        <f t="shared" si="19"/>
        <v>838.73</v>
      </c>
      <c r="BF35" s="513" t="s">
        <v>1771</v>
      </c>
      <c r="BG35" s="514" t="s">
        <v>1771</v>
      </c>
      <c r="BH35" s="510" t="s">
        <v>1771</v>
      </c>
    </row>
    <row r="36" spans="1:61" s="523" customFormat="1" ht="288">
      <c r="A36" s="538" t="s">
        <v>6081</v>
      </c>
      <c r="B36" s="507" t="s">
        <v>3042</v>
      </c>
      <c r="C36" s="507" t="s">
        <v>3774</v>
      </c>
      <c r="D36" s="508" t="s">
        <v>3878</v>
      </c>
      <c r="E36" s="507" t="s">
        <v>3876</v>
      </c>
      <c r="F36" s="507" t="s">
        <v>4032</v>
      </c>
      <c r="G36" s="509" t="s">
        <v>3877</v>
      </c>
      <c r="H36" s="507" t="s">
        <v>3874</v>
      </c>
      <c r="I36" s="510" t="s">
        <v>1771</v>
      </c>
      <c r="J36" s="510">
        <v>3</v>
      </c>
      <c r="K36" s="507">
        <f>5+13+13+13+1+3+2+17+1+2+8+5+5+8+5+8+27+7+1+12+1+5+8+1</f>
        <v>171</v>
      </c>
      <c r="L36" s="507">
        <f>1129.5+1377.5+1618+1376.5+5.74+12.9+209.55+1753.8+38+37.5+847+1104.5+1129.5+839+413.5+839+3084+845.5+79+1374+140+790.5+850.5+0.9</f>
        <v>19895.89</v>
      </c>
      <c r="M36" s="511">
        <v>44298</v>
      </c>
      <c r="N36" s="511">
        <v>44297</v>
      </c>
      <c r="O36" s="511">
        <v>44297</v>
      </c>
      <c r="P36" s="511">
        <v>44337</v>
      </c>
      <c r="Q36" s="511">
        <f>P36+5</f>
        <v>44342</v>
      </c>
      <c r="R36" s="512" t="s">
        <v>4031</v>
      </c>
      <c r="S36" s="515" t="s">
        <v>3752</v>
      </c>
      <c r="T36" s="510" t="s">
        <v>3128</v>
      </c>
      <c r="U36" s="516" t="s">
        <v>3031</v>
      </c>
      <c r="V36" s="359">
        <v>44320</v>
      </c>
      <c r="W36" s="510" t="s">
        <v>3337</v>
      </c>
      <c r="X36" s="510" t="s">
        <v>3406</v>
      </c>
      <c r="Y36" s="511">
        <v>44340</v>
      </c>
      <c r="Z36" s="510" t="s">
        <v>3252</v>
      </c>
      <c r="AA36" s="510" t="s">
        <v>3542</v>
      </c>
      <c r="AB36" s="510" t="s">
        <v>3937</v>
      </c>
      <c r="AC36" s="510" t="s">
        <v>2146</v>
      </c>
      <c r="AD36" s="511">
        <v>44340</v>
      </c>
      <c r="AE36" s="515">
        <v>14777.8428</v>
      </c>
      <c r="AF36" s="507" t="s">
        <v>3879</v>
      </c>
      <c r="AG36" s="510" t="s">
        <v>3108</v>
      </c>
      <c r="AH36" s="517">
        <v>389955.5</v>
      </c>
      <c r="AI36" s="517">
        <v>9936</v>
      </c>
      <c r="AJ36" s="517">
        <v>24</v>
      </c>
      <c r="AK36" s="517">
        <f t="shared" si="29"/>
        <v>399915.5</v>
      </c>
      <c r="AL36" s="518">
        <v>5.3026999999999997</v>
      </c>
      <c r="AM36" s="519">
        <f t="shared" si="25"/>
        <v>2120631.92185</v>
      </c>
      <c r="AN36" s="519">
        <v>0</v>
      </c>
      <c r="AO36" s="510">
        <v>20</v>
      </c>
      <c r="AP36" s="519">
        <v>43883.65</v>
      </c>
      <c r="AQ36" s="519">
        <v>217699.29</v>
      </c>
      <c r="AR36" s="519">
        <v>44533.279999999999</v>
      </c>
      <c r="AS36" s="519">
        <v>204641.04</v>
      </c>
      <c r="AT36" s="519">
        <v>530049.85</v>
      </c>
      <c r="AU36" s="519">
        <v>13193.1</v>
      </c>
      <c r="AV36" s="519">
        <v>521.29999999999995</v>
      </c>
      <c r="AW36" s="510" t="s">
        <v>3139</v>
      </c>
      <c r="AX36" s="627">
        <f t="shared" si="26"/>
        <v>44342</v>
      </c>
      <c r="AY36" s="519">
        <v>3633.5</v>
      </c>
      <c r="AZ36" s="519">
        <f t="shared" si="7"/>
        <v>3180947.8827750003</v>
      </c>
      <c r="BA36" s="521">
        <f t="shared" si="27"/>
        <v>3</v>
      </c>
      <c r="BB36" s="519">
        <f t="shared" si="28"/>
        <v>1060315.960925</v>
      </c>
      <c r="BC36" s="519">
        <v>649.13</v>
      </c>
      <c r="BD36" s="519">
        <f t="shared" si="5"/>
        <v>100</v>
      </c>
      <c r="BE36" s="519">
        <f t="shared" si="19"/>
        <v>749.13</v>
      </c>
      <c r="BF36" s="513" t="s">
        <v>1771</v>
      </c>
      <c r="BG36" s="514" t="s">
        <v>1771</v>
      </c>
      <c r="BH36" s="510" t="s">
        <v>1771</v>
      </c>
    </row>
    <row r="37" spans="1:61" s="523" customFormat="1" ht="132">
      <c r="A37" s="538" t="s">
        <v>6082</v>
      </c>
      <c r="B37" s="507" t="s">
        <v>3042</v>
      </c>
      <c r="C37" s="507" t="s">
        <v>3774</v>
      </c>
      <c r="D37" s="508" t="s">
        <v>3873</v>
      </c>
      <c r="E37" s="507" t="s">
        <v>3872</v>
      </c>
      <c r="F37" s="507" t="s">
        <v>4022</v>
      </c>
      <c r="G37" s="509" t="s">
        <v>3875</v>
      </c>
      <c r="H37" s="507" t="s">
        <v>3874</v>
      </c>
      <c r="I37" s="510" t="s">
        <v>1771</v>
      </c>
      <c r="J37" s="510">
        <v>1</v>
      </c>
      <c r="K37" s="507">
        <f>5+5+8+8+4+5+14+5</f>
        <v>54</v>
      </c>
      <c r="L37" s="507">
        <f>784+790.5+860.5+862+743+1124.5+2242.5+1090</f>
        <v>8497</v>
      </c>
      <c r="M37" s="511">
        <v>44298</v>
      </c>
      <c r="N37" s="511">
        <v>44299</v>
      </c>
      <c r="O37" s="511">
        <v>44299</v>
      </c>
      <c r="P37" s="511">
        <v>44337</v>
      </c>
      <c r="Q37" s="511">
        <v>44348</v>
      </c>
      <c r="R37" s="512" t="s">
        <v>4021</v>
      </c>
      <c r="S37" s="515" t="s">
        <v>3752</v>
      </c>
      <c r="T37" s="510" t="s">
        <v>3128</v>
      </c>
      <c r="U37" s="516" t="s">
        <v>3031</v>
      </c>
      <c r="V37" s="359">
        <v>44320</v>
      </c>
      <c r="W37" s="510" t="s">
        <v>3337</v>
      </c>
      <c r="X37" s="510" t="s">
        <v>3406</v>
      </c>
      <c r="Y37" s="511">
        <v>44340</v>
      </c>
      <c r="Z37" s="510" t="s">
        <v>3252</v>
      </c>
      <c r="AA37" s="510" t="s">
        <v>3542</v>
      </c>
      <c r="AB37" s="510" t="s">
        <v>3941</v>
      </c>
      <c r="AC37" s="510" t="s">
        <v>2146</v>
      </c>
      <c r="AD37" s="511">
        <v>44347</v>
      </c>
      <c r="AE37" s="515">
        <v>6673.9865</v>
      </c>
      <c r="AF37" s="507" t="s">
        <v>3268</v>
      </c>
      <c r="AG37" s="510" t="s">
        <v>3108</v>
      </c>
      <c r="AH37" s="517">
        <v>216543.74</v>
      </c>
      <c r="AI37" s="517">
        <v>3312</v>
      </c>
      <c r="AJ37" s="517">
        <v>8</v>
      </c>
      <c r="AK37" s="517">
        <f t="shared" si="29"/>
        <v>219863.74</v>
      </c>
      <c r="AL37" s="518">
        <v>5.2281000000000004</v>
      </c>
      <c r="AM37" s="519">
        <f t="shared" si="25"/>
        <v>1149469.619094</v>
      </c>
      <c r="AN37" s="519">
        <v>0</v>
      </c>
      <c r="AO37" s="510">
        <v>6</v>
      </c>
      <c r="AP37" s="519">
        <v>9598.2000000000007</v>
      </c>
      <c r="AQ37" s="519">
        <v>115906.74</v>
      </c>
      <c r="AR37" s="519">
        <v>24138.85</v>
      </c>
      <c r="AS37" s="519">
        <v>110923.79</v>
      </c>
      <c r="AT37" s="519">
        <v>285118.82</v>
      </c>
      <c r="AU37" s="519">
        <v>4411.83</v>
      </c>
      <c r="AV37" s="519">
        <v>332.5</v>
      </c>
      <c r="AW37" s="510" t="s">
        <v>3139</v>
      </c>
      <c r="AX37" s="627">
        <f t="shared" si="26"/>
        <v>44348</v>
      </c>
      <c r="AY37" s="519">
        <v>2085.14</v>
      </c>
      <c r="AZ37" s="519">
        <f t="shared" si="7"/>
        <v>1724204.4286409998</v>
      </c>
      <c r="BA37" s="521">
        <f t="shared" si="27"/>
        <v>1</v>
      </c>
      <c r="BB37" s="519">
        <f t="shared" si="28"/>
        <v>1724204.4286409998</v>
      </c>
      <c r="BC37" s="519">
        <v>525.13</v>
      </c>
      <c r="BD37" s="519">
        <f t="shared" si="5"/>
        <v>-40</v>
      </c>
      <c r="BE37" s="519">
        <f t="shared" si="19"/>
        <v>485.13</v>
      </c>
      <c r="BF37" s="513" t="s">
        <v>1771</v>
      </c>
      <c r="BG37" s="514" t="s">
        <v>1771</v>
      </c>
      <c r="BH37" s="510" t="s">
        <v>1771</v>
      </c>
    </row>
    <row r="38" spans="1:61" s="523" customFormat="1" ht="120">
      <c r="A38" s="538" t="s">
        <v>6083</v>
      </c>
      <c r="B38" s="507" t="s">
        <v>3042</v>
      </c>
      <c r="C38" s="507" t="s">
        <v>3774</v>
      </c>
      <c r="D38" s="508" t="s">
        <v>3898</v>
      </c>
      <c r="E38" s="507" t="s">
        <v>3897</v>
      </c>
      <c r="F38" s="507" t="s">
        <v>4020</v>
      </c>
      <c r="G38" s="509" t="s">
        <v>3899</v>
      </c>
      <c r="H38" s="507" t="s">
        <v>3895</v>
      </c>
      <c r="I38" s="510" t="s">
        <v>1771</v>
      </c>
      <c r="J38" s="510">
        <v>1</v>
      </c>
      <c r="K38" s="507">
        <f>4+13+9+9+5+13</f>
        <v>53</v>
      </c>
      <c r="L38" s="507">
        <f>244.5+1455+671.36+1356+921.5+1448.5</f>
        <v>6096.8600000000006</v>
      </c>
      <c r="M38" s="511">
        <v>44312</v>
      </c>
      <c r="N38" s="511">
        <v>44310</v>
      </c>
      <c r="O38" s="511">
        <v>44310</v>
      </c>
      <c r="P38" s="511">
        <v>44345</v>
      </c>
      <c r="Q38" s="511">
        <v>44351</v>
      </c>
      <c r="R38" s="512" t="s">
        <v>4019</v>
      </c>
      <c r="S38" s="515" t="s">
        <v>3752</v>
      </c>
      <c r="T38" s="510" t="s">
        <v>3128</v>
      </c>
      <c r="U38" s="516" t="s">
        <v>3031</v>
      </c>
      <c r="V38" s="359">
        <v>44334</v>
      </c>
      <c r="W38" s="510" t="s">
        <v>3337</v>
      </c>
      <c r="X38" s="510" t="s">
        <v>3341</v>
      </c>
      <c r="Y38" s="511"/>
      <c r="Z38" s="510" t="s">
        <v>3252</v>
      </c>
      <c r="AA38" s="510" t="s">
        <v>3548</v>
      </c>
      <c r="AB38" s="510" t="s">
        <v>3943</v>
      </c>
      <c r="AC38" s="510" t="s">
        <v>2146</v>
      </c>
      <c r="AD38" s="511">
        <v>44349</v>
      </c>
      <c r="AE38" s="515">
        <v>4265.4165000000003</v>
      </c>
      <c r="AF38" s="507" t="s">
        <v>3486</v>
      </c>
      <c r="AG38" s="510" t="s">
        <v>3108</v>
      </c>
      <c r="AH38" s="517">
        <v>175088.34</v>
      </c>
      <c r="AI38" s="517">
        <f>810.98+399.03+707.55+381.84+810.29+202.31</f>
        <v>3312</v>
      </c>
      <c r="AJ38" s="517">
        <v>6</v>
      </c>
      <c r="AK38" s="517">
        <f t="shared" si="29"/>
        <v>178406.34</v>
      </c>
      <c r="AL38" s="518">
        <v>5.1635999999999997</v>
      </c>
      <c r="AM38" s="519">
        <f t="shared" si="25"/>
        <v>921218.97722399991</v>
      </c>
      <c r="AN38" s="519">
        <v>0</v>
      </c>
      <c r="AO38" s="510">
        <v>13</v>
      </c>
      <c r="AP38" s="519">
        <v>10002.06</v>
      </c>
      <c r="AQ38" s="519">
        <v>93122.04</v>
      </c>
      <c r="AR38" s="519">
        <v>19345.59</v>
      </c>
      <c r="AS38" s="519">
        <v>88897.62</v>
      </c>
      <c r="AT38" s="519">
        <v>229228.14</v>
      </c>
      <c r="AU38" s="519">
        <v>4350.0600000000004</v>
      </c>
      <c r="AV38" s="519">
        <v>447.3</v>
      </c>
      <c r="AW38" s="510" t="s">
        <v>3139</v>
      </c>
      <c r="AX38" s="627">
        <f t="shared" si="26"/>
        <v>44351</v>
      </c>
      <c r="AY38" s="519">
        <v>1210.5</v>
      </c>
      <c r="AZ38" s="519">
        <f t="shared" si="7"/>
        <v>1381828.4658359999</v>
      </c>
      <c r="BA38" s="521">
        <f t="shared" si="27"/>
        <v>1</v>
      </c>
      <c r="BB38" s="519">
        <f t="shared" si="28"/>
        <v>1381828.4658359999</v>
      </c>
      <c r="BC38" s="519">
        <v>562.33000000000004</v>
      </c>
      <c r="BD38" s="519">
        <f t="shared" si="5"/>
        <v>30</v>
      </c>
      <c r="BE38" s="519">
        <f t="shared" si="19"/>
        <v>592.33000000000004</v>
      </c>
      <c r="BF38" s="513" t="s">
        <v>1771</v>
      </c>
      <c r="BG38" s="514" t="s">
        <v>1771</v>
      </c>
      <c r="BH38" s="510" t="s">
        <v>1771</v>
      </c>
    </row>
    <row r="39" spans="1:61" s="523" customFormat="1" ht="324">
      <c r="A39" s="538" t="s">
        <v>6084</v>
      </c>
      <c r="B39" s="507" t="s">
        <v>3042</v>
      </c>
      <c r="C39" s="507" t="s">
        <v>3774</v>
      </c>
      <c r="D39" s="508" t="s">
        <v>3894</v>
      </c>
      <c r="E39" s="507" t="s">
        <v>3892</v>
      </c>
      <c r="F39" s="507" t="s">
        <v>4018</v>
      </c>
      <c r="G39" s="509" t="s">
        <v>3896</v>
      </c>
      <c r="H39" s="507" t="s">
        <v>3895</v>
      </c>
      <c r="I39" s="510" t="s">
        <v>1771</v>
      </c>
      <c r="J39" s="510">
        <v>2</v>
      </c>
      <c r="K39" s="507">
        <f>8+4+8+8+2+8+8+8+13+1+5+13+5+1+2+1+1+1+1+13+1+1+1+2+2+2+3</f>
        <v>123</v>
      </c>
      <c r="L39" s="507">
        <f>827.5+469.34+839+822+119.92+834.5+851.5+849.5+1382+34.84+438.62+1383+790.5+41.5+97.6+2.34+1.68+12.92+102+1572.5+37.5+2.68+3.38+63.92+28.42+65.16+271</f>
        <v>11944.820000000002</v>
      </c>
      <c r="M39" s="511">
        <v>44308</v>
      </c>
      <c r="N39" s="511">
        <v>44309</v>
      </c>
      <c r="O39" s="511">
        <v>44309</v>
      </c>
      <c r="P39" s="511">
        <v>44345</v>
      </c>
      <c r="Q39" s="511">
        <v>44354</v>
      </c>
      <c r="R39" s="512" t="s">
        <v>4017</v>
      </c>
      <c r="S39" s="515" t="s">
        <v>3752</v>
      </c>
      <c r="T39" s="510" t="s">
        <v>3128</v>
      </c>
      <c r="U39" s="516" t="s">
        <v>3031</v>
      </c>
      <c r="V39" s="359">
        <v>44337</v>
      </c>
      <c r="W39" s="510" t="s">
        <v>3337</v>
      </c>
      <c r="X39" s="510" t="s">
        <v>3341</v>
      </c>
      <c r="Y39" s="511">
        <v>44347</v>
      </c>
      <c r="Z39" s="510" t="s">
        <v>3252</v>
      </c>
      <c r="AA39" s="510" t="s">
        <v>3548</v>
      </c>
      <c r="AB39" s="510" t="s">
        <v>3944</v>
      </c>
      <c r="AC39" s="510" t="s">
        <v>2146</v>
      </c>
      <c r="AD39" s="511">
        <v>44349</v>
      </c>
      <c r="AE39" s="515">
        <v>8824.7116000000005</v>
      </c>
      <c r="AF39" s="507" t="s">
        <v>3893</v>
      </c>
      <c r="AG39" s="510" t="s">
        <v>3108</v>
      </c>
      <c r="AH39" s="517">
        <v>206960.88</v>
      </c>
      <c r="AI39" s="517">
        <f>823.5+178.22+14.16+725.1+529.18+529.18+529.18+48.73+529.18+529.18+190.7+529.18+338.17+110.11+61.08+27.68+25.97+1.37+1.09+15.24+764.59+54.93+5.25+2.72+3.79+39.66+16.86</f>
        <v>6624</v>
      </c>
      <c r="AJ39" s="517">
        <v>27</v>
      </c>
      <c r="AK39" s="517">
        <f t="shared" si="29"/>
        <v>213611.88</v>
      </c>
      <c r="AL39" s="518">
        <v>5.1635999999999997</v>
      </c>
      <c r="AM39" s="519">
        <f t="shared" si="25"/>
        <v>1103006.303568</v>
      </c>
      <c r="AN39" s="519">
        <v>0</v>
      </c>
      <c r="AO39" s="510">
        <v>36</v>
      </c>
      <c r="AP39" s="519">
        <v>29199.31</v>
      </c>
      <c r="AQ39" s="519">
        <v>113244.85</v>
      </c>
      <c r="AR39" s="519">
        <v>23163.11</v>
      </c>
      <c r="AS39" s="519">
        <v>106440.02</v>
      </c>
      <c r="AT39" s="519">
        <v>278465.09000000003</v>
      </c>
      <c r="AU39" s="519">
        <v>8685.7199999999993</v>
      </c>
      <c r="AV39" s="519">
        <v>678.6</v>
      </c>
      <c r="AW39" s="510" t="s">
        <v>3139</v>
      </c>
      <c r="AX39" s="627">
        <f t="shared" si="26"/>
        <v>44354</v>
      </c>
      <c r="AY39" s="519">
        <v>2421</v>
      </c>
      <c r="AZ39" s="519">
        <f t="shared" si="7"/>
        <v>1654509.455352</v>
      </c>
      <c r="BA39" s="521">
        <f t="shared" si="27"/>
        <v>2</v>
      </c>
      <c r="BB39" s="519">
        <f t="shared" si="28"/>
        <v>827254.72767599998</v>
      </c>
      <c r="BC39" s="519">
        <v>847.53</v>
      </c>
      <c r="BD39" s="519">
        <f t="shared" si="5"/>
        <v>260</v>
      </c>
      <c r="BE39" s="519">
        <f t="shared" si="19"/>
        <v>1107.53</v>
      </c>
      <c r="BF39" s="513" t="s">
        <v>1771</v>
      </c>
      <c r="BG39" s="514" t="s">
        <v>1771</v>
      </c>
      <c r="BH39" s="510" t="s">
        <v>1771</v>
      </c>
    </row>
    <row r="40" spans="1:61" s="523" customFormat="1" ht="240">
      <c r="A40" s="538" t="s">
        <v>6085</v>
      </c>
      <c r="B40" s="507" t="s">
        <v>3042</v>
      </c>
      <c r="C40" s="507" t="s">
        <v>3774</v>
      </c>
      <c r="D40" s="508" t="s">
        <v>3902</v>
      </c>
      <c r="E40" s="507" t="s">
        <v>3901</v>
      </c>
      <c r="F40" s="507" t="s">
        <v>3965</v>
      </c>
      <c r="G40" s="509" t="s">
        <v>3903</v>
      </c>
      <c r="H40" s="507" t="s">
        <v>3895</v>
      </c>
      <c r="I40" s="510" t="s">
        <v>1771</v>
      </c>
      <c r="J40" s="510">
        <v>3</v>
      </c>
      <c r="K40" s="507">
        <f>5+5+7+5+5+8+9+5+5+15+2+2+13+13+13+17+13+8+7+8</f>
        <v>165</v>
      </c>
      <c r="L40" s="507">
        <f>779.5+777.5+469+817.5+833.5+834+1363+848.5+864+1937+98.5+126+1776.5+1773.5+1778.5+2184+1454+1141+363.64+839.5</f>
        <v>21058.639999999999</v>
      </c>
      <c r="M40" s="511">
        <v>44313</v>
      </c>
      <c r="N40" s="511">
        <v>44314</v>
      </c>
      <c r="O40" s="511">
        <v>44314</v>
      </c>
      <c r="P40" s="511">
        <v>44345</v>
      </c>
      <c r="Q40" s="511">
        <v>44358</v>
      </c>
      <c r="R40" s="512" t="s">
        <v>3990</v>
      </c>
      <c r="S40" s="515" t="s">
        <v>3752</v>
      </c>
      <c r="T40" s="510" t="s">
        <v>3128</v>
      </c>
      <c r="U40" s="516" t="s">
        <v>3031</v>
      </c>
      <c r="V40" s="359">
        <v>44337</v>
      </c>
      <c r="W40" s="510" t="s">
        <v>3337</v>
      </c>
      <c r="X40" s="510" t="s">
        <v>3341</v>
      </c>
      <c r="Y40" s="511">
        <v>44347</v>
      </c>
      <c r="Z40" s="510" t="s">
        <v>3252</v>
      </c>
      <c r="AA40" s="510" t="s">
        <v>3982</v>
      </c>
      <c r="AB40" s="510" t="s">
        <v>3981</v>
      </c>
      <c r="AC40" s="510" t="s">
        <v>2146</v>
      </c>
      <c r="AD40" s="511">
        <v>44356</v>
      </c>
      <c r="AE40" s="515">
        <v>15263.527190000001</v>
      </c>
      <c r="AF40" s="507" t="s">
        <v>3893</v>
      </c>
      <c r="AG40" s="510" t="s">
        <v>3108</v>
      </c>
      <c r="AH40" s="517">
        <v>300075.83</v>
      </c>
      <c r="AI40" s="517">
        <v>9936</v>
      </c>
      <c r="AJ40" s="517">
        <v>20</v>
      </c>
      <c r="AK40" s="517">
        <f>SUM(AH40:AJ40)</f>
        <v>310031.83</v>
      </c>
      <c r="AL40" s="518">
        <v>5.0488999999999997</v>
      </c>
      <c r="AM40" s="519">
        <f>AK40*AL40</f>
        <v>1565319.706487</v>
      </c>
      <c r="AN40" s="519">
        <v>0</v>
      </c>
      <c r="AO40" s="510">
        <v>31</v>
      </c>
      <c r="AP40" s="519">
        <v>41746.67</v>
      </c>
      <c r="AQ40" s="519">
        <v>156781.6</v>
      </c>
      <c r="AR40" s="519">
        <v>32871.71</v>
      </c>
      <c r="AS40" s="519">
        <v>151053.34</v>
      </c>
      <c r="AT40" s="519">
        <v>393639.75</v>
      </c>
      <c r="AU40" s="519">
        <v>13017.98</v>
      </c>
      <c r="AV40" s="519">
        <v>640.04999999999995</v>
      </c>
      <c r="AW40" s="510" t="s">
        <v>3139</v>
      </c>
      <c r="AX40" s="627">
        <f>Q40</f>
        <v>44358</v>
      </c>
      <c r="AY40" s="519">
        <v>6255.42</v>
      </c>
      <c r="AZ40" s="519">
        <f t="shared" si="7"/>
        <v>2347979.5597305</v>
      </c>
      <c r="BA40" s="521">
        <f>SUM(I40:J40)</f>
        <v>3</v>
      </c>
      <c r="BB40" s="519">
        <f>AZ40/BA40</f>
        <v>782659.85324349999</v>
      </c>
      <c r="BC40" s="519">
        <v>785.53</v>
      </c>
      <c r="BD40" s="519">
        <f t="shared" si="5"/>
        <v>210</v>
      </c>
      <c r="BE40" s="519">
        <f t="shared" si="19"/>
        <v>995.53</v>
      </c>
      <c r="BF40" s="513" t="s">
        <v>1771</v>
      </c>
      <c r="BG40" s="514" t="s">
        <v>1771</v>
      </c>
      <c r="BH40" s="510" t="s">
        <v>1771</v>
      </c>
    </row>
    <row r="41" spans="1:61" s="523" customFormat="1" ht="312">
      <c r="A41" s="538" t="s">
        <v>6086</v>
      </c>
      <c r="B41" s="507" t="s">
        <v>3042</v>
      </c>
      <c r="C41" s="507" t="s">
        <v>3774</v>
      </c>
      <c r="D41" s="508" t="s">
        <v>3907</v>
      </c>
      <c r="E41" s="507" t="s">
        <v>3906</v>
      </c>
      <c r="F41" s="507" t="s">
        <v>3966</v>
      </c>
      <c r="G41" s="509" t="s">
        <v>3925</v>
      </c>
      <c r="H41" s="507" t="s">
        <v>3926</v>
      </c>
      <c r="I41" s="510" t="s">
        <v>1771</v>
      </c>
      <c r="J41" s="510">
        <v>3</v>
      </c>
      <c r="K41" s="507">
        <f>2+2+2+2+2+2+2+2+2+2+5+8+13+13+4+1+1+13+13+13+13+8+5+2+2+2</f>
        <v>136</v>
      </c>
      <c r="L41" s="507">
        <f>81+81.5+80.5+81+81+82+83+82+83+81+794+832.5+1694+1733.5+307+3.08+3+1604+1623.5+1628+1641+812+766+82+81+81</f>
        <v>14501.58</v>
      </c>
      <c r="M41" s="511">
        <v>44316</v>
      </c>
      <c r="N41" s="511">
        <v>44320</v>
      </c>
      <c r="O41" s="511">
        <v>44320</v>
      </c>
      <c r="P41" s="511">
        <v>44356</v>
      </c>
      <c r="Q41" s="511">
        <v>44362</v>
      </c>
      <c r="R41" s="512" t="s">
        <v>3992</v>
      </c>
      <c r="S41" s="515" t="s">
        <v>3752</v>
      </c>
      <c r="T41" s="510" t="s">
        <v>3681</v>
      </c>
      <c r="U41" s="516" t="s">
        <v>3031</v>
      </c>
      <c r="V41" s="359">
        <v>44344</v>
      </c>
      <c r="W41" s="510" t="s">
        <v>3147</v>
      </c>
      <c r="X41" s="510" t="s">
        <v>3147</v>
      </c>
      <c r="Y41" s="511">
        <v>44355</v>
      </c>
      <c r="Z41" s="510" t="s">
        <v>3252</v>
      </c>
      <c r="AA41" s="510" t="s">
        <v>3982</v>
      </c>
      <c r="AB41" s="510" t="s">
        <v>3991</v>
      </c>
      <c r="AC41" s="510" t="s">
        <v>2146</v>
      </c>
      <c r="AD41" s="511">
        <v>44358</v>
      </c>
      <c r="AE41" s="515">
        <v>9515.7056100000009</v>
      </c>
      <c r="AF41" s="507" t="s">
        <v>3908</v>
      </c>
      <c r="AG41" s="510" t="s">
        <v>3108</v>
      </c>
      <c r="AH41" s="517">
        <v>313064.46999999997</v>
      </c>
      <c r="AI41" s="517">
        <v>9936</v>
      </c>
      <c r="AJ41" s="517">
        <v>26</v>
      </c>
      <c r="AK41" s="517">
        <f>SUM(AH41:AJ41)</f>
        <v>323026.46999999997</v>
      </c>
      <c r="AL41" s="518">
        <v>5.0635000000000003</v>
      </c>
      <c r="AM41" s="519">
        <f>AK41*AL41</f>
        <v>1635644.5308449999</v>
      </c>
      <c r="AN41" s="519">
        <v>0</v>
      </c>
      <c r="AO41" s="510">
        <v>12</v>
      </c>
      <c r="AP41" s="519">
        <v>17204.05</v>
      </c>
      <c r="AQ41" s="519">
        <v>166146.18</v>
      </c>
      <c r="AR41" s="519">
        <v>34348.53</v>
      </c>
      <c r="AS41" s="519">
        <v>157839.67000000001</v>
      </c>
      <c r="AT41" s="519">
        <v>407860.52</v>
      </c>
      <c r="AU41" s="519">
        <v>12562.66</v>
      </c>
      <c r="AV41" s="519">
        <v>431.88</v>
      </c>
      <c r="AW41" s="510" t="s">
        <v>3139</v>
      </c>
      <c r="AX41" s="627">
        <f>Q41</f>
        <v>44362</v>
      </c>
      <c r="AY41" s="519">
        <v>7569.54</v>
      </c>
      <c r="AZ41" s="519">
        <f t="shared" si="7"/>
        <v>2453466.7962675001</v>
      </c>
      <c r="BA41" s="521">
        <f>SUM(I41:J41)</f>
        <v>3</v>
      </c>
      <c r="BB41" s="519">
        <f>AZ41/BA41</f>
        <v>817822.26542250009</v>
      </c>
      <c r="BC41" s="519">
        <v>549.92999999999995</v>
      </c>
      <c r="BD41" s="519">
        <f t="shared" si="5"/>
        <v>20</v>
      </c>
      <c r="BE41" s="519">
        <f t="shared" si="19"/>
        <v>569.92999999999995</v>
      </c>
      <c r="BF41" s="513" t="s">
        <v>1771</v>
      </c>
      <c r="BG41" s="514" t="s">
        <v>1771</v>
      </c>
      <c r="BH41" s="510" t="s">
        <v>1771</v>
      </c>
    </row>
    <row r="42" spans="1:61" s="523" customFormat="1" ht="312">
      <c r="A42" s="538" t="s">
        <v>6087</v>
      </c>
      <c r="B42" s="507" t="s">
        <v>3042</v>
      </c>
      <c r="C42" s="507" t="s">
        <v>3774</v>
      </c>
      <c r="D42" s="508" t="s">
        <v>3918</v>
      </c>
      <c r="E42" s="507" t="s">
        <v>3916</v>
      </c>
      <c r="F42" s="507" t="s">
        <v>3967</v>
      </c>
      <c r="G42" s="509" t="s">
        <v>3920</v>
      </c>
      <c r="H42" s="507" t="s">
        <v>3919</v>
      </c>
      <c r="I42" s="510">
        <v>1</v>
      </c>
      <c r="J42" s="510">
        <v>2</v>
      </c>
      <c r="K42" s="507">
        <f>1+3+8+1+1+1+1+9+3+1+24+1+3+5+11+9+9+4+4+4+4+1+1+3+3+3</f>
        <v>118</v>
      </c>
      <c r="L42" s="507">
        <f>57.5+212+380+30.5+13.66+38.94+79.5+346.52+212.5+55+183.07+26.94+153+276+1388.5+1366+1361+163+164+164+164.5+40+38.5+149.5+146+146</f>
        <v>7356.13</v>
      </c>
      <c r="M42" s="511">
        <v>44326</v>
      </c>
      <c r="N42" s="511">
        <v>44325</v>
      </c>
      <c r="O42" s="511">
        <v>44325</v>
      </c>
      <c r="P42" s="511">
        <v>44361</v>
      </c>
      <c r="Q42" s="511">
        <v>44363</v>
      </c>
      <c r="R42" s="512" t="s">
        <v>4036</v>
      </c>
      <c r="S42" s="515" t="s">
        <v>3752</v>
      </c>
      <c r="T42" s="510" t="s">
        <v>3128</v>
      </c>
      <c r="U42" s="516" t="s">
        <v>3031</v>
      </c>
      <c r="V42" s="359">
        <v>44358</v>
      </c>
      <c r="W42" s="510" t="s">
        <v>3337</v>
      </c>
      <c r="X42" s="510" t="s">
        <v>3341</v>
      </c>
      <c r="Y42" s="511">
        <v>44361</v>
      </c>
      <c r="Z42" s="510" t="s">
        <v>3252</v>
      </c>
      <c r="AA42" s="510" t="s">
        <v>3982</v>
      </c>
      <c r="AB42" s="510" t="s">
        <v>4002</v>
      </c>
      <c r="AC42" s="510" t="s">
        <v>2146</v>
      </c>
      <c r="AD42" s="511">
        <v>44362</v>
      </c>
      <c r="AE42" s="515">
        <v>4679.8519999999999</v>
      </c>
      <c r="AF42" s="507" t="s">
        <v>3917</v>
      </c>
      <c r="AG42" s="510" t="s">
        <v>3108</v>
      </c>
      <c r="AH42" s="517">
        <v>435163.95</v>
      </c>
      <c r="AI42" s="517">
        <f>500.42+82.08+282.57+673.56+105.89+30.5+10.7+52.32+200.62+293.85+82.08+21.1+52.32+3630+216.73+216.73+216.73+216.73+300.69+300.69+300.44+507.86+355.25+357.76+356.5+355.88</f>
        <v>9719.9999999999964</v>
      </c>
      <c r="AJ42" s="517">
        <v>26</v>
      </c>
      <c r="AK42" s="517">
        <f>SUM(AH42:AJ42)</f>
        <v>444909.95</v>
      </c>
      <c r="AL42" s="518">
        <v>5.0707000000000004</v>
      </c>
      <c r="AM42" s="519">
        <f>AK42*AL42</f>
        <v>2256004.8834650004</v>
      </c>
      <c r="AN42" s="519">
        <v>0</v>
      </c>
      <c r="AO42" s="510">
        <v>72</v>
      </c>
      <c r="AP42" s="519">
        <v>212659.24</v>
      </c>
      <c r="AQ42" s="519">
        <v>260878.45</v>
      </c>
      <c r="AR42" s="519">
        <v>47376.07</v>
      </c>
      <c r="AS42" s="519">
        <v>217704.32000000001</v>
      </c>
      <c r="AT42" s="519">
        <v>570199.41</v>
      </c>
      <c r="AU42" s="519">
        <v>12343</v>
      </c>
      <c r="AV42" s="519">
        <v>871.46</v>
      </c>
      <c r="AW42" s="510" t="s">
        <v>3139</v>
      </c>
      <c r="AX42" s="627">
        <f>Q42</f>
        <v>44363</v>
      </c>
      <c r="AY42" s="519">
        <v>3631.5</v>
      </c>
      <c r="AZ42" s="519">
        <f t="shared" si="7"/>
        <v>3384007.3251975006</v>
      </c>
      <c r="BA42" s="521">
        <f>SUM(I42:J42)</f>
        <v>3</v>
      </c>
      <c r="BB42" s="519">
        <f>AZ42/BA42</f>
        <v>1128002.4417325002</v>
      </c>
      <c r="BC42" s="519">
        <v>1293.93</v>
      </c>
      <c r="BD42" s="519">
        <f t="shared" si="5"/>
        <v>620</v>
      </c>
      <c r="BE42" s="519">
        <f t="shared" si="19"/>
        <v>1913.93</v>
      </c>
      <c r="BF42" s="513" t="s">
        <v>1771</v>
      </c>
      <c r="BG42" s="514" t="s">
        <v>1771</v>
      </c>
      <c r="BH42" s="510" t="s">
        <v>1771</v>
      </c>
    </row>
    <row r="43" spans="1:61" s="523" customFormat="1" ht="252">
      <c r="A43" s="538" t="s">
        <v>6088</v>
      </c>
      <c r="B43" s="507" t="s">
        <v>3042</v>
      </c>
      <c r="C43" s="507" t="s">
        <v>3774</v>
      </c>
      <c r="D43" s="508" t="s">
        <v>3922</v>
      </c>
      <c r="E43" s="507" t="s">
        <v>3921</v>
      </c>
      <c r="F43" s="507" t="s">
        <v>3968</v>
      </c>
      <c r="G43" s="509" t="s">
        <v>3924</v>
      </c>
      <c r="H43" s="507" t="s">
        <v>3919</v>
      </c>
      <c r="I43" s="510" t="s">
        <v>1771</v>
      </c>
      <c r="J43" s="510">
        <v>2</v>
      </c>
      <c r="K43" s="507">
        <f>22+1+20+5+2+1+1+3+2+1+16+5+5+2+1+6+8+8+8+9+5</f>
        <v>131</v>
      </c>
      <c r="L43" s="507">
        <f>1202.5+123.5+3743+920.5+186+13.52+36.5+230.5+124.5+15.6+2222.5+897.5+935+293.5+36.5+567+850+851+836+1305.94+837.5</f>
        <v>16228.560000000001</v>
      </c>
      <c r="M43" s="511">
        <v>44327</v>
      </c>
      <c r="N43" s="511">
        <v>44328</v>
      </c>
      <c r="O43" s="511">
        <v>44328</v>
      </c>
      <c r="P43" s="511">
        <v>44361</v>
      </c>
      <c r="Q43" s="511">
        <v>44372</v>
      </c>
      <c r="R43" s="512" t="s">
        <v>4265</v>
      </c>
      <c r="S43" s="515" t="s">
        <v>3752</v>
      </c>
      <c r="T43" s="510" t="s">
        <v>3128</v>
      </c>
      <c r="U43" s="516" t="s">
        <v>3031</v>
      </c>
      <c r="V43" s="359">
        <v>44358</v>
      </c>
      <c r="W43" s="510" t="s">
        <v>3337</v>
      </c>
      <c r="X43" s="510" t="s">
        <v>3341</v>
      </c>
      <c r="Y43" s="511">
        <v>44361</v>
      </c>
      <c r="Z43" s="510" t="s">
        <v>3252</v>
      </c>
      <c r="AA43" s="510" t="s">
        <v>3982</v>
      </c>
      <c r="AB43" s="510" t="s">
        <v>4263</v>
      </c>
      <c r="AC43" s="510" t="s">
        <v>2146</v>
      </c>
      <c r="AD43" s="511">
        <v>44371</v>
      </c>
      <c r="AE43" s="515">
        <v>11890.087219999999</v>
      </c>
      <c r="AF43" s="507" t="s">
        <v>3923</v>
      </c>
      <c r="AG43" s="510" t="s">
        <v>3108</v>
      </c>
      <c r="AH43" s="517">
        <v>205772.27</v>
      </c>
      <c r="AI43" s="517">
        <v>6624</v>
      </c>
      <c r="AJ43" s="517">
        <v>21</v>
      </c>
      <c r="AK43" s="517">
        <f t="shared" ref="AK43" si="30">SUM(AH43:AJ43)</f>
        <v>212417.27</v>
      </c>
      <c r="AL43" s="518">
        <v>4.9519000000000002</v>
      </c>
      <c r="AM43" s="519">
        <f t="shared" ref="AM43:AM106" si="31">AK43*AL43</f>
        <v>1051869.079313</v>
      </c>
      <c r="AN43" s="519">
        <v>0</v>
      </c>
      <c r="AO43" s="510">
        <v>50</v>
      </c>
      <c r="AP43" s="519">
        <v>38123.35</v>
      </c>
      <c r="AQ43" s="519">
        <v>107281.73</v>
      </c>
      <c r="AR43" s="519">
        <v>22089.22</v>
      </c>
      <c r="AS43" s="519">
        <v>101505.27</v>
      </c>
      <c r="AT43" s="519">
        <v>265932.40999999997</v>
      </c>
      <c r="AU43" s="519">
        <v>8418.27</v>
      </c>
      <c r="AV43" s="519">
        <v>786.54</v>
      </c>
      <c r="AW43" s="510" t="s">
        <v>3139</v>
      </c>
      <c r="AX43" s="627">
        <f t="shared" ref="AX43:AX61" si="32">Q43</f>
        <v>44372</v>
      </c>
      <c r="AY43" s="519">
        <v>4170.28</v>
      </c>
      <c r="AZ43" s="519">
        <f>(AM43*50%)+AM43</f>
        <v>1577803.6189695001</v>
      </c>
      <c r="BA43" s="521">
        <f t="shared" ref="BA43:BA48" si="33">SUM(I43:J43)</f>
        <v>2</v>
      </c>
      <c r="BB43" s="519">
        <f t="shared" ref="BB43:BB106" si="34">AZ43/BA43</f>
        <v>788901.80948475003</v>
      </c>
      <c r="BC43" s="519">
        <v>1021.13</v>
      </c>
      <c r="BD43" s="519">
        <f t="shared" si="5"/>
        <v>400</v>
      </c>
      <c r="BE43" s="519">
        <f t="shared" si="19"/>
        <v>1421.13</v>
      </c>
      <c r="BF43" s="513" t="s">
        <v>1771</v>
      </c>
      <c r="BG43" s="514" t="s">
        <v>1771</v>
      </c>
      <c r="BH43" s="510" t="s">
        <v>1771</v>
      </c>
      <c r="BI43" s="522"/>
    </row>
    <row r="44" spans="1:61" s="523" customFormat="1" ht="168">
      <c r="A44" s="538" t="s">
        <v>6089</v>
      </c>
      <c r="B44" s="507" t="s">
        <v>3042</v>
      </c>
      <c r="C44" s="507" t="s">
        <v>3774</v>
      </c>
      <c r="D44" s="508" t="s">
        <v>3940</v>
      </c>
      <c r="E44" s="507" t="s">
        <v>3938</v>
      </c>
      <c r="F44" s="507" t="s">
        <v>3978</v>
      </c>
      <c r="G44" s="509" t="s">
        <v>3957</v>
      </c>
      <c r="H44" s="507" t="s">
        <v>3939</v>
      </c>
      <c r="I44" s="510" t="s">
        <v>1771</v>
      </c>
      <c r="J44" s="510">
        <v>1</v>
      </c>
      <c r="K44" s="507">
        <f>4+5+1+1+5+10+5+5+5+5+5+5+3+3</f>
        <v>62</v>
      </c>
      <c r="L44" s="507">
        <f>19.06+761.5+0.44+2.18+767.5+589+822.5+789+761+766.5+792+778.8+278.5+213</f>
        <v>7340.9800000000005</v>
      </c>
      <c r="M44" s="511">
        <v>44340</v>
      </c>
      <c r="N44" s="511">
        <v>44339</v>
      </c>
      <c r="O44" s="511">
        <v>44339</v>
      </c>
      <c r="P44" s="511">
        <v>44377</v>
      </c>
      <c r="Q44" s="511">
        <f>P44+5</f>
        <v>44382</v>
      </c>
      <c r="R44" s="512" t="s">
        <v>4274</v>
      </c>
      <c r="S44" s="515" t="s">
        <v>3752</v>
      </c>
      <c r="T44" s="510" t="s">
        <v>3128</v>
      </c>
      <c r="U44" s="516" t="s">
        <v>3031</v>
      </c>
      <c r="V44" s="359">
        <v>44372</v>
      </c>
      <c r="W44" s="510" t="s">
        <v>3337</v>
      </c>
      <c r="X44" s="510" t="s">
        <v>3341</v>
      </c>
      <c r="Y44" s="511">
        <v>44378</v>
      </c>
      <c r="Z44" s="510" t="s">
        <v>3252</v>
      </c>
      <c r="AA44" s="510" t="s">
        <v>3982</v>
      </c>
      <c r="AB44" s="510" t="s">
        <v>4273</v>
      </c>
      <c r="AC44" s="510" t="s">
        <v>2146</v>
      </c>
      <c r="AD44" s="511">
        <v>44379</v>
      </c>
      <c r="AE44" s="515">
        <v>5622.6472000000003</v>
      </c>
      <c r="AF44" s="507" t="s">
        <v>3881</v>
      </c>
      <c r="AG44" s="510" t="s">
        <v>3108</v>
      </c>
      <c r="AH44" s="517">
        <v>230105.99</v>
      </c>
      <c r="AI44" s="517">
        <v>2962</v>
      </c>
      <c r="AJ44" s="517">
        <v>14</v>
      </c>
      <c r="AK44" s="517">
        <f t="shared" ref="AK44:AK46" si="35">SUM(AH44:AJ44)</f>
        <v>233081.99</v>
      </c>
      <c r="AL44" s="518">
        <v>5.0054999999999996</v>
      </c>
      <c r="AM44" s="519">
        <f t="shared" si="31"/>
        <v>1166691.9009449999</v>
      </c>
      <c r="AN44" s="519">
        <v>0</v>
      </c>
      <c r="AO44" s="510">
        <v>10</v>
      </c>
      <c r="AP44" s="519">
        <v>4560.88</v>
      </c>
      <c r="AQ44" s="519">
        <v>117450.07</v>
      </c>
      <c r="AR44" s="519">
        <v>24500.53</v>
      </c>
      <c r="AS44" s="519">
        <v>112585.78</v>
      </c>
      <c r="AT44" s="519">
        <v>287672.25</v>
      </c>
      <c r="AU44" s="519">
        <v>3937.82</v>
      </c>
      <c r="AV44" s="519">
        <v>401.04</v>
      </c>
      <c r="AW44" s="510" t="s">
        <v>3139</v>
      </c>
      <c r="AX44" s="627">
        <f t="shared" si="32"/>
        <v>44382</v>
      </c>
      <c r="AY44" s="519">
        <v>1210.5</v>
      </c>
      <c r="AZ44" s="519">
        <f t="shared" ref="AZ44:AZ107" si="36">(AM44*50%)+AM44</f>
        <v>1750037.8514174998</v>
      </c>
      <c r="BA44" s="521">
        <f t="shared" si="33"/>
        <v>1</v>
      </c>
      <c r="BB44" s="519">
        <f t="shared" si="34"/>
        <v>1750037.8514174998</v>
      </c>
      <c r="BC44" s="519">
        <v>525.13</v>
      </c>
      <c r="BD44" s="519">
        <f t="shared" si="5"/>
        <v>0</v>
      </c>
      <c r="BE44" s="519">
        <f t="shared" si="19"/>
        <v>525.13</v>
      </c>
      <c r="BF44" s="513" t="s">
        <v>1771</v>
      </c>
      <c r="BG44" s="514" t="s">
        <v>1771</v>
      </c>
      <c r="BH44" s="510" t="s">
        <v>1771</v>
      </c>
      <c r="BI44" s="522"/>
    </row>
    <row r="45" spans="1:61" s="523" customFormat="1" ht="348">
      <c r="A45" s="538" t="s">
        <v>6090</v>
      </c>
      <c r="B45" s="507" t="s">
        <v>3042</v>
      </c>
      <c r="C45" s="507" t="s">
        <v>3774</v>
      </c>
      <c r="D45" s="508" t="s">
        <v>3958</v>
      </c>
      <c r="E45" s="507" t="s">
        <v>3945</v>
      </c>
      <c r="F45" s="507" t="s">
        <v>3980</v>
      </c>
      <c r="G45" s="509" t="s">
        <v>3946</v>
      </c>
      <c r="H45" s="507" t="s">
        <v>3939</v>
      </c>
      <c r="I45" s="510" t="s">
        <v>1771</v>
      </c>
      <c r="J45" s="510">
        <v>4</v>
      </c>
      <c r="K45" s="507">
        <f>13+13+5+5+5+5+5+5+11+13+8+8+1+1+1+1+24+13+8+1+8+2+25+10+34+1+1+2+1</f>
        <v>230</v>
      </c>
      <c r="L45" s="507">
        <f>1475.5+1629+796.5+792+774.5+787.17+781.5+774.5+643.5+1606+903+909+112+98.5+83+96.5+1383.5+1607.5+844+20.5+925+103.5+3354.5+1072+4900+0.6+0.52+135.5+3.14</f>
        <v>26612.429999999997</v>
      </c>
      <c r="M45" s="511">
        <v>44349</v>
      </c>
      <c r="N45" s="511">
        <v>44346</v>
      </c>
      <c r="O45" s="511">
        <v>44346</v>
      </c>
      <c r="P45" s="511">
        <v>44377</v>
      </c>
      <c r="Q45" s="511">
        <f t="shared" ref="Q45:Q46" si="37">P45+5</f>
        <v>44382</v>
      </c>
      <c r="R45" s="512" t="s">
        <v>4275</v>
      </c>
      <c r="S45" s="515" t="s">
        <v>3752</v>
      </c>
      <c r="T45" s="510" t="s">
        <v>3949</v>
      </c>
      <c r="U45" s="516" t="s">
        <v>3031</v>
      </c>
      <c r="V45" s="359">
        <v>44372</v>
      </c>
      <c r="W45" s="510" t="s">
        <v>3337</v>
      </c>
      <c r="X45" s="510" t="s">
        <v>3341</v>
      </c>
      <c r="Y45" s="511">
        <v>44378</v>
      </c>
      <c r="Z45" s="510" t="s">
        <v>3252</v>
      </c>
      <c r="AA45" s="510" t="s">
        <v>3982</v>
      </c>
      <c r="AB45" s="510" t="s">
        <v>4272</v>
      </c>
      <c r="AC45" s="510" t="s">
        <v>2146</v>
      </c>
      <c r="AD45" s="511">
        <v>44379</v>
      </c>
      <c r="AE45" s="515">
        <v>19513.8639</v>
      </c>
      <c r="AF45" s="507" t="s">
        <v>3790</v>
      </c>
      <c r="AG45" s="510" t="s">
        <v>3108</v>
      </c>
      <c r="AH45" s="517">
        <v>376847.88</v>
      </c>
      <c r="AI45" s="517">
        <v>11848</v>
      </c>
      <c r="AJ45" s="517">
        <v>29</v>
      </c>
      <c r="AK45" s="517">
        <f t="shared" si="35"/>
        <v>388724.88</v>
      </c>
      <c r="AL45" s="518">
        <v>5.0054999999999996</v>
      </c>
      <c r="AM45" s="519">
        <f t="shared" si="31"/>
        <v>1945762.3868399998</v>
      </c>
      <c r="AN45" s="519">
        <v>0</v>
      </c>
      <c r="AO45" s="510">
        <v>17</v>
      </c>
      <c r="AP45" s="519">
        <v>57040.97</v>
      </c>
      <c r="AQ45" s="519">
        <v>200580.9</v>
      </c>
      <c r="AR45" s="519">
        <v>40860.99</v>
      </c>
      <c r="AS45" s="519">
        <v>187766.08</v>
      </c>
      <c r="AT45" s="519">
        <v>493383.71</v>
      </c>
      <c r="AU45" s="519">
        <v>15697.49</v>
      </c>
      <c r="AV45" s="519">
        <v>508.98</v>
      </c>
      <c r="AW45" s="510" t="s">
        <v>3139</v>
      </c>
      <c r="AX45" s="627">
        <f t="shared" si="32"/>
        <v>44382</v>
      </c>
      <c r="AY45" s="519">
        <v>4906.59</v>
      </c>
      <c r="AZ45" s="519">
        <f t="shared" si="36"/>
        <v>2918643.5802599997</v>
      </c>
      <c r="BA45" s="521">
        <f t="shared" si="33"/>
        <v>4</v>
      </c>
      <c r="BB45" s="519">
        <f t="shared" si="34"/>
        <v>729660.89506499993</v>
      </c>
      <c r="BC45" s="519">
        <v>611.92999999999995</v>
      </c>
      <c r="BD45" s="519">
        <f t="shared" si="5"/>
        <v>70</v>
      </c>
      <c r="BE45" s="519">
        <f t="shared" si="19"/>
        <v>681.93</v>
      </c>
      <c r="BF45" s="513" t="s">
        <v>1771</v>
      </c>
      <c r="BG45" s="514" t="s">
        <v>1771</v>
      </c>
      <c r="BH45" s="510" t="s">
        <v>1771</v>
      </c>
      <c r="BI45" s="522"/>
    </row>
    <row r="46" spans="1:61" s="523" customFormat="1" ht="240">
      <c r="A46" s="538" t="s">
        <v>6091</v>
      </c>
      <c r="B46" s="507" t="s">
        <v>3042</v>
      </c>
      <c r="C46" s="507" t="s">
        <v>3774</v>
      </c>
      <c r="D46" s="508" t="s">
        <v>3959</v>
      </c>
      <c r="E46" s="507" t="s">
        <v>3947</v>
      </c>
      <c r="F46" s="507" t="s">
        <v>3979</v>
      </c>
      <c r="G46" s="509" t="s">
        <v>3948</v>
      </c>
      <c r="H46" s="507" t="s">
        <v>3939</v>
      </c>
      <c r="I46" s="510" t="s">
        <v>1771</v>
      </c>
      <c r="J46" s="510">
        <v>3</v>
      </c>
      <c r="K46" s="507">
        <f>5+1+1+1+8+5+5+5+5+8+4+10+10+13+2+2+2+2+2+4</f>
        <v>95</v>
      </c>
      <c r="L46" s="507">
        <f>947+118.5+80+76+848.5+787+763+809.5+952.5+908+385.5+569.5+567.5+743+132+130.5+128.5+127+132.5+758.5</f>
        <v>9964.5</v>
      </c>
      <c r="M46" s="511">
        <v>44349</v>
      </c>
      <c r="N46" s="511">
        <v>44347</v>
      </c>
      <c r="O46" s="511">
        <v>44347</v>
      </c>
      <c r="P46" s="511">
        <v>44377</v>
      </c>
      <c r="Q46" s="511">
        <f t="shared" si="37"/>
        <v>44382</v>
      </c>
      <c r="R46" s="512" t="s">
        <v>4276</v>
      </c>
      <c r="S46" s="515" t="s">
        <v>3752</v>
      </c>
      <c r="T46" s="510" t="s">
        <v>3949</v>
      </c>
      <c r="U46" s="516" t="s">
        <v>3031</v>
      </c>
      <c r="V46" s="359">
        <v>44372</v>
      </c>
      <c r="W46" s="510" t="s">
        <v>3337</v>
      </c>
      <c r="X46" s="510" t="s">
        <v>3341</v>
      </c>
      <c r="Y46" s="511">
        <v>44378</v>
      </c>
      <c r="Z46" s="510" t="s">
        <v>3252</v>
      </c>
      <c r="AA46" s="510" t="s">
        <v>3982</v>
      </c>
      <c r="AB46" s="510" t="s">
        <v>4271</v>
      </c>
      <c r="AC46" s="510" t="s">
        <v>2146</v>
      </c>
      <c r="AD46" s="511">
        <v>44379</v>
      </c>
      <c r="AE46" s="515">
        <v>7159.5</v>
      </c>
      <c r="AF46" s="507" t="s">
        <v>3486</v>
      </c>
      <c r="AG46" s="510" t="s">
        <v>3108</v>
      </c>
      <c r="AH46" s="517">
        <v>222787.19</v>
      </c>
      <c r="AI46" s="517">
        <v>8886</v>
      </c>
      <c r="AJ46" s="517">
        <v>20</v>
      </c>
      <c r="AK46" s="517">
        <f t="shared" si="35"/>
        <v>231693.19</v>
      </c>
      <c r="AL46" s="518">
        <v>5.0054999999999996</v>
      </c>
      <c r="AM46" s="519">
        <f t="shared" si="31"/>
        <v>1159740.2625449998</v>
      </c>
      <c r="AN46" s="519">
        <v>0</v>
      </c>
      <c r="AO46" s="510">
        <v>12</v>
      </c>
      <c r="AP46" s="519">
        <v>14528.43</v>
      </c>
      <c r="AQ46" s="519">
        <v>119594.11</v>
      </c>
      <c r="AR46" s="519">
        <v>24354.560000000001</v>
      </c>
      <c r="AS46" s="519">
        <v>111914.95</v>
      </c>
      <c r="AT46" s="519">
        <v>290357.83</v>
      </c>
      <c r="AU46" s="519">
        <v>11771.08</v>
      </c>
      <c r="AV46" s="519">
        <v>431.88</v>
      </c>
      <c r="AW46" s="510" t="s">
        <v>3139</v>
      </c>
      <c r="AX46" s="627">
        <f t="shared" si="32"/>
        <v>44382</v>
      </c>
      <c r="AY46" s="519">
        <v>3631.5</v>
      </c>
      <c r="AZ46" s="519">
        <f t="shared" si="36"/>
        <v>1739610.3938174997</v>
      </c>
      <c r="BA46" s="521">
        <f t="shared" si="33"/>
        <v>3</v>
      </c>
      <c r="BB46" s="519">
        <f t="shared" si="34"/>
        <v>579870.13127249992</v>
      </c>
      <c r="BC46" s="519">
        <v>549.92999999999995</v>
      </c>
      <c r="BD46" s="519">
        <f t="shared" si="5"/>
        <v>20</v>
      </c>
      <c r="BE46" s="519">
        <f t="shared" si="19"/>
        <v>569.92999999999995</v>
      </c>
      <c r="BF46" s="513" t="s">
        <v>1771</v>
      </c>
      <c r="BG46" s="514" t="s">
        <v>1771</v>
      </c>
      <c r="BH46" s="510" t="s">
        <v>1771</v>
      </c>
      <c r="BI46" s="522"/>
    </row>
    <row r="47" spans="1:61" s="523" customFormat="1" ht="216">
      <c r="A47" s="538" t="s">
        <v>6092</v>
      </c>
      <c r="B47" s="507" t="s">
        <v>3042</v>
      </c>
      <c r="C47" s="507" t="s">
        <v>3774</v>
      </c>
      <c r="D47" s="508" t="s">
        <v>3929</v>
      </c>
      <c r="E47" s="507" t="s">
        <v>3928</v>
      </c>
      <c r="F47" s="507" t="s">
        <v>3976</v>
      </c>
      <c r="G47" s="509" t="s">
        <v>3956</v>
      </c>
      <c r="H47" s="507" t="s">
        <v>4035</v>
      </c>
      <c r="I47" s="510" t="s">
        <v>1771</v>
      </c>
      <c r="J47" s="510">
        <v>2</v>
      </c>
      <c r="K47" s="507">
        <f>13+3+13+13+13+8+8+1+1+9+2+4+1+1+8+8+1+1</f>
        <v>108</v>
      </c>
      <c r="L47" s="507">
        <f>1636.5+376+1780+1628.5+1765.5+845.5+841+51+20.42+530+186+415.5+2.8+64+825.5+836.5+124.5+86</f>
        <v>12015.22</v>
      </c>
      <c r="M47" s="511">
        <v>44333</v>
      </c>
      <c r="N47" s="511">
        <v>44331</v>
      </c>
      <c r="O47" s="511">
        <v>44331</v>
      </c>
      <c r="P47" s="511">
        <v>44383</v>
      </c>
      <c r="Q47" s="511">
        <v>44390</v>
      </c>
      <c r="R47" s="512" t="s">
        <v>4293</v>
      </c>
      <c r="S47" s="515" t="s">
        <v>3752</v>
      </c>
      <c r="T47" s="510" t="s">
        <v>3681</v>
      </c>
      <c r="U47" s="516" t="s">
        <v>3031</v>
      </c>
      <c r="V47" s="359">
        <v>44383</v>
      </c>
      <c r="W47" s="510" t="s">
        <v>3147</v>
      </c>
      <c r="X47" s="510" t="s">
        <v>3147</v>
      </c>
      <c r="Y47" s="511">
        <v>44384</v>
      </c>
      <c r="Z47" s="510" t="s">
        <v>3252</v>
      </c>
      <c r="AA47" s="510" t="s">
        <v>3982</v>
      </c>
      <c r="AB47" s="510" t="s">
        <v>4290</v>
      </c>
      <c r="AC47" s="510" t="s">
        <v>2146</v>
      </c>
      <c r="AD47" s="511">
        <v>44389</v>
      </c>
      <c r="AE47" s="515">
        <v>7656.8648000000003</v>
      </c>
      <c r="AF47" s="507" t="s">
        <v>3930</v>
      </c>
      <c r="AG47" s="510" t="s">
        <v>3108</v>
      </c>
      <c r="AH47" s="517">
        <v>206736.9</v>
      </c>
      <c r="AI47" s="517">
        <v>5678</v>
      </c>
      <c r="AJ47" s="517">
        <v>18</v>
      </c>
      <c r="AK47" s="517">
        <f t="shared" ref="AK47" si="38">SUM(AH47:AJ47)</f>
        <v>212432.9</v>
      </c>
      <c r="AL47" s="518">
        <v>5.2393000000000001</v>
      </c>
      <c r="AM47" s="519">
        <f t="shared" si="31"/>
        <v>1112999.69297</v>
      </c>
      <c r="AN47" s="519">
        <v>0</v>
      </c>
      <c r="AO47" s="510">
        <v>24</v>
      </c>
      <c r="AP47" s="519">
        <v>30520.880000000001</v>
      </c>
      <c r="AQ47" s="519">
        <v>103571.92</v>
      </c>
      <c r="AR47" s="519">
        <v>23373.01</v>
      </c>
      <c r="AS47" s="519">
        <v>107404.48</v>
      </c>
      <c r="AT47" s="519">
        <v>274707.96000000002</v>
      </c>
      <c r="AU47" s="519">
        <v>7777.2</v>
      </c>
      <c r="AV47" s="519">
        <v>586.08000000000004</v>
      </c>
      <c r="AW47" s="510" t="s">
        <v>3139</v>
      </c>
      <c r="AX47" s="627">
        <f t="shared" si="32"/>
        <v>44390</v>
      </c>
      <c r="AY47" s="519">
        <v>5099.0200000000004</v>
      </c>
      <c r="AZ47" s="519">
        <f t="shared" si="36"/>
        <v>1669499.5394549998</v>
      </c>
      <c r="BA47" s="521">
        <f t="shared" si="33"/>
        <v>2</v>
      </c>
      <c r="BB47" s="519">
        <f t="shared" si="34"/>
        <v>834749.76972749992</v>
      </c>
      <c r="BC47" s="519">
        <v>698.73</v>
      </c>
      <c r="BD47" s="519">
        <f t="shared" si="5"/>
        <v>140</v>
      </c>
      <c r="BE47" s="519">
        <f t="shared" si="19"/>
        <v>838.73</v>
      </c>
      <c r="BF47" s="513" t="s">
        <v>1771</v>
      </c>
      <c r="BG47" s="514" t="s">
        <v>1771</v>
      </c>
      <c r="BH47" s="510" t="s">
        <v>1771</v>
      </c>
      <c r="BI47" s="522"/>
    </row>
    <row r="48" spans="1:61" s="523" customFormat="1" ht="216">
      <c r="A48" s="538" t="s">
        <v>6093</v>
      </c>
      <c r="B48" s="507" t="s">
        <v>3042</v>
      </c>
      <c r="C48" s="507" t="s">
        <v>3774</v>
      </c>
      <c r="D48" s="508" t="s">
        <v>3934</v>
      </c>
      <c r="E48" s="507" t="s">
        <v>3933</v>
      </c>
      <c r="F48" s="507" t="s">
        <v>3977</v>
      </c>
      <c r="G48" s="509" t="s">
        <v>3942</v>
      </c>
      <c r="H48" s="507" t="s">
        <v>4035</v>
      </c>
      <c r="I48" s="510" t="s">
        <v>1771</v>
      </c>
      <c r="J48" s="510">
        <v>2</v>
      </c>
      <c r="K48" s="507">
        <f>1+3+8+13+13+4+8+3+10+15+2+1+1+3+3+3+3+3</f>
        <v>97</v>
      </c>
      <c r="L48" s="507">
        <f>33+386.5+914.5+1785+1796.5+559.5+885+273.72+801+2319.5+179+75.5+89+195+195.5+195.5+194+195.5</f>
        <v>11073.220000000001</v>
      </c>
      <c r="M48" s="511">
        <v>44333</v>
      </c>
      <c r="N48" s="511">
        <v>44333</v>
      </c>
      <c r="O48" s="511">
        <v>44333</v>
      </c>
      <c r="P48" s="511">
        <v>44383</v>
      </c>
      <c r="Q48" s="511">
        <v>44393</v>
      </c>
      <c r="R48" s="512" t="s">
        <v>4300</v>
      </c>
      <c r="S48" s="515" t="s">
        <v>3752</v>
      </c>
      <c r="T48" s="510" t="s">
        <v>3681</v>
      </c>
      <c r="U48" s="516" t="s">
        <v>3031</v>
      </c>
      <c r="V48" s="359">
        <v>44369</v>
      </c>
      <c r="W48" s="510" t="s">
        <v>3147</v>
      </c>
      <c r="X48" s="510" t="s">
        <v>3147</v>
      </c>
      <c r="Y48" s="511">
        <v>44384</v>
      </c>
      <c r="Z48" s="510" t="s">
        <v>3252</v>
      </c>
      <c r="AA48" s="510" t="s">
        <v>3982</v>
      </c>
      <c r="AB48" s="510" t="s">
        <v>4297</v>
      </c>
      <c r="AC48" s="510" t="s">
        <v>2146</v>
      </c>
      <c r="AD48" s="511">
        <v>44392</v>
      </c>
      <c r="AE48" s="515">
        <v>7766.9898999999996</v>
      </c>
      <c r="AF48" s="507" t="s">
        <v>3923</v>
      </c>
      <c r="AG48" s="510" t="s">
        <v>3108</v>
      </c>
      <c r="AH48" s="517">
        <v>83069.42</v>
      </c>
      <c r="AI48" s="517">
        <v>5678</v>
      </c>
      <c r="AJ48" s="517">
        <v>18</v>
      </c>
      <c r="AK48" s="517">
        <f t="shared" ref="AK48" si="39">SUM(AH48:AJ48)</f>
        <v>88765.42</v>
      </c>
      <c r="AL48" s="518">
        <v>5.0880000000000001</v>
      </c>
      <c r="AM48" s="519">
        <f t="shared" si="31"/>
        <v>451638.45695999998</v>
      </c>
      <c r="AN48" s="519">
        <v>0</v>
      </c>
      <c r="AO48" s="510">
        <v>21</v>
      </c>
      <c r="AP48" s="519">
        <v>29920.17</v>
      </c>
      <c r="AQ48" s="519">
        <v>48632.29</v>
      </c>
      <c r="AR48" s="519">
        <v>9484.41</v>
      </c>
      <c r="AS48" s="519">
        <v>43583.11</v>
      </c>
      <c r="AT48" s="519">
        <v>119081.24</v>
      </c>
      <c r="AU48" s="519">
        <v>7777.2</v>
      </c>
      <c r="AV48" s="519"/>
      <c r="AW48" s="510" t="s">
        <v>3139</v>
      </c>
      <c r="AX48" s="627">
        <f t="shared" si="32"/>
        <v>44393</v>
      </c>
      <c r="AY48" s="519">
        <v>3556.48</v>
      </c>
      <c r="AZ48" s="519">
        <f t="shared" si="36"/>
        <v>677457.68543999991</v>
      </c>
      <c r="BA48" s="521">
        <f t="shared" si="33"/>
        <v>2</v>
      </c>
      <c r="BB48" s="519">
        <f t="shared" si="34"/>
        <v>338728.84271999996</v>
      </c>
      <c r="BC48" s="519">
        <v>661.53</v>
      </c>
      <c r="BD48" s="519">
        <f t="shared" si="5"/>
        <v>110</v>
      </c>
      <c r="BE48" s="519">
        <f t="shared" si="19"/>
        <v>771.53</v>
      </c>
      <c r="BF48" s="513" t="s">
        <v>1771</v>
      </c>
      <c r="BG48" s="514" t="s">
        <v>1771</v>
      </c>
      <c r="BH48" s="510" t="s">
        <v>1771</v>
      </c>
      <c r="BI48" s="522"/>
    </row>
    <row r="49" spans="1:61" s="523" customFormat="1" ht="180">
      <c r="A49" s="538" t="s">
        <v>6094</v>
      </c>
      <c r="B49" s="507" t="s">
        <v>3042</v>
      </c>
      <c r="C49" s="507" t="s">
        <v>3774</v>
      </c>
      <c r="D49" s="508" t="s">
        <v>3999</v>
      </c>
      <c r="E49" s="507" t="s">
        <v>3993</v>
      </c>
      <c r="F49" s="507" t="s">
        <v>3994</v>
      </c>
      <c r="G49" s="509" t="s">
        <v>4037</v>
      </c>
      <c r="H49" s="507" t="s">
        <v>3974</v>
      </c>
      <c r="I49" s="510" t="s">
        <v>1771</v>
      </c>
      <c r="J49" s="510">
        <v>2</v>
      </c>
      <c r="K49" s="507">
        <f>1+9+2+2+2+7+7+5+5+7+5+7+7+7+18</f>
        <v>91</v>
      </c>
      <c r="L49" s="507">
        <f>66.5+1442+133.5+146+144.5+951+919.5+946+940+917+930+914.5+913+843.5+217.46</f>
        <v>10424.459999999999</v>
      </c>
      <c r="M49" s="511">
        <v>44361</v>
      </c>
      <c r="N49" s="511">
        <v>44361</v>
      </c>
      <c r="O49" s="511">
        <v>44361</v>
      </c>
      <c r="P49" s="511">
        <v>44392</v>
      </c>
      <c r="Q49" s="511">
        <v>44396</v>
      </c>
      <c r="R49" s="512" t="s">
        <v>4301</v>
      </c>
      <c r="S49" s="515" t="s">
        <v>3752</v>
      </c>
      <c r="T49" s="510" t="s">
        <v>3949</v>
      </c>
      <c r="U49" s="516" t="s">
        <v>3031</v>
      </c>
      <c r="V49" s="359">
        <v>44386</v>
      </c>
      <c r="W49" s="510" t="s">
        <v>3337</v>
      </c>
      <c r="X49" s="510" t="s">
        <v>3341</v>
      </c>
      <c r="Y49" s="511">
        <v>44392</v>
      </c>
      <c r="Z49" s="510" t="s">
        <v>3252</v>
      </c>
      <c r="AA49" s="510" t="s">
        <v>3982</v>
      </c>
      <c r="AB49" s="510" t="s">
        <v>4296</v>
      </c>
      <c r="AC49" s="510" t="s">
        <v>2146</v>
      </c>
      <c r="AD49" s="511">
        <v>44392</v>
      </c>
      <c r="AE49" s="515">
        <v>7133.1100100000003</v>
      </c>
      <c r="AF49" s="507" t="s">
        <v>4287</v>
      </c>
      <c r="AG49" s="510" t="s">
        <v>3108</v>
      </c>
      <c r="AH49" s="517">
        <v>174532.02</v>
      </c>
      <c r="AI49" s="517">
        <v>6624</v>
      </c>
      <c r="AJ49" s="517">
        <v>15</v>
      </c>
      <c r="AK49" s="517">
        <f t="shared" ref="AK49:AK51" si="40">SUM(AH49:AJ49)</f>
        <v>181171.02</v>
      </c>
      <c r="AL49" s="518">
        <v>5.0880000000000001</v>
      </c>
      <c r="AM49" s="519">
        <f t="shared" si="31"/>
        <v>921798.14975999994</v>
      </c>
      <c r="AN49" s="519">
        <v>0</v>
      </c>
      <c r="AO49" s="510">
        <v>16</v>
      </c>
      <c r="AP49" s="519">
        <v>33602.31</v>
      </c>
      <c r="AQ49" s="519">
        <v>101740.65</v>
      </c>
      <c r="AR49" s="519">
        <v>19357.759999999998</v>
      </c>
      <c r="AS49" s="519">
        <v>88953.49</v>
      </c>
      <c r="AT49" s="519">
        <v>228530.64</v>
      </c>
      <c r="AU49" s="519">
        <v>8446.92</v>
      </c>
      <c r="AV49" s="519">
        <v>493.56</v>
      </c>
      <c r="AW49" s="510" t="s">
        <v>3139</v>
      </c>
      <c r="AX49" s="627">
        <f t="shared" si="32"/>
        <v>44396</v>
      </c>
      <c r="AY49" s="519">
        <v>2421</v>
      </c>
      <c r="AZ49" s="519">
        <f t="shared" si="36"/>
        <v>1382697.2246399999</v>
      </c>
      <c r="BA49" s="521">
        <f t="shared" ref="BA49:BA112" si="41">SUM(I49:J49)</f>
        <v>2</v>
      </c>
      <c r="BB49" s="519">
        <f t="shared" si="34"/>
        <v>691348.61231999996</v>
      </c>
      <c r="BC49" s="519">
        <v>9046.4500000000007</v>
      </c>
      <c r="BD49" s="519">
        <f t="shared" si="5"/>
        <v>60</v>
      </c>
      <c r="BE49" s="519">
        <f t="shared" si="19"/>
        <v>9106.4500000000007</v>
      </c>
      <c r="BF49" s="513" t="s">
        <v>1771</v>
      </c>
      <c r="BG49" s="514" t="s">
        <v>1771</v>
      </c>
      <c r="BH49" s="510" t="s">
        <v>1771</v>
      </c>
      <c r="BI49" s="522"/>
    </row>
    <row r="50" spans="1:61" s="523" customFormat="1" ht="132">
      <c r="A50" s="538" t="s">
        <v>6095</v>
      </c>
      <c r="B50" s="507" t="s">
        <v>3042</v>
      </c>
      <c r="C50" s="507" t="s">
        <v>3774</v>
      </c>
      <c r="D50" s="508" t="s">
        <v>3963</v>
      </c>
      <c r="E50" s="507" t="s">
        <v>3960</v>
      </c>
      <c r="F50" s="507" t="s">
        <v>3962</v>
      </c>
      <c r="G50" s="509" t="s">
        <v>3964</v>
      </c>
      <c r="H50" s="507" t="s">
        <v>3954</v>
      </c>
      <c r="I50" s="510" t="s">
        <v>1771</v>
      </c>
      <c r="J50" s="510">
        <v>1</v>
      </c>
      <c r="K50" s="507">
        <f>14+13+13+12</f>
        <v>52</v>
      </c>
      <c r="L50" s="507">
        <f>780.5+1476+1474.5+1352.5</f>
        <v>5083.5</v>
      </c>
      <c r="M50" s="511">
        <v>44352</v>
      </c>
      <c r="N50" s="511">
        <v>44353</v>
      </c>
      <c r="O50" s="511">
        <v>44353</v>
      </c>
      <c r="P50" s="511">
        <v>44389</v>
      </c>
      <c r="Q50" s="511">
        <v>44398</v>
      </c>
      <c r="R50" s="512" t="s">
        <v>4374</v>
      </c>
      <c r="S50" s="515" t="s">
        <v>3752</v>
      </c>
      <c r="T50" s="510" t="s">
        <v>3949</v>
      </c>
      <c r="U50" s="516" t="s">
        <v>3031</v>
      </c>
      <c r="V50" s="359">
        <v>44379</v>
      </c>
      <c r="W50" s="510" t="s">
        <v>3337</v>
      </c>
      <c r="X50" s="510" t="s">
        <v>3341</v>
      </c>
      <c r="Y50" s="511">
        <v>44390</v>
      </c>
      <c r="Z50" s="510" t="s">
        <v>3252</v>
      </c>
      <c r="AA50" s="510" t="s">
        <v>3982</v>
      </c>
      <c r="AB50" s="510" t="s">
        <v>4304</v>
      </c>
      <c r="AC50" s="510" t="s">
        <v>2146</v>
      </c>
      <c r="AD50" s="511">
        <v>44396</v>
      </c>
      <c r="AE50" s="515">
        <v>3311.0814</v>
      </c>
      <c r="AF50" s="507" t="s">
        <v>3238</v>
      </c>
      <c r="AG50" s="510" t="s">
        <v>3108</v>
      </c>
      <c r="AH50" s="517">
        <v>165340.74</v>
      </c>
      <c r="AI50" s="517">
        <v>3312</v>
      </c>
      <c r="AJ50" s="517">
        <v>4</v>
      </c>
      <c r="AK50" s="517">
        <f t="shared" si="40"/>
        <v>168656.74</v>
      </c>
      <c r="AL50" s="518">
        <v>5.0941000000000001</v>
      </c>
      <c r="AM50" s="519">
        <f t="shared" si="31"/>
        <v>859154.29923399992</v>
      </c>
      <c r="AN50" s="519">
        <v>0</v>
      </c>
      <c r="AO50" s="510">
        <v>2</v>
      </c>
      <c r="AP50" s="519">
        <v>3451.18</v>
      </c>
      <c r="AQ50" s="519">
        <v>86260.54</v>
      </c>
      <c r="AR50" s="519">
        <v>18042.240000000002</v>
      </c>
      <c r="AS50" s="519">
        <v>82908.39</v>
      </c>
      <c r="AT50" s="519">
        <v>212508.77</v>
      </c>
      <c r="AU50" s="519">
        <v>4346.58</v>
      </c>
      <c r="AV50" s="519">
        <v>192.79</v>
      </c>
      <c r="AW50" s="510" t="s">
        <v>3139</v>
      </c>
      <c r="AX50" s="627">
        <f t="shared" si="32"/>
        <v>44398</v>
      </c>
      <c r="AY50" s="519">
        <v>1210.5</v>
      </c>
      <c r="AZ50" s="519">
        <f t="shared" si="36"/>
        <v>1288731.4488509998</v>
      </c>
      <c r="BA50" s="521">
        <f t="shared" si="41"/>
        <v>1</v>
      </c>
      <c r="BB50" s="519">
        <f t="shared" si="34"/>
        <v>1288731.4488509998</v>
      </c>
      <c r="BC50" s="519">
        <v>4871.71</v>
      </c>
      <c r="BD50" s="519">
        <f t="shared" si="5"/>
        <v>-80</v>
      </c>
      <c r="BE50" s="519">
        <f t="shared" si="19"/>
        <v>4791.71</v>
      </c>
      <c r="BF50" s="513" t="s">
        <v>1771</v>
      </c>
      <c r="BG50" s="514" t="s">
        <v>1771</v>
      </c>
      <c r="BH50" s="510" t="s">
        <v>1771</v>
      </c>
      <c r="BI50" s="522"/>
    </row>
    <row r="51" spans="1:61" s="523" customFormat="1" ht="132">
      <c r="A51" s="538" t="s">
        <v>6096</v>
      </c>
      <c r="B51" s="507" t="s">
        <v>3042</v>
      </c>
      <c r="C51" s="507" t="s">
        <v>3774</v>
      </c>
      <c r="D51" s="508" t="s">
        <v>4001</v>
      </c>
      <c r="E51" s="507" t="s">
        <v>3997</v>
      </c>
      <c r="F51" s="507" t="s">
        <v>3998</v>
      </c>
      <c r="G51" s="509">
        <v>211207247</v>
      </c>
      <c r="H51" s="507" t="s">
        <v>4270</v>
      </c>
      <c r="I51" s="510" t="s">
        <v>1771</v>
      </c>
      <c r="J51" s="510">
        <v>2</v>
      </c>
      <c r="K51" s="507">
        <f>10+10+10+3+2+2+5</f>
        <v>42</v>
      </c>
      <c r="L51" s="507">
        <f>570+576+588.5+210.5+131+132.5+311</f>
        <v>2519.5</v>
      </c>
      <c r="M51" s="511">
        <v>44352</v>
      </c>
      <c r="N51" s="511">
        <v>44350</v>
      </c>
      <c r="O51" s="511">
        <v>44352</v>
      </c>
      <c r="P51" s="511">
        <v>44383</v>
      </c>
      <c r="Q51" s="511">
        <v>44398</v>
      </c>
      <c r="R51" s="512" t="s">
        <v>4375</v>
      </c>
      <c r="S51" s="515" t="s">
        <v>3752</v>
      </c>
      <c r="T51" s="510" t="s">
        <v>3949</v>
      </c>
      <c r="U51" s="516" t="s">
        <v>3031</v>
      </c>
      <c r="V51" s="359">
        <v>44390</v>
      </c>
      <c r="W51" s="510" t="s">
        <v>3147</v>
      </c>
      <c r="X51" s="510" t="s">
        <v>3147</v>
      </c>
      <c r="Y51" s="511">
        <v>44384</v>
      </c>
      <c r="Z51" s="510" t="s">
        <v>3252</v>
      </c>
      <c r="AA51" s="510" t="s">
        <v>3982</v>
      </c>
      <c r="AB51" s="510" t="s">
        <v>4302</v>
      </c>
      <c r="AC51" s="510" t="s">
        <v>2146</v>
      </c>
      <c r="AD51" s="511">
        <v>44396</v>
      </c>
      <c r="AE51" s="515">
        <v>1669.683</v>
      </c>
      <c r="AF51" s="507" t="s">
        <v>4088</v>
      </c>
      <c r="AG51" s="510" t="s">
        <v>3108</v>
      </c>
      <c r="AH51" s="517">
        <v>2075.86</v>
      </c>
      <c r="AI51" s="517">
        <v>6778</v>
      </c>
      <c r="AJ51" s="517">
        <v>7</v>
      </c>
      <c r="AK51" s="517">
        <f t="shared" si="40"/>
        <v>8860.86</v>
      </c>
      <c r="AL51" s="518">
        <v>5.0941000000000001</v>
      </c>
      <c r="AM51" s="519">
        <f t="shared" si="31"/>
        <v>45138.106926</v>
      </c>
      <c r="AN51" s="519">
        <v>0</v>
      </c>
      <c r="AO51" s="510">
        <v>4</v>
      </c>
      <c r="AP51" s="519">
        <v>6121.42</v>
      </c>
      <c r="AQ51" s="519">
        <v>7018.48</v>
      </c>
      <c r="AR51" s="519">
        <v>947.9</v>
      </c>
      <c r="AS51" s="519">
        <v>4355.83</v>
      </c>
      <c r="AT51" s="519">
        <v>14499.37</v>
      </c>
      <c r="AU51" s="519">
        <v>9234.94</v>
      </c>
      <c r="AV51" s="519">
        <v>254.49</v>
      </c>
      <c r="AW51" s="510" t="s">
        <v>3139</v>
      </c>
      <c r="AX51" s="627">
        <f t="shared" si="32"/>
        <v>44398</v>
      </c>
      <c r="AY51" s="519">
        <v>3662.26</v>
      </c>
      <c r="AZ51" s="519">
        <f t="shared" si="36"/>
        <v>67707.160388999997</v>
      </c>
      <c r="BA51" s="521">
        <f t="shared" si="41"/>
        <v>2</v>
      </c>
      <c r="BB51" s="519">
        <f t="shared" si="34"/>
        <v>33853.580194499998</v>
      </c>
      <c r="BC51" s="519">
        <v>9760.07</v>
      </c>
      <c r="BD51" s="519">
        <f t="shared" si="5"/>
        <v>-60</v>
      </c>
      <c r="BE51" s="519">
        <f t="shared" si="19"/>
        <v>9700.07</v>
      </c>
      <c r="BF51" s="513" t="s">
        <v>1771</v>
      </c>
      <c r="BG51" s="514" t="s">
        <v>1771</v>
      </c>
      <c r="BH51" s="510" t="s">
        <v>1771</v>
      </c>
      <c r="BI51" s="522"/>
    </row>
    <row r="52" spans="1:61" s="523" customFormat="1" ht="132">
      <c r="A52" s="538" t="s">
        <v>6097</v>
      </c>
      <c r="B52" s="507" t="s">
        <v>3042</v>
      </c>
      <c r="C52" s="507" t="s">
        <v>3774</v>
      </c>
      <c r="D52" s="508" t="s">
        <v>3952</v>
      </c>
      <c r="E52" s="507" t="s">
        <v>3950</v>
      </c>
      <c r="F52" s="507" t="s">
        <v>3969</v>
      </c>
      <c r="G52" s="509" t="s">
        <v>3953</v>
      </c>
      <c r="H52" s="507" t="s">
        <v>3954</v>
      </c>
      <c r="I52" s="510" t="s">
        <v>1771</v>
      </c>
      <c r="J52" s="510">
        <v>1</v>
      </c>
      <c r="K52" s="507">
        <f>4+10+3+1+2+2+2+2+1</f>
        <v>27</v>
      </c>
      <c r="L52" s="507">
        <f>249.5+588+257.6+125+131.5+129+128+130+1.48</f>
        <v>1740.08</v>
      </c>
      <c r="M52" s="511">
        <v>44349</v>
      </c>
      <c r="N52" s="511">
        <v>44348</v>
      </c>
      <c r="O52" s="511">
        <v>44348</v>
      </c>
      <c r="P52" s="511">
        <v>44389</v>
      </c>
      <c r="Q52" s="511">
        <v>44398</v>
      </c>
      <c r="R52" s="512" t="s">
        <v>4376</v>
      </c>
      <c r="S52" s="515" t="s">
        <v>3752</v>
      </c>
      <c r="T52" s="510" t="s">
        <v>3949</v>
      </c>
      <c r="U52" s="516" t="s">
        <v>3031</v>
      </c>
      <c r="V52" s="359">
        <v>44369</v>
      </c>
      <c r="W52" s="510" t="s">
        <v>3337</v>
      </c>
      <c r="X52" s="510" t="s">
        <v>3341</v>
      </c>
      <c r="Y52" s="511">
        <v>44390</v>
      </c>
      <c r="Z52" s="510" t="s">
        <v>3252</v>
      </c>
      <c r="AA52" s="510" t="s">
        <v>3982</v>
      </c>
      <c r="AB52" s="510" t="s">
        <v>4303</v>
      </c>
      <c r="AC52" s="510" t="s">
        <v>2146</v>
      </c>
      <c r="AD52" s="511">
        <v>44396</v>
      </c>
      <c r="AE52" s="515">
        <v>1080.7484999999999</v>
      </c>
      <c r="AF52" s="507" t="s">
        <v>3951</v>
      </c>
      <c r="AG52" s="510" t="s">
        <v>3108</v>
      </c>
      <c r="AH52" s="517">
        <v>7566.64</v>
      </c>
      <c r="AI52" s="517">
        <v>3312</v>
      </c>
      <c r="AJ52" s="517">
        <v>9</v>
      </c>
      <c r="AK52" s="517">
        <f t="shared" ref="AK52" si="42">SUM(AH52:AJ52)</f>
        <v>10887.64</v>
      </c>
      <c r="AL52" s="518">
        <v>5.0941000000000001</v>
      </c>
      <c r="AM52" s="519">
        <f t="shared" si="31"/>
        <v>55462.726923999995</v>
      </c>
      <c r="AN52" s="519">
        <v>0</v>
      </c>
      <c r="AO52" s="510">
        <v>10</v>
      </c>
      <c r="AP52" s="519">
        <v>5906.25</v>
      </c>
      <c r="AQ52" s="519">
        <v>7141.1</v>
      </c>
      <c r="AR52" s="519">
        <v>1164.7</v>
      </c>
      <c r="AS52" s="519">
        <v>5352.14</v>
      </c>
      <c r="AT52" s="519">
        <v>15943.88</v>
      </c>
      <c r="AU52" s="519">
        <v>4346.58</v>
      </c>
      <c r="AV52" s="519">
        <v>401.04</v>
      </c>
      <c r="AW52" s="510" t="s">
        <v>3139</v>
      </c>
      <c r="AX52" s="627">
        <f t="shared" si="32"/>
        <v>44398</v>
      </c>
      <c r="AY52" s="519">
        <v>1210.5</v>
      </c>
      <c r="AZ52" s="519">
        <f t="shared" si="36"/>
        <v>83194.090385999996</v>
      </c>
      <c r="BA52" s="521">
        <f t="shared" si="41"/>
        <v>1</v>
      </c>
      <c r="BB52" s="519">
        <f t="shared" si="34"/>
        <v>83194.090385999996</v>
      </c>
      <c r="BC52" s="519">
        <v>4871.71</v>
      </c>
      <c r="BD52" s="519">
        <f t="shared" si="5"/>
        <v>0</v>
      </c>
      <c r="BE52" s="519">
        <f t="shared" si="19"/>
        <v>4871.71</v>
      </c>
      <c r="BF52" s="513" t="s">
        <v>1771</v>
      </c>
      <c r="BG52" s="514" t="s">
        <v>1771</v>
      </c>
      <c r="BH52" s="510" t="s">
        <v>1771</v>
      </c>
      <c r="BI52" s="522"/>
    </row>
    <row r="53" spans="1:61" s="523" customFormat="1" ht="132">
      <c r="A53" s="538" t="s">
        <v>6098</v>
      </c>
      <c r="B53" s="507" t="s">
        <v>3042</v>
      </c>
      <c r="C53" s="507" t="s">
        <v>3774</v>
      </c>
      <c r="D53" s="508" t="s">
        <v>4000</v>
      </c>
      <c r="E53" s="507" t="s">
        <v>3995</v>
      </c>
      <c r="F53" s="507" t="s">
        <v>3996</v>
      </c>
      <c r="G53" s="509">
        <v>912403860</v>
      </c>
      <c r="H53" s="507" t="s">
        <v>3985</v>
      </c>
      <c r="I53" s="510" t="s">
        <v>1771</v>
      </c>
      <c r="J53" s="510">
        <v>1</v>
      </c>
      <c r="K53" s="507">
        <f>17+5+5+13+8+1</f>
        <v>49</v>
      </c>
      <c r="L53" s="507">
        <f>2944+805+808.56+1487+912.5+0.54</f>
        <v>6957.5999999999995</v>
      </c>
      <c r="M53" s="511">
        <v>44352</v>
      </c>
      <c r="N53" s="511">
        <v>44352</v>
      </c>
      <c r="O53" s="511">
        <v>44367</v>
      </c>
      <c r="P53" s="511">
        <v>44395</v>
      </c>
      <c r="Q53" s="511">
        <v>44399</v>
      </c>
      <c r="R53" s="512" t="s">
        <v>4377</v>
      </c>
      <c r="S53" s="515" t="s">
        <v>3752</v>
      </c>
      <c r="T53" s="510" t="s">
        <v>3949</v>
      </c>
      <c r="U53" s="516" t="s">
        <v>3031</v>
      </c>
      <c r="V53" s="359">
        <v>44390</v>
      </c>
      <c r="W53" s="510" t="s">
        <v>3147</v>
      </c>
      <c r="X53" s="510" t="s">
        <v>3147</v>
      </c>
      <c r="Y53" s="511">
        <v>44393</v>
      </c>
      <c r="Z53" s="510" t="s">
        <v>3252</v>
      </c>
      <c r="AA53" s="510" t="s">
        <v>3982</v>
      </c>
      <c r="AB53" s="510" t="s">
        <v>4307</v>
      </c>
      <c r="AC53" s="510" t="s">
        <v>2146</v>
      </c>
      <c r="AD53" s="511">
        <v>44396</v>
      </c>
      <c r="AE53" s="515">
        <v>4900.0592999999999</v>
      </c>
      <c r="AF53" s="507" t="s">
        <v>3932</v>
      </c>
      <c r="AG53" s="510" t="s">
        <v>3108</v>
      </c>
      <c r="AH53" s="517">
        <v>149075.54999999999</v>
      </c>
      <c r="AI53" s="517">
        <v>3389</v>
      </c>
      <c r="AJ53" s="517">
        <v>6</v>
      </c>
      <c r="AK53" s="517">
        <f t="shared" ref="AK53" si="43">SUM(AH53:AJ53)</f>
        <v>152470.54999999999</v>
      </c>
      <c r="AL53" s="518">
        <v>5.0941000000000001</v>
      </c>
      <c r="AM53" s="519">
        <f t="shared" si="31"/>
        <v>776700.22875499993</v>
      </c>
      <c r="AN53" s="519">
        <v>0</v>
      </c>
      <c r="AO53" s="510">
        <v>5</v>
      </c>
      <c r="AP53" s="519">
        <v>14380.39</v>
      </c>
      <c r="AQ53" s="519">
        <v>79062.61</v>
      </c>
      <c r="AR53" s="519">
        <v>16310.7</v>
      </c>
      <c r="AS53" s="519">
        <v>74951.58</v>
      </c>
      <c r="AT53" s="519">
        <v>194750.5</v>
      </c>
      <c r="AU53" s="519">
        <v>4568.42</v>
      </c>
      <c r="AV53" s="519">
        <v>285.33999999999997</v>
      </c>
      <c r="AW53" s="510" t="s">
        <v>3139</v>
      </c>
      <c r="AX53" s="627">
        <f t="shared" si="32"/>
        <v>44399</v>
      </c>
      <c r="AY53" s="519">
        <v>3063.09</v>
      </c>
      <c r="AZ53" s="519">
        <f t="shared" si="36"/>
        <v>1165050.3431324998</v>
      </c>
      <c r="BA53" s="521">
        <f t="shared" si="41"/>
        <v>1</v>
      </c>
      <c r="BB53" s="519">
        <f t="shared" si="34"/>
        <v>1165050.3431324998</v>
      </c>
      <c r="BC53" s="519">
        <v>5093.55</v>
      </c>
      <c r="BD53" s="519">
        <f t="shared" si="5"/>
        <v>-50</v>
      </c>
      <c r="BE53" s="519">
        <f t="shared" si="19"/>
        <v>5043.55</v>
      </c>
      <c r="BF53" s="513" t="s">
        <v>1771</v>
      </c>
      <c r="BG53" s="514" t="s">
        <v>1771</v>
      </c>
      <c r="BH53" s="510" t="s">
        <v>1771</v>
      </c>
      <c r="BI53" s="522"/>
    </row>
    <row r="54" spans="1:61" s="523" customFormat="1" ht="132">
      <c r="A54" s="538" t="s">
        <v>6099</v>
      </c>
      <c r="B54" s="507" t="s">
        <v>3042</v>
      </c>
      <c r="C54" s="507" t="s">
        <v>3774</v>
      </c>
      <c r="D54" s="508" t="s">
        <v>3972</v>
      </c>
      <c r="E54" s="507" t="s">
        <v>3970</v>
      </c>
      <c r="F54" s="507" t="s">
        <v>3971</v>
      </c>
      <c r="G54" s="509" t="s">
        <v>3973</v>
      </c>
      <c r="H54" s="507" t="s">
        <v>3974</v>
      </c>
      <c r="I54" s="510" t="s">
        <v>1771</v>
      </c>
      <c r="J54" s="510">
        <v>1</v>
      </c>
      <c r="K54" s="507">
        <f>9+5+5+5+7+8+5+1</f>
        <v>45</v>
      </c>
      <c r="L54" s="507">
        <f>1745+1125.5+1117.5+1120+918.5+843.5+917+37</f>
        <v>7824</v>
      </c>
      <c r="M54" s="511">
        <v>44355</v>
      </c>
      <c r="N54" s="511"/>
      <c r="O54" s="511"/>
      <c r="P54" s="511">
        <v>44392</v>
      </c>
      <c r="Q54" s="511">
        <v>44400</v>
      </c>
      <c r="R54" s="512" t="s">
        <v>4381</v>
      </c>
      <c r="S54" s="515" t="s">
        <v>3752</v>
      </c>
      <c r="T54" s="510" t="s">
        <v>3949</v>
      </c>
      <c r="U54" s="516" t="s">
        <v>3031</v>
      </c>
      <c r="V54" s="359">
        <v>44383</v>
      </c>
      <c r="W54" s="510" t="s">
        <v>3337</v>
      </c>
      <c r="X54" s="510" t="s">
        <v>3341</v>
      </c>
      <c r="Y54" s="511">
        <v>44392</v>
      </c>
      <c r="Z54" s="510" t="s">
        <v>3252</v>
      </c>
      <c r="AA54" s="510" t="s">
        <v>3982</v>
      </c>
      <c r="AB54" s="510" t="s">
        <v>4305</v>
      </c>
      <c r="AC54" s="510" t="s">
        <v>2146</v>
      </c>
      <c r="AD54" s="511">
        <v>44396</v>
      </c>
      <c r="AE54" s="515">
        <v>5491.9</v>
      </c>
      <c r="AF54" s="507" t="s">
        <v>3238</v>
      </c>
      <c r="AG54" s="510" t="s">
        <v>3108</v>
      </c>
      <c r="AH54" s="517">
        <v>246680.19</v>
      </c>
      <c r="AI54" s="517">
        <v>3312</v>
      </c>
      <c r="AJ54" s="517">
        <v>8</v>
      </c>
      <c r="AK54" s="517">
        <f t="shared" ref="AK54:AK55" si="44">SUM(AH54:AJ54)</f>
        <v>250000.19</v>
      </c>
      <c r="AL54" s="518">
        <v>5.0941000000000001</v>
      </c>
      <c r="AM54" s="519">
        <f t="shared" si="31"/>
        <v>1273525.9678790001</v>
      </c>
      <c r="AN54" s="519">
        <v>0</v>
      </c>
      <c r="AO54" s="510">
        <v>6</v>
      </c>
      <c r="AP54" s="519">
        <v>5866.03</v>
      </c>
      <c r="AQ54" s="519">
        <v>127939.16</v>
      </c>
      <c r="AR54" s="519">
        <v>26744.04</v>
      </c>
      <c r="AS54" s="519">
        <v>122895.25</v>
      </c>
      <c r="AT54" s="519">
        <v>314686.90000000002</v>
      </c>
      <c r="AU54" s="519">
        <v>4234.0600000000004</v>
      </c>
      <c r="AV54" s="519">
        <v>308.48</v>
      </c>
      <c r="AW54" s="510" t="s">
        <v>3139</v>
      </c>
      <c r="AX54" s="627">
        <f t="shared" si="32"/>
        <v>44400</v>
      </c>
      <c r="AY54" s="519">
        <v>1210.5</v>
      </c>
      <c r="AZ54" s="519">
        <f t="shared" si="36"/>
        <v>1910288.9518185002</v>
      </c>
      <c r="BA54" s="521">
        <f t="shared" si="41"/>
        <v>1</v>
      </c>
      <c r="BB54" s="519">
        <f t="shared" si="34"/>
        <v>1910288.9518185002</v>
      </c>
      <c r="BC54" s="519">
        <v>4759.1899999999996</v>
      </c>
      <c r="BD54" s="519">
        <f t="shared" si="5"/>
        <v>-40</v>
      </c>
      <c r="BE54" s="519">
        <f t="shared" si="19"/>
        <v>4719.1899999999996</v>
      </c>
      <c r="BF54" s="513" t="s">
        <v>1771</v>
      </c>
      <c r="BG54" s="514" t="s">
        <v>1771</v>
      </c>
      <c r="BH54" s="510" t="s">
        <v>1771</v>
      </c>
      <c r="BI54" s="522"/>
    </row>
    <row r="55" spans="1:61" s="523" customFormat="1" ht="132">
      <c r="A55" s="538" t="s">
        <v>6100</v>
      </c>
      <c r="B55" s="507" t="s">
        <v>3042</v>
      </c>
      <c r="C55" s="507" t="s">
        <v>3774</v>
      </c>
      <c r="D55" s="508" t="s">
        <v>3986</v>
      </c>
      <c r="E55" s="507" t="s">
        <v>3983</v>
      </c>
      <c r="F55" s="507" t="s">
        <v>3984</v>
      </c>
      <c r="G55" s="509">
        <v>912412618</v>
      </c>
      <c r="H55" s="507" t="s">
        <v>3985</v>
      </c>
      <c r="I55" s="510" t="s">
        <v>1771</v>
      </c>
      <c r="J55" s="510">
        <v>1</v>
      </c>
      <c r="K55" s="507">
        <f>7+2+8+8+5+13+8</f>
        <v>51</v>
      </c>
      <c r="L55" s="507">
        <f>923+185.5+886+884+778+1639.5+844</f>
        <v>6140</v>
      </c>
      <c r="M55" s="511">
        <v>44354</v>
      </c>
      <c r="N55" s="511"/>
      <c r="O55" s="511"/>
      <c r="P55" s="511">
        <v>44395</v>
      </c>
      <c r="Q55" s="511">
        <v>44400</v>
      </c>
      <c r="R55" s="512" t="s">
        <v>4382</v>
      </c>
      <c r="S55" s="515" t="s">
        <v>3752</v>
      </c>
      <c r="T55" s="510" t="s">
        <v>3949</v>
      </c>
      <c r="U55" s="516" t="s">
        <v>3031</v>
      </c>
      <c r="V55" s="359">
        <v>44369</v>
      </c>
      <c r="W55" s="510" t="s">
        <v>3147</v>
      </c>
      <c r="X55" s="510" t="s">
        <v>3147</v>
      </c>
      <c r="Y55" s="511">
        <v>44393</v>
      </c>
      <c r="Z55" s="510" t="s">
        <v>3252</v>
      </c>
      <c r="AA55" s="510" t="s">
        <v>3982</v>
      </c>
      <c r="AB55" s="510" t="s">
        <v>4306</v>
      </c>
      <c r="AC55" s="510" t="s">
        <v>2146</v>
      </c>
      <c r="AD55" s="511">
        <v>44396</v>
      </c>
      <c r="AE55" s="515">
        <v>4219.5064000000002</v>
      </c>
      <c r="AF55" s="507" t="s">
        <v>3238</v>
      </c>
      <c r="AG55" s="510" t="s">
        <v>3108</v>
      </c>
      <c r="AH55" s="517">
        <v>74757.42</v>
      </c>
      <c r="AI55" s="517">
        <v>3389</v>
      </c>
      <c r="AJ55" s="517">
        <v>7</v>
      </c>
      <c r="AK55" s="517">
        <f t="shared" si="44"/>
        <v>78153.42</v>
      </c>
      <c r="AL55" s="518">
        <v>5.0941000000000001</v>
      </c>
      <c r="AM55" s="519">
        <f t="shared" si="31"/>
        <v>398121.33682199998</v>
      </c>
      <c r="AN55" s="519">
        <v>0</v>
      </c>
      <c r="AO55" s="510">
        <v>5</v>
      </c>
      <c r="AP55" s="519">
        <v>14801.44</v>
      </c>
      <c r="AQ55" s="519">
        <v>41292.269999999997</v>
      </c>
      <c r="AR55" s="519">
        <v>8360.5499999999993</v>
      </c>
      <c r="AS55" s="519">
        <v>38418.71</v>
      </c>
      <c r="AT55" s="519">
        <v>101975.69</v>
      </c>
      <c r="AU55" s="519">
        <v>4568.42</v>
      </c>
      <c r="AV55" s="519">
        <v>285.33999999999997</v>
      </c>
      <c r="AW55" s="510" t="s">
        <v>3139</v>
      </c>
      <c r="AX55" s="627">
        <f t="shared" si="32"/>
        <v>44400</v>
      </c>
      <c r="AY55" s="519">
        <v>2180.11</v>
      </c>
      <c r="AZ55" s="519">
        <f t="shared" si="36"/>
        <v>597182.00523300003</v>
      </c>
      <c r="BA55" s="521">
        <f t="shared" si="41"/>
        <v>1</v>
      </c>
      <c r="BB55" s="519">
        <f t="shared" si="34"/>
        <v>597182.00523300003</v>
      </c>
      <c r="BC55" s="519">
        <v>5093.55</v>
      </c>
      <c r="BD55" s="519">
        <f t="shared" si="5"/>
        <v>-50</v>
      </c>
      <c r="BE55" s="519">
        <f t="shared" si="19"/>
        <v>5043.55</v>
      </c>
      <c r="BF55" s="513" t="s">
        <v>1771</v>
      </c>
      <c r="BG55" s="514" t="s">
        <v>1771</v>
      </c>
      <c r="BH55" s="510" t="s">
        <v>1771</v>
      </c>
      <c r="BI55" s="522"/>
    </row>
    <row r="56" spans="1:61" s="523" customFormat="1" ht="252">
      <c r="A56" s="538" t="s">
        <v>6101</v>
      </c>
      <c r="B56" s="507" t="s">
        <v>3042</v>
      </c>
      <c r="C56" s="507" t="s">
        <v>3774</v>
      </c>
      <c r="D56" s="508" t="s">
        <v>3931</v>
      </c>
      <c r="E56" s="507" t="s">
        <v>3927</v>
      </c>
      <c r="F56" s="507" t="s">
        <v>3975</v>
      </c>
      <c r="G56" s="509" t="s">
        <v>3955</v>
      </c>
      <c r="H56" s="507" t="s">
        <v>4269</v>
      </c>
      <c r="I56" s="510" t="s">
        <v>1771</v>
      </c>
      <c r="J56" s="510">
        <v>2</v>
      </c>
      <c r="K56" s="507">
        <f>2+5+5+5+7+5+8+3+4+13+8+8+2+8+7+13+8</f>
        <v>111</v>
      </c>
      <c r="L56" s="507">
        <f>58.62+909+901.11+939.5+833+929+841+460+203+1621.5+831+841.5+283.5+839+453+1634+911.5</f>
        <v>13489.23</v>
      </c>
      <c r="M56" s="511">
        <v>44333</v>
      </c>
      <c r="N56" s="511">
        <v>44332</v>
      </c>
      <c r="O56" s="511">
        <v>44365</v>
      </c>
      <c r="P56" s="511">
        <v>44401</v>
      </c>
      <c r="Q56" s="511">
        <v>44405</v>
      </c>
      <c r="R56" s="512" t="s">
        <v>4391</v>
      </c>
      <c r="S56" s="515" t="s">
        <v>3752</v>
      </c>
      <c r="T56" s="510" t="s">
        <v>3681</v>
      </c>
      <c r="U56" s="516" t="s">
        <v>3031</v>
      </c>
      <c r="V56" s="359">
        <v>44398</v>
      </c>
      <c r="W56" s="510" t="s">
        <v>3147</v>
      </c>
      <c r="X56" s="510" t="s">
        <v>3147</v>
      </c>
      <c r="Y56" s="511">
        <v>44403</v>
      </c>
      <c r="Z56" s="510" t="s">
        <v>3252</v>
      </c>
      <c r="AA56" s="510" t="s">
        <v>3982</v>
      </c>
      <c r="AB56" s="510" t="s">
        <v>4390</v>
      </c>
      <c r="AC56" s="510" t="s">
        <v>2146</v>
      </c>
      <c r="AD56" s="511">
        <v>44403</v>
      </c>
      <c r="AE56" s="515">
        <v>9293.8523000000005</v>
      </c>
      <c r="AF56" s="507" t="s">
        <v>3932</v>
      </c>
      <c r="AG56" s="510" t="s">
        <v>3108</v>
      </c>
      <c r="AH56" s="517">
        <v>364570.61</v>
      </c>
      <c r="AI56" s="517">
        <v>6624</v>
      </c>
      <c r="AJ56" s="517">
        <v>17</v>
      </c>
      <c r="AK56" s="517">
        <f t="shared" ref="AK56" si="45">SUM(AH56:AJ56)</f>
        <v>371211.61</v>
      </c>
      <c r="AL56" s="518">
        <v>5.1700999999999997</v>
      </c>
      <c r="AM56" s="519">
        <f t="shared" si="31"/>
        <v>1919201.1448609999</v>
      </c>
      <c r="AN56" s="519">
        <v>0</v>
      </c>
      <c r="AO56" s="510">
        <v>26</v>
      </c>
      <c r="AP56" s="519">
        <v>26299.11</v>
      </c>
      <c r="AQ56" s="519">
        <v>183834.23999999999</v>
      </c>
      <c r="AR56" s="519">
        <v>40303.24</v>
      </c>
      <c r="AS56" s="519">
        <v>185202.88</v>
      </c>
      <c r="AT56" s="519">
        <v>471833.42</v>
      </c>
      <c r="AU56" s="519">
        <v>8582.8799999999992</v>
      </c>
      <c r="AV56" s="519">
        <v>601.5</v>
      </c>
      <c r="AW56" s="510" t="s">
        <v>3139</v>
      </c>
      <c r="AX56" s="627">
        <f t="shared" si="32"/>
        <v>44405</v>
      </c>
      <c r="AY56" s="519">
        <v>6979.36</v>
      </c>
      <c r="AZ56" s="519">
        <f t="shared" si="36"/>
        <v>2878801.7172915</v>
      </c>
      <c r="BA56" s="521">
        <f t="shared" si="41"/>
        <v>2</v>
      </c>
      <c r="BB56" s="519">
        <f t="shared" si="34"/>
        <v>1439400.85864575</v>
      </c>
      <c r="BC56" s="519">
        <v>9306.41</v>
      </c>
      <c r="BD56" s="519">
        <f t="shared" si="5"/>
        <v>160</v>
      </c>
      <c r="BE56" s="519">
        <f t="shared" si="19"/>
        <v>9466.41</v>
      </c>
      <c r="BF56" s="513" t="s">
        <v>1771</v>
      </c>
      <c r="BG56" s="514" t="s">
        <v>1771</v>
      </c>
      <c r="BH56" s="510" t="s">
        <v>1771</v>
      </c>
      <c r="BI56" s="522"/>
    </row>
    <row r="57" spans="1:61" s="523" customFormat="1" ht="132">
      <c r="A57" s="538" t="s">
        <v>6102</v>
      </c>
      <c r="B57" s="507" t="s">
        <v>3042</v>
      </c>
      <c r="C57" s="507" t="s">
        <v>3774</v>
      </c>
      <c r="D57" s="508" t="s">
        <v>3989</v>
      </c>
      <c r="E57" s="507" t="s">
        <v>3987</v>
      </c>
      <c r="F57" s="507" t="s">
        <v>3988</v>
      </c>
      <c r="G57" s="509" t="s">
        <v>4084</v>
      </c>
      <c r="H57" s="507" t="s">
        <v>4085</v>
      </c>
      <c r="I57" s="510" t="s">
        <v>1771</v>
      </c>
      <c r="J57" s="510">
        <v>1</v>
      </c>
      <c r="K57" s="507">
        <f>1+5+7+13+13+2</f>
        <v>41</v>
      </c>
      <c r="L57" s="507">
        <f>67.5+1141.5+900+1801.5+1638.5+134.5</f>
        <v>5683.5</v>
      </c>
      <c r="M57" s="511">
        <v>44357</v>
      </c>
      <c r="N57" s="511">
        <v>44358</v>
      </c>
      <c r="O57" s="511">
        <v>44358</v>
      </c>
      <c r="P57" s="511">
        <v>44395</v>
      </c>
      <c r="Q57" s="511">
        <v>44407</v>
      </c>
      <c r="R57" s="512" t="s">
        <v>4394</v>
      </c>
      <c r="S57" s="515" t="s">
        <v>3752</v>
      </c>
      <c r="T57" s="510" t="s">
        <v>3949</v>
      </c>
      <c r="U57" s="516" t="s">
        <v>3031</v>
      </c>
      <c r="V57" s="359">
        <v>44379</v>
      </c>
      <c r="W57" s="510" t="s">
        <v>3337</v>
      </c>
      <c r="X57" s="510" t="s">
        <v>3341</v>
      </c>
      <c r="Y57" s="511">
        <v>44397</v>
      </c>
      <c r="Z57" s="510" t="s">
        <v>3252</v>
      </c>
      <c r="AA57" s="510" t="s">
        <v>3982</v>
      </c>
      <c r="AB57" s="510" t="s">
        <v>4392</v>
      </c>
      <c r="AC57" s="510" t="s">
        <v>2146</v>
      </c>
      <c r="AD57" s="511">
        <v>44406</v>
      </c>
      <c r="AE57" s="515">
        <v>3766.0127000000002</v>
      </c>
      <c r="AF57" s="507" t="s">
        <v>3238</v>
      </c>
      <c r="AG57" s="510" t="s">
        <v>3108</v>
      </c>
      <c r="AH57" s="517">
        <v>78428.41</v>
      </c>
      <c r="AI57" s="517">
        <v>3312</v>
      </c>
      <c r="AJ57" s="517">
        <v>6</v>
      </c>
      <c r="AK57" s="517">
        <f t="shared" ref="AK57" si="46">SUM(AH57:AJ57)</f>
        <v>81746.41</v>
      </c>
      <c r="AL57" s="518">
        <v>5.1527000000000003</v>
      </c>
      <c r="AM57" s="519">
        <f t="shared" si="31"/>
        <v>421214.72680700006</v>
      </c>
      <c r="AN57" s="519">
        <v>0</v>
      </c>
      <c r="AO57" s="510">
        <v>4</v>
      </c>
      <c r="AP57" s="519">
        <v>11702.36</v>
      </c>
      <c r="AQ57" s="519">
        <v>43469.25</v>
      </c>
      <c r="AR57" s="519">
        <v>8845.5</v>
      </c>
      <c r="AS57" s="519">
        <v>40647.21</v>
      </c>
      <c r="AT57" s="519">
        <v>106900.07</v>
      </c>
      <c r="AU57" s="519">
        <v>4324.97</v>
      </c>
      <c r="AV57" s="519">
        <v>254.49</v>
      </c>
      <c r="AW57" s="510" t="s">
        <v>3139</v>
      </c>
      <c r="AX57" s="627">
        <f t="shared" si="32"/>
        <v>44407</v>
      </c>
      <c r="AY57" s="519">
        <v>2085.14</v>
      </c>
      <c r="AZ57" s="519">
        <f t="shared" si="36"/>
        <v>631822.09021050006</v>
      </c>
      <c r="BA57" s="521">
        <f t="shared" si="41"/>
        <v>1</v>
      </c>
      <c r="BB57" s="519">
        <f t="shared" si="34"/>
        <v>631822.09021050006</v>
      </c>
      <c r="BC57" s="519">
        <v>4850.1000000000004</v>
      </c>
      <c r="BD57" s="519">
        <f t="shared" si="5"/>
        <v>-60</v>
      </c>
      <c r="BE57" s="519">
        <f t="shared" si="19"/>
        <v>4790.1000000000004</v>
      </c>
      <c r="BF57" s="513" t="s">
        <v>1771</v>
      </c>
      <c r="BG57" s="514" t="s">
        <v>1771</v>
      </c>
      <c r="BH57" s="510" t="s">
        <v>1771</v>
      </c>
      <c r="BI57" s="522"/>
    </row>
    <row r="58" spans="1:61" s="523" customFormat="1" ht="120">
      <c r="A58" s="538" t="s">
        <v>6103</v>
      </c>
      <c r="B58" s="507" t="s">
        <v>3042</v>
      </c>
      <c r="C58" s="507" t="s">
        <v>3774</v>
      </c>
      <c r="D58" s="508" t="s">
        <v>4089</v>
      </c>
      <c r="E58" s="507" t="s">
        <v>4086</v>
      </c>
      <c r="F58" s="507" t="s">
        <v>4087</v>
      </c>
      <c r="G58" s="509">
        <v>211567662</v>
      </c>
      <c r="H58" s="507" t="s">
        <v>4264</v>
      </c>
      <c r="I58" s="510" t="s">
        <v>1771</v>
      </c>
      <c r="J58" s="510">
        <v>1</v>
      </c>
      <c r="K58" s="507">
        <f>1+5+7+7+7+5+5+5+4</f>
        <v>46</v>
      </c>
      <c r="L58" s="507">
        <f>1.48+826.5+897.5+902.5+941+948.5+928.5+937+613</f>
        <v>6995.98</v>
      </c>
      <c r="M58" s="511">
        <v>44365</v>
      </c>
      <c r="N58" s="511">
        <v>44366</v>
      </c>
      <c r="O58" s="511">
        <v>44366</v>
      </c>
      <c r="P58" s="511">
        <v>44398</v>
      </c>
      <c r="Q58" s="511">
        <v>44412</v>
      </c>
      <c r="R58" s="512" t="s">
        <v>4396</v>
      </c>
      <c r="S58" s="515" t="s">
        <v>3752</v>
      </c>
      <c r="T58" s="510" t="s">
        <v>3949</v>
      </c>
      <c r="U58" s="516" t="s">
        <v>3031</v>
      </c>
      <c r="V58" s="359">
        <v>44405</v>
      </c>
      <c r="W58" s="510" t="s">
        <v>3147</v>
      </c>
      <c r="X58" s="510" t="s">
        <v>3147</v>
      </c>
      <c r="Y58" s="511">
        <v>44399</v>
      </c>
      <c r="Z58" s="510" t="s">
        <v>3252</v>
      </c>
      <c r="AA58" s="510" t="s">
        <v>3982</v>
      </c>
      <c r="AB58" s="510" t="s">
        <v>4393</v>
      </c>
      <c r="AC58" s="510" t="s">
        <v>2146</v>
      </c>
      <c r="AD58" s="511">
        <v>44407</v>
      </c>
      <c r="AE58" s="515">
        <v>5305.75</v>
      </c>
      <c r="AF58" s="507" t="s">
        <v>4090</v>
      </c>
      <c r="AG58" s="510" t="s">
        <v>3108</v>
      </c>
      <c r="AH58" s="517">
        <v>163210.35</v>
      </c>
      <c r="AI58" s="517">
        <v>3389</v>
      </c>
      <c r="AJ58" s="517">
        <v>9</v>
      </c>
      <c r="AK58" s="517">
        <f t="shared" ref="AK58" si="47">SUM(AH58:AJ58)</f>
        <v>166608.35</v>
      </c>
      <c r="AL58" s="518">
        <v>5.0682</v>
      </c>
      <c r="AM58" s="519">
        <f t="shared" si="31"/>
        <v>844404.43946999998</v>
      </c>
      <c r="AN58" s="519">
        <v>0</v>
      </c>
      <c r="AO58" s="510">
        <v>5</v>
      </c>
      <c r="AP58" s="519">
        <v>6762.35</v>
      </c>
      <c r="AQ58" s="519">
        <v>85116.67</v>
      </c>
      <c r="AR58" s="519">
        <v>17732.5</v>
      </c>
      <c r="AS58" s="519">
        <v>81485.05</v>
      </c>
      <c r="AT58" s="519">
        <v>209716.62</v>
      </c>
      <c r="AU58" s="519">
        <v>4705.8599999999997</v>
      </c>
      <c r="AV58" s="519">
        <v>285.33999999999997</v>
      </c>
      <c r="AW58" s="510" t="s">
        <v>3139</v>
      </c>
      <c r="AX58" s="627">
        <f t="shared" si="32"/>
        <v>44412</v>
      </c>
      <c r="AY58" s="519">
        <v>3221</v>
      </c>
      <c r="AZ58" s="519">
        <f t="shared" si="36"/>
        <v>1266606.6592049999</v>
      </c>
      <c r="BA58" s="521">
        <f t="shared" si="41"/>
        <v>1</v>
      </c>
      <c r="BB58" s="519">
        <f t="shared" si="34"/>
        <v>1266606.6592049999</v>
      </c>
      <c r="BC58" s="519">
        <v>5230.99</v>
      </c>
      <c r="BD58" s="519">
        <f t="shared" si="5"/>
        <v>-50</v>
      </c>
      <c r="BE58" s="519">
        <f t="shared" si="19"/>
        <v>5180.99</v>
      </c>
      <c r="BF58" s="513" t="s">
        <v>1771</v>
      </c>
      <c r="BG58" s="514" t="s">
        <v>1771</v>
      </c>
      <c r="BH58" s="510" t="s">
        <v>1771</v>
      </c>
      <c r="BI58" s="522"/>
    </row>
    <row r="59" spans="1:61" s="523" customFormat="1" ht="144">
      <c r="A59" s="538" t="s">
        <v>6104</v>
      </c>
      <c r="B59" s="507" t="s">
        <v>3042</v>
      </c>
      <c r="C59" s="507" t="s">
        <v>3774</v>
      </c>
      <c r="D59" s="508" t="s">
        <v>4299</v>
      </c>
      <c r="E59" s="507" t="s">
        <v>4266</v>
      </c>
      <c r="F59" s="507" t="s">
        <v>4267</v>
      </c>
      <c r="G59" s="509" t="s">
        <v>4281</v>
      </c>
      <c r="H59" s="507" t="s">
        <v>4288</v>
      </c>
      <c r="I59" s="510">
        <v>1</v>
      </c>
      <c r="J59" s="510" t="s">
        <v>1771</v>
      </c>
      <c r="K59" s="507">
        <f>2+6+1+1+2+7+7+1</f>
        <v>27</v>
      </c>
      <c r="L59" s="507">
        <f>8.46+722+7.78+2.96+365+903.5+898+1</f>
        <v>2908.7</v>
      </c>
      <c r="M59" s="621">
        <v>44375</v>
      </c>
      <c r="N59" s="511">
        <v>44375</v>
      </c>
      <c r="O59" s="511">
        <v>44375</v>
      </c>
      <c r="P59" s="511">
        <v>44415</v>
      </c>
      <c r="Q59" s="511">
        <v>44421</v>
      </c>
      <c r="R59" s="512" t="s">
        <v>4418</v>
      </c>
      <c r="S59" s="515" t="s">
        <v>3752</v>
      </c>
      <c r="T59" s="510" t="s">
        <v>3949</v>
      </c>
      <c r="U59" s="516" t="s">
        <v>3031</v>
      </c>
      <c r="V59" s="359">
        <v>44407</v>
      </c>
      <c r="W59" s="510" t="s">
        <v>3337</v>
      </c>
      <c r="X59" s="510" t="s">
        <v>3341</v>
      </c>
      <c r="Y59" s="511">
        <v>44417</v>
      </c>
      <c r="Z59" s="510" t="s">
        <v>3252</v>
      </c>
      <c r="AA59" s="510" t="s">
        <v>3982</v>
      </c>
      <c r="AB59" s="510" t="s">
        <v>4414</v>
      </c>
      <c r="AC59" s="510" t="s">
        <v>2146</v>
      </c>
      <c r="AD59" s="511">
        <v>44420</v>
      </c>
      <c r="AE59" s="515">
        <v>2110.7114999999999</v>
      </c>
      <c r="AF59" s="507" t="s">
        <v>4282</v>
      </c>
      <c r="AG59" s="510" t="s">
        <v>3108</v>
      </c>
      <c r="AH59" s="517">
        <v>24290.89</v>
      </c>
      <c r="AI59" s="517">
        <v>3096</v>
      </c>
      <c r="AJ59" s="517">
        <v>8</v>
      </c>
      <c r="AK59" s="517">
        <f t="shared" ref="AK59" si="48">SUM(AH59:AJ59)</f>
        <v>27394.89</v>
      </c>
      <c r="AL59" s="518">
        <v>5.2012999999999998</v>
      </c>
      <c r="AM59" s="519">
        <f t="shared" si="31"/>
        <v>142489.04135699998</v>
      </c>
      <c r="AN59" s="519">
        <v>0</v>
      </c>
      <c r="AO59" s="510">
        <v>12</v>
      </c>
      <c r="AP59" s="519">
        <v>10442.17</v>
      </c>
      <c r="AQ59" s="519">
        <v>15321.87</v>
      </c>
      <c r="AR59" s="519">
        <v>2992.27</v>
      </c>
      <c r="AS59" s="519">
        <v>13750.15</v>
      </c>
      <c r="AT59" s="519">
        <v>38235.269999999997</v>
      </c>
      <c r="AU59" s="519">
        <v>4077.73</v>
      </c>
      <c r="AV59" s="519">
        <v>431.88</v>
      </c>
      <c r="AW59" s="510" t="s">
        <v>3139</v>
      </c>
      <c r="AX59" s="627">
        <f t="shared" si="32"/>
        <v>44421</v>
      </c>
      <c r="AY59" s="519">
        <v>1210.5</v>
      </c>
      <c r="AZ59" s="519">
        <f t="shared" si="36"/>
        <v>213733.56203549996</v>
      </c>
      <c r="BA59" s="521">
        <f t="shared" si="41"/>
        <v>1</v>
      </c>
      <c r="BB59" s="519">
        <f t="shared" si="34"/>
        <v>213733.56203549996</v>
      </c>
      <c r="BC59" s="519">
        <v>4627.66</v>
      </c>
      <c r="BD59" s="519">
        <f t="shared" si="5"/>
        <v>20</v>
      </c>
      <c r="BE59" s="519">
        <f t="shared" si="19"/>
        <v>4647.66</v>
      </c>
      <c r="BF59" s="513" t="s">
        <v>1771</v>
      </c>
      <c r="BG59" s="514" t="s">
        <v>1771</v>
      </c>
      <c r="BH59" s="510" t="s">
        <v>1771</v>
      </c>
      <c r="BI59" s="522"/>
    </row>
    <row r="60" spans="1:61" s="523" customFormat="1" ht="192">
      <c r="A60" s="538" t="s">
        <v>6105</v>
      </c>
      <c r="B60" s="507" t="s">
        <v>3042</v>
      </c>
      <c r="C60" s="507" t="s">
        <v>3774</v>
      </c>
      <c r="D60" s="508" t="s">
        <v>4298</v>
      </c>
      <c r="E60" s="507" t="s">
        <v>4294</v>
      </c>
      <c r="F60" s="507" t="s">
        <v>4295</v>
      </c>
      <c r="G60" s="509" t="s">
        <v>4378</v>
      </c>
      <c r="H60" s="507" t="s">
        <v>4291</v>
      </c>
      <c r="I60" s="510" t="s">
        <v>1771</v>
      </c>
      <c r="J60" s="510">
        <v>1</v>
      </c>
      <c r="K60" s="507">
        <f>3+5+5+5+1+2+2+1+9+5+7</f>
        <v>45</v>
      </c>
      <c r="L60" s="507">
        <f>519.5+1056+864+1056+71+137+137.5+2.44+1418.5+765.5+1352</f>
        <v>7379.4400000000005</v>
      </c>
      <c r="M60" s="511">
        <v>44392</v>
      </c>
      <c r="N60" s="511">
        <v>44393</v>
      </c>
      <c r="O60" s="511">
        <v>44393</v>
      </c>
      <c r="P60" s="511">
        <v>44428</v>
      </c>
      <c r="Q60" s="511">
        <v>44433</v>
      </c>
      <c r="R60" s="512" t="s">
        <v>4442</v>
      </c>
      <c r="S60" s="515" t="s">
        <v>3752</v>
      </c>
      <c r="T60" s="510" t="s">
        <v>3128</v>
      </c>
      <c r="U60" s="516" t="s">
        <v>3031</v>
      </c>
      <c r="V60" s="359">
        <v>44427</v>
      </c>
      <c r="W60" s="510" t="s">
        <v>3337</v>
      </c>
      <c r="X60" s="510" t="s">
        <v>3341</v>
      </c>
      <c r="Y60" s="511">
        <v>44431</v>
      </c>
      <c r="Z60" s="510" t="s">
        <v>3252</v>
      </c>
      <c r="AA60" s="510" t="s">
        <v>3982</v>
      </c>
      <c r="AB60" s="510" t="s">
        <v>4429</v>
      </c>
      <c r="AC60" s="510" t="s">
        <v>2146</v>
      </c>
      <c r="AD60" s="511">
        <v>44432</v>
      </c>
      <c r="AE60" s="515">
        <v>5503.3746000000001</v>
      </c>
      <c r="AF60" s="507" t="s">
        <v>4279</v>
      </c>
      <c r="AG60" s="510" t="s">
        <v>3108</v>
      </c>
      <c r="AH60" s="517">
        <v>109945.95</v>
      </c>
      <c r="AI60" s="517">
        <v>3312</v>
      </c>
      <c r="AJ60" s="517">
        <v>11</v>
      </c>
      <c r="AK60" s="517">
        <f t="shared" ref="AK60" si="49">SUM(AH60:AJ60)</f>
        <v>113268.95</v>
      </c>
      <c r="AL60" s="518">
        <v>5.3685999999999998</v>
      </c>
      <c r="AM60" s="519">
        <f t="shared" si="31"/>
        <v>608095.68496999994</v>
      </c>
      <c r="AN60" s="519">
        <v>0</v>
      </c>
      <c r="AO60" s="510">
        <v>8</v>
      </c>
      <c r="AP60" s="519">
        <v>10359.65</v>
      </c>
      <c r="AQ60" s="519">
        <v>62326.42</v>
      </c>
      <c r="AR60" s="519">
        <v>12770.02</v>
      </c>
      <c r="AS60" s="519">
        <v>58681.21</v>
      </c>
      <c r="AT60" s="519">
        <v>152511.84</v>
      </c>
      <c r="AU60" s="519">
        <v>4515.08</v>
      </c>
      <c r="AV60" s="519">
        <v>354.76</v>
      </c>
      <c r="AW60" s="510" t="s">
        <v>3139</v>
      </c>
      <c r="AX60" s="627">
        <f t="shared" si="32"/>
        <v>44433</v>
      </c>
      <c r="AY60" s="519">
        <v>1210.5</v>
      </c>
      <c r="AZ60" s="519">
        <f t="shared" si="36"/>
        <v>912143.52745499997</v>
      </c>
      <c r="BA60" s="521">
        <f t="shared" si="41"/>
        <v>1</v>
      </c>
      <c r="BB60" s="519">
        <f t="shared" si="34"/>
        <v>912143.52745499997</v>
      </c>
      <c r="BC60" s="519">
        <v>5040.21</v>
      </c>
      <c r="BD60" s="519">
        <f t="shared" si="5"/>
        <v>-20</v>
      </c>
      <c r="BE60" s="519">
        <f t="shared" si="19"/>
        <v>5020.21</v>
      </c>
      <c r="BF60" s="513" t="s">
        <v>1771</v>
      </c>
      <c r="BG60" s="514" t="s">
        <v>1771</v>
      </c>
      <c r="BH60" s="510" t="s">
        <v>1771</v>
      </c>
      <c r="BI60" s="522"/>
    </row>
    <row r="61" spans="1:61" s="523" customFormat="1" ht="168">
      <c r="A61" s="538" t="s">
        <v>6106</v>
      </c>
      <c r="B61" s="507" t="s">
        <v>3042</v>
      </c>
      <c r="C61" s="507" t="s">
        <v>3774</v>
      </c>
      <c r="D61" s="508" t="s">
        <v>4280</v>
      </c>
      <c r="E61" s="507" t="s">
        <v>4277</v>
      </c>
      <c r="F61" s="507" t="s">
        <v>4278</v>
      </c>
      <c r="G61" s="509" t="s">
        <v>4292</v>
      </c>
      <c r="H61" s="507" t="s">
        <v>4291</v>
      </c>
      <c r="I61" s="510" t="s">
        <v>1771</v>
      </c>
      <c r="J61" s="510">
        <v>1</v>
      </c>
      <c r="K61" s="507">
        <f>5+5+7+5+1+2+5+5+5</f>
        <v>40</v>
      </c>
      <c r="L61" s="507">
        <f>927+935.5+919.5+922.5+66.5+131.5+848.5+934+931.5</f>
        <v>6616.5</v>
      </c>
      <c r="M61" s="511">
        <v>44384</v>
      </c>
      <c r="N61" s="511">
        <v>44385</v>
      </c>
      <c r="O61" s="511">
        <v>44385</v>
      </c>
      <c r="P61" s="511">
        <v>44428</v>
      </c>
      <c r="Q61" s="511">
        <v>44440</v>
      </c>
      <c r="R61" s="512" t="s">
        <v>4445</v>
      </c>
      <c r="S61" s="515" t="s">
        <v>3752</v>
      </c>
      <c r="T61" s="510" t="s">
        <v>3128</v>
      </c>
      <c r="U61" s="516" t="s">
        <v>3031</v>
      </c>
      <c r="V61" s="359">
        <v>44427</v>
      </c>
      <c r="W61" s="510" t="s">
        <v>3337</v>
      </c>
      <c r="X61" s="510" t="s">
        <v>3341</v>
      </c>
      <c r="Y61" s="511">
        <v>44431</v>
      </c>
      <c r="Z61" s="510" t="s">
        <v>3252</v>
      </c>
      <c r="AA61" s="510" t="s">
        <v>3982</v>
      </c>
      <c r="AB61" s="510" t="s">
        <v>4444</v>
      </c>
      <c r="AC61" s="510" t="s">
        <v>2146</v>
      </c>
      <c r="AD61" s="511">
        <v>44439</v>
      </c>
      <c r="AE61" s="516">
        <v>5197</v>
      </c>
      <c r="AF61" s="507" t="s">
        <v>4279</v>
      </c>
      <c r="AG61" s="510" t="s">
        <v>3108</v>
      </c>
      <c r="AH61" s="517">
        <v>198931.54</v>
      </c>
      <c r="AI61" s="517">
        <v>3312</v>
      </c>
      <c r="AJ61" s="517">
        <v>9</v>
      </c>
      <c r="AK61" s="517">
        <f t="shared" ref="AK61:AK62" si="50">SUM(AH61:AJ61)</f>
        <v>202252.54</v>
      </c>
      <c r="AL61" s="518">
        <v>5.1951999999999998</v>
      </c>
      <c r="AM61" s="519">
        <f t="shared" si="31"/>
        <v>1050742.3958080001</v>
      </c>
      <c r="AN61" s="519">
        <v>0</v>
      </c>
      <c r="AO61" s="510">
        <v>4</v>
      </c>
      <c r="AP61" s="519">
        <v>2889.33</v>
      </c>
      <c r="AQ61" s="519">
        <v>105576.63</v>
      </c>
      <c r="AR61" s="519">
        <v>22065.599999999999</v>
      </c>
      <c r="AS61" s="519">
        <v>101396.66</v>
      </c>
      <c r="AT61" s="519">
        <v>259433.5</v>
      </c>
      <c r="AU61" s="519">
        <v>4515.08</v>
      </c>
      <c r="AV61" s="519">
        <v>254.49</v>
      </c>
      <c r="AW61" s="510" t="s">
        <v>3139</v>
      </c>
      <c r="AX61" s="627">
        <f t="shared" si="32"/>
        <v>44440</v>
      </c>
      <c r="AY61" s="519">
        <v>2085.14</v>
      </c>
      <c r="AZ61" s="519">
        <f t="shared" si="36"/>
        <v>1576113.5937120002</v>
      </c>
      <c r="BA61" s="521">
        <f t="shared" si="41"/>
        <v>1</v>
      </c>
      <c r="BB61" s="519">
        <f t="shared" si="34"/>
        <v>1576113.5937120002</v>
      </c>
      <c r="BC61" s="519">
        <v>5040.21</v>
      </c>
      <c r="BD61" s="519">
        <f t="shared" si="5"/>
        <v>-60</v>
      </c>
      <c r="BE61" s="519">
        <f t="shared" si="19"/>
        <v>4980.21</v>
      </c>
      <c r="BF61" s="513" t="s">
        <v>1771</v>
      </c>
      <c r="BG61" s="514" t="s">
        <v>1771</v>
      </c>
      <c r="BH61" s="510" t="s">
        <v>1771</v>
      </c>
      <c r="BI61" s="522"/>
    </row>
    <row r="62" spans="1:61" s="523" customFormat="1" ht="192">
      <c r="A62" s="538" t="s">
        <v>6107</v>
      </c>
      <c r="B62" s="507" t="s">
        <v>3042</v>
      </c>
      <c r="C62" s="507" t="s">
        <v>3774</v>
      </c>
      <c r="D62" s="508" t="s">
        <v>4383</v>
      </c>
      <c r="E62" s="507" t="s">
        <v>4379</v>
      </c>
      <c r="F62" s="507" t="s">
        <v>4380</v>
      </c>
      <c r="G62" s="509" t="s">
        <v>4385</v>
      </c>
      <c r="H62" s="507" t="s">
        <v>4285</v>
      </c>
      <c r="I62" s="510" t="s">
        <v>1771</v>
      </c>
      <c r="J62" s="510">
        <v>1</v>
      </c>
      <c r="K62" s="507">
        <f>2+7+1+2+2+1+2+3+15+10+1+1+1+2+2+10</f>
        <v>62</v>
      </c>
      <c r="L62" s="507">
        <f>6.52+728+8.62+136+9.18+2.36+2.62+189+2126.66+1724.5+28+67.5+1.32+12.8+13.22+1715.5</f>
        <v>6771.8</v>
      </c>
      <c r="M62" s="511">
        <v>44400</v>
      </c>
      <c r="N62" s="511">
        <v>44401</v>
      </c>
      <c r="O62" s="511">
        <v>44401</v>
      </c>
      <c r="P62" s="511">
        <v>44428</v>
      </c>
      <c r="Q62" s="511">
        <v>44440</v>
      </c>
      <c r="R62" s="512" t="s">
        <v>4446</v>
      </c>
      <c r="S62" s="515" t="s">
        <v>3752</v>
      </c>
      <c r="T62" s="510" t="s">
        <v>3128</v>
      </c>
      <c r="U62" s="516" t="s">
        <v>3031</v>
      </c>
      <c r="V62" s="359">
        <v>44421</v>
      </c>
      <c r="W62" s="510" t="s">
        <v>3337</v>
      </c>
      <c r="X62" s="510" t="s">
        <v>3341</v>
      </c>
      <c r="Y62" s="511">
        <v>44431</v>
      </c>
      <c r="Z62" s="510" t="s">
        <v>3252</v>
      </c>
      <c r="AA62" s="510" t="s">
        <v>3982</v>
      </c>
      <c r="AB62" s="510" t="s">
        <v>4443</v>
      </c>
      <c r="AC62" s="510" t="s">
        <v>2146</v>
      </c>
      <c r="AD62" s="511">
        <v>44439</v>
      </c>
      <c r="AE62" s="515">
        <v>4733.1503000000002</v>
      </c>
      <c r="AF62" s="507" t="s">
        <v>4384</v>
      </c>
      <c r="AG62" s="510" t="s">
        <v>3108</v>
      </c>
      <c r="AH62" s="517">
        <v>48618.91</v>
      </c>
      <c r="AI62" s="517">
        <v>3312</v>
      </c>
      <c r="AJ62" s="517">
        <v>16</v>
      </c>
      <c r="AK62" s="517">
        <f t="shared" si="50"/>
        <v>51946.91</v>
      </c>
      <c r="AL62" s="518">
        <v>5.1951999999999998</v>
      </c>
      <c r="AM62" s="519">
        <f t="shared" si="31"/>
        <v>269874.586832</v>
      </c>
      <c r="AN62" s="519">
        <v>0</v>
      </c>
      <c r="AO62" s="510">
        <v>17</v>
      </c>
      <c r="AP62" s="519">
        <v>19917.400000000001</v>
      </c>
      <c r="AQ62" s="519">
        <v>29495.06</v>
      </c>
      <c r="AR62" s="519">
        <v>5667.36</v>
      </c>
      <c r="AS62" s="519">
        <v>26042.87</v>
      </c>
      <c r="AT62" s="519">
        <v>71676.39</v>
      </c>
      <c r="AU62" s="519">
        <v>4515.08</v>
      </c>
      <c r="AV62" s="519">
        <v>508.98</v>
      </c>
      <c r="AW62" s="510" t="s">
        <v>3139</v>
      </c>
      <c r="AX62" s="627">
        <f>Q62</f>
        <v>44440</v>
      </c>
      <c r="AY62" s="519">
        <v>2085.14</v>
      </c>
      <c r="AZ62" s="519">
        <f t="shared" si="36"/>
        <v>404811.88024800003</v>
      </c>
      <c r="BA62" s="521">
        <f t="shared" si="41"/>
        <v>1</v>
      </c>
      <c r="BB62" s="519">
        <f t="shared" si="34"/>
        <v>404811.88024800003</v>
      </c>
      <c r="BC62" s="519">
        <v>5127.01</v>
      </c>
      <c r="BD62" s="519">
        <f t="shared" si="5"/>
        <v>70</v>
      </c>
      <c r="BE62" s="519">
        <f t="shared" si="19"/>
        <v>5197.01</v>
      </c>
      <c r="BF62" s="513" t="s">
        <v>1771</v>
      </c>
      <c r="BG62" s="514" t="s">
        <v>1771</v>
      </c>
      <c r="BH62" s="510" t="s">
        <v>1771</v>
      </c>
      <c r="BI62" s="522"/>
    </row>
    <row r="63" spans="1:61" s="523" customFormat="1" ht="168">
      <c r="A63" s="538" t="s">
        <v>6108</v>
      </c>
      <c r="B63" s="507" t="s">
        <v>3042</v>
      </c>
      <c r="C63" s="507" t="s">
        <v>3774</v>
      </c>
      <c r="D63" s="508" t="s">
        <v>4289</v>
      </c>
      <c r="E63" s="507" t="s">
        <v>4283</v>
      </c>
      <c r="F63" s="507" t="s">
        <v>4284</v>
      </c>
      <c r="G63" s="509" t="s">
        <v>4286</v>
      </c>
      <c r="H63" s="507" t="s">
        <v>4285</v>
      </c>
      <c r="I63" s="510" t="s">
        <v>1771</v>
      </c>
      <c r="J63" s="510">
        <v>1</v>
      </c>
      <c r="K63" s="507">
        <f>7+7+7+7+7+7+2</f>
        <v>44</v>
      </c>
      <c r="L63" s="507">
        <f>915+921+916+913+922+925.5+129.5</f>
        <v>5642</v>
      </c>
      <c r="M63" s="511">
        <v>44389</v>
      </c>
      <c r="N63" s="511">
        <v>44387</v>
      </c>
      <c r="O63" s="511">
        <v>44387</v>
      </c>
      <c r="P63" s="511">
        <v>44428</v>
      </c>
      <c r="Q63" s="511">
        <v>44442</v>
      </c>
      <c r="R63" s="512" t="s">
        <v>4459</v>
      </c>
      <c r="S63" s="515" t="s">
        <v>3752</v>
      </c>
      <c r="T63" s="510" t="s">
        <v>3128</v>
      </c>
      <c r="U63" s="516" t="s">
        <v>3031</v>
      </c>
      <c r="V63" s="359">
        <v>44421</v>
      </c>
      <c r="W63" s="510" t="s">
        <v>3337</v>
      </c>
      <c r="X63" s="510" t="s">
        <v>3341</v>
      </c>
      <c r="Y63" s="511">
        <v>44431</v>
      </c>
      <c r="Z63" s="510" t="s">
        <v>3252</v>
      </c>
      <c r="AA63" s="510" t="s">
        <v>3982</v>
      </c>
      <c r="AB63" s="510" t="s">
        <v>4453</v>
      </c>
      <c r="AC63" s="510" t="s">
        <v>2146</v>
      </c>
      <c r="AD63" s="511">
        <v>44440</v>
      </c>
      <c r="AE63" s="515">
        <v>3866</v>
      </c>
      <c r="AF63" s="507" t="s">
        <v>4279</v>
      </c>
      <c r="AG63" s="510" t="s">
        <v>3108</v>
      </c>
      <c r="AH63" s="517">
        <v>34053.910000000003</v>
      </c>
      <c r="AI63" s="517">
        <v>3312</v>
      </c>
      <c r="AJ63" s="517">
        <v>7</v>
      </c>
      <c r="AK63" s="517">
        <f t="shared" ref="AK63:AK64" si="51">SUM(AH63:AJ63)</f>
        <v>37372.910000000003</v>
      </c>
      <c r="AL63" s="518">
        <v>5.1433</v>
      </c>
      <c r="AM63" s="519">
        <f t="shared" si="31"/>
        <v>192220.08800300001</v>
      </c>
      <c r="AN63" s="519">
        <v>0</v>
      </c>
      <c r="AO63" s="510">
        <v>4</v>
      </c>
      <c r="AP63" s="519">
        <v>14053.59</v>
      </c>
      <c r="AQ63" s="519">
        <v>20768.2</v>
      </c>
      <c r="AR63" s="519">
        <v>4036.63</v>
      </c>
      <c r="AS63" s="519">
        <v>18549.23</v>
      </c>
      <c r="AT63" s="519">
        <v>51284.4</v>
      </c>
      <c r="AU63" s="519">
        <v>4515.08</v>
      </c>
      <c r="AV63" s="519">
        <v>254.49</v>
      </c>
      <c r="AW63" s="510" t="s">
        <v>3139</v>
      </c>
      <c r="AX63" s="627" t="e">
        <f>#REF!</f>
        <v>#REF!</v>
      </c>
      <c r="AY63" s="519">
        <v>2406.31</v>
      </c>
      <c r="AZ63" s="519">
        <f t="shared" si="36"/>
        <v>288330.13200450002</v>
      </c>
      <c r="BA63" s="521">
        <f t="shared" si="41"/>
        <v>1</v>
      </c>
      <c r="BB63" s="519">
        <f t="shared" si="34"/>
        <v>288330.13200450002</v>
      </c>
      <c r="BC63" s="519">
        <v>5040.21</v>
      </c>
      <c r="BD63" s="519">
        <f t="shared" si="5"/>
        <v>-60</v>
      </c>
      <c r="BE63" s="519">
        <f t="shared" si="19"/>
        <v>4980.21</v>
      </c>
      <c r="BF63" s="513" t="s">
        <v>1771</v>
      </c>
      <c r="BG63" s="514" t="s">
        <v>1771</v>
      </c>
      <c r="BH63" s="510" t="s">
        <v>1771</v>
      </c>
      <c r="BI63" s="522"/>
    </row>
    <row r="64" spans="1:61" s="523" customFormat="1" ht="168">
      <c r="A64" s="538" t="s">
        <v>6109</v>
      </c>
      <c r="B64" s="507" t="s">
        <v>3042</v>
      </c>
      <c r="C64" s="507" t="s">
        <v>3774</v>
      </c>
      <c r="D64" s="508" t="s">
        <v>4388</v>
      </c>
      <c r="E64" s="507" t="s">
        <v>4386</v>
      </c>
      <c r="F64" s="507" t="s">
        <v>4387</v>
      </c>
      <c r="G64" s="509">
        <v>912695890</v>
      </c>
      <c r="H64" s="507" t="s">
        <v>4395</v>
      </c>
      <c r="I64" s="510">
        <v>1</v>
      </c>
      <c r="J64" s="510">
        <v>2</v>
      </c>
      <c r="K64" s="507">
        <f>10+5+2+10+16+2+12+10+9+1+2+2+14</f>
        <v>95</v>
      </c>
      <c r="L64" s="507">
        <f>594+296.5+221+602.5+1029.98+128+1485+1729+643.04+3.05+128.5+127+1007</f>
        <v>7994.57</v>
      </c>
      <c r="M64" s="511">
        <v>44403</v>
      </c>
      <c r="N64" s="511">
        <v>44404</v>
      </c>
      <c r="O64" s="511">
        <v>44404</v>
      </c>
      <c r="P64" s="511">
        <v>44443</v>
      </c>
      <c r="Q64" s="511">
        <v>44442</v>
      </c>
      <c r="R64" s="512" t="s">
        <v>4460</v>
      </c>
      <c r="S64" s="515" t="s">
        <v>3752</v>
      </c>
      <c r="T64" s="510" t="s">
        <v>3949</v>
      </c>
      <c r="U64" s="516" t="s">
        <v>3031</v>
      </c>
      <c r="V64" s="359">
        <v>44421</v>
      </c>
      <c r="W64" s="510" t="s">
        <v>3261</v>
      </c>
      <c r="X64" s="510" t="s">
        <v>3261</v>
      </c>
      <c r="Y64" s="511">
        <v>44435</v>
      </c>
      <c r="Z64" s="510" t="s">
        <v>3252</v>
      </c>
      <c r="AA64" s="510" t="s">
        <v>3982</v>
      </c>
      <c r="AB64" s="510" t="s">
        <v>4454</v>
      </c>
      <c r="AC64" s="510" t="s">
        <v>2146</v>
      </c>
      <c r="AD64" s="511">
        <v>44440</v>
      </c>
      <c r="AE64" s="515">
        <v>4534.7254999999996</v>
      </c>
      <c r="AF64" s="507" t="s">
        <v>4389</v>
      </c>
      <c r="AG64" s="510" t="s">
        <v>3108</v>
      </c>
      <c r="AH64" s="517">
        <v>39489.800000000003</v>
      </c>
      <c r="AI64" s="517">
        <v>10048</v>
      </c>
      <c r="AJ64" s="517">
        <v>13</v>
      </c>
      <c r="AK64" s="517">
        <f t="shared" si="51"/>
        <v>49550.8</v>
      </c>
      <c r="AL64" s="518">
        <v>5.1433</v>
      </c>
      <c r="AM64" s="519">
        <f t="shared" si="31"/>
        <v>254854.62964000003</v>
      </c>
      <c r="AN64" s="519">
        <v>0</v>
      </c>
      <c r="AO64" s="510">
        <v>17</v>
      </c>
      <c r="AP64" s="519">
        <v>21568.98</v>
      </c>
      <c r="AQ64" s="519">
        <v>29421.61</v>
      </c>
      <c r="AR64" s="519">
        <v>5351.95</v>
      </c>
      <c r="AS64" s="519">
        <v>24593.47</v>
      </c>
      <c r="AT64" s="519">
        <v>70401.440000000002</v>
      </c>
      <c r="AU64" s="519">
        <v>13839.58</v>
      </c>
      <c r="AV64" s="519">
        <v>508.98</v>
      </c>
      <c r="AW64" s="510" t="s">
        <v>3139</v>
      </c>
      <c r="AX64" s="627">
        <f t="shared" ref="AX64:AX119" si="52">Q64</f>
        <v>44442</v>
      </c>
      <c r="AY64" s="519">
        <v>4859.01</v>
      </c>
      <c r="AZ64" s="519">
        <f t="shared" si="36"/>
        <v>382281.94446000003</v>
      </c>
      <c r="BA64" s="521">
        <f t="shared" si="41"/>
        <v>3</v>
      </c>
      <c r="BB64" s="519">
        <f t="shared" si="34"/>
        <v>127427.31482000001</v>
      </c>
      <c r="BC64" s="519">
        <v>14451.51</v>
      </c>
      <c r="BD64" s="519">
        <f t="shared" si="5"/>
        <v>70</v>
      </c>
      <c r="BE64" s="519">
        <f t="shared" si="19"/>
        <v>14521.51</v>
      </c>
      <c r="BF64" s="513" t="s">
        <v>1771</v>
      </c>
      <c r="BG64" s="514" t="s">
        <v>1771</v>
      </c>
      <c r="BH64" s="510" t="s">
        <v>1771</v>
      </c>
      <c r="BI64" s="522"/>
    </row>
    <row r="65" spans="1:61" s="523" customFormat="1" ht="252">
      <c r="A65" s="538" t="s">
        <v>6110</v>
      </c>
      <c r="B65" s="507" t="s">
        <v>3042</v>
      </c>
      <c r="C65" s="507" t="s">
        <v>3774</v>
      </c>
      <c r="D65" s="508" t="s">
        <v>4402</v>
      </c>
      <c r="E65" s="507" t="s">
        <v>4397</v>
      </c>
      <c r="F65" s="507" t="s">
        <v>4398</v>
      </c>
      <c r="G65" s="509" t="s">
        <v>4399</v>
      </c>
      <c r="H65" s="507" t="s">
        <v>4400</v>
      </c>
      <c r="I65" s="510" t="s">
        <v>1771</v>
      </c>
      <c r="J65" s="510">
        <v>4</v>
      </c>
      <c r="K65" s="507">
        <f>8+31+8+35+6+1+1+8+2+1+7+8+2+40+21+49+9+5+1+2+11</f>
        <v>256</v>
      </c>
      <c r="L65" s="507">
        <f>62.8+1328.52+754.5+5014+1098.5+3864.24+1064+197+1089.5+7.38+1084.5+1173+6.1+41.98+5.76+383.5+722+5598.5+3170.5+5462+132</f>
        <v>32260.279999999995</v>
      </c>
      <c r="M65" s="511">
        <v>44407</v>
      </c>
      <c r="N65" s="511">
        <v>44407</v>
      </c>
      <c r="O65" s="511">
        <v>44407</v>
      </c>
      <c r="P65" s="511">
        <v>44444</v>
      </c>
      <c r="Q65" s="511">
        <v>44448</v>
      </c>
      <c r="R65" s="512" t="s">
        <v>4491</v>
      </c>
      <c r="S65" s="515" t="s">
        <v>3752</v>
      </c>
      <c r="T65" s="510" t="s">
        <v>3128</v>
      </c>
      <c r="U65" s="516" t="s">
        <v>3031</v>
      </c>
      <c r="V65" s="359">
        <v>44439</v>
      </c>
      <c r="W65" s="510" t="s">
        <v>3337</v>
      </c>
      <c r="X65" s="510" t="s">
        <v>3341</v>
      </c>
      <c r="Y65" s="511">
        <v>44447</v>
      </c>
      <c r="Z65" s="510" t="s">
        <v>3252</v>
      </c>
      <c r="AA65" s="510" t="s">
        <v>3982</v>
      </c>
      <c r="AB65" s="510" t="s">
        <v>4461</v>
      </c>
      <c r="AC65" s="510" t="s">
        <v>2146</v>
      </c>
      <c r="AD65" s="511">
        <v>44447</v>
      </c>
      <c r="AE65" s="515">
        <v>22293.033920000002</v>
      </c>
      <c r="AF65" s="507" t="s">
        <v>4401</v>
      </c>
      <c r="AG65" s="510" t="s">
        <v>3108</v>
      </c>
      <c r="AH65" s="517">
        <v>209641.58</v>
      </c>
      <c r="AI65" s="517">
        <v>13248</v>
      </c>
      <c r="AJ65" s="517">
        <v>12</v>
      </c>
      <c r="AK65" s="517">
        <f t="shared" ref="AK65" si="53">SUM(AH65:AJ65)</f>
        <v>222901.58</v>
      </c>
      <c r="AL65" s="518">
        <v>5.1772999999999998</v>
      </c>
      <c r="AM65" s="519">
        <f t="shared" si="31"/>
        <v>1154028.3501339999</v>
      </c>
      <c r="AN65" s="519">
        <v>0</v>
      </c>
      <c r="AO65" s="510">
        <v>42</v>
      </c>
      <c r="AP65" s="519">
        <v>82622.789999999994</v>
      </c>
      <c r="AQ65" s="519">
        <v>122290.43</v>
      </c>
      <c r="AR65" s="519">
        <v>24235.57</v>
      </c>
      <c r="AS65" s="519">
        <v>111368.21</v>
      </c>
      <c r="AT65" s="519">
        <v>303059.32</v>
      </c>
      <c r="AU65" s="519">
        <v>17139.27</v>
      </c>
      <c r="AV65" s="519">
        <v>724.86</v>
      </c>
      <c r="AW65" s="510" t="s">
        <v>3139</v>
      </c>
      <c r="AX65" s="627">
        <f t="shared" si="52"/>
        <v>44448</v>
      </c>
      <c r="AY65" s="519">
        <v>4842</v>
      </c>
      <c r="AZ65" s="519">
        <f t="shared" si="36"/>
        <v>1731042.5252009998</v>
      </c>
      <c r="BA65" s="521">
        <f t="shared" si="41"/>
        <v>4</v>
      </c>
      <c r="BB65" s="519">
        <f t="shared" si="34"/>
        <v>432760.63130024995</v>
      </c>
      <c r="BC65" s="519">
        <v>18061.2</v>
      </c>
      <c r="BD65" s="519">
        <f t="shared" si="5"/>
        <v>320</v>
      </c>
      <c r="BE65" s="519">
        <f t="shared" si="19"/>
        <v>18381.2</v>
      </c>
      <c r="BF65" s="513" t="s">
        <v>1771</v>
      </c>
      <c r="BG65" s="514" t="s">
        <v>1771</v>
      </c>
      <c r="BH65" s="510" t="s">
        <v>1771</v>
      </c>
      <c r="BI65" s="522"/>
    </row>
    <row r="66" spans="1:61" s="523" customFormat="1" ht="168">
      <c r="A66" s="538" t="s">
        <v>6111</v>
      </c>
      <c r="B66" s="507" t="s">
        <v>3042</v>
      </c>
      <c r="C66" s="507" t="s">
        <v>3774</v>
      </c>
      <c r="D66" s="508" t="s">
        <v>4405</v>
      </c>
      <c r="E66" s="507" t="s">
        <v>4403</v>
      </c>
      <c r="F66" s="507" t="s">
        <v>4404</v>
      </c>
      <c r="G66" s="509">
        <v>912764144</v>
      </c>
      <c r="H66" s="507" t="s">
        <v>4408</v>
      </c>
      <c r="I66" s="510" t="s">
        <v>1771</v>
      </c>
      <c r="J66" s="510">
        <v>2</v>
      </c>
      <c r="K66" s="507">
        <f>15+1+1+2+5+1+12+15+6+15+8+9+5+1</f>
        <v>96</v>
      </c>
      <c r="L66" s="507">
        <f>1858.5+3.46+6.22+14.23+941.5+181+1352.5+1749+959.95+1930+1108+1500.5+1104.5+127.5</f>
        <v>12836.86</v>
      </c>
      <c r="M66" s="511">
        <v>44413</v>
      </c>
      <c r="N66" s="511">
        <v>44414</v>
      </c>
      <c r="O66" s="511">
        <v>44414</v>
      </c>
      <c r="P66" s="511">
        <v>44444</v>
      </c>
      <c r="Q66" s="511">
        <v>44452</v>
      </c>
      <c r="R66" s="512" t="s">
        <v>4493</v>
      </c>
      <c r="S66" s="515" t="s">
        <v>3752</v>
      </c>
      <c r="T66" s="510" t="s">
        <v>3128</v>
      </c>
      <c r="U66" s="516" t="s">
        <v>3031</v>
      </c>
      <c r="V66" s="359">
        <v>44428</v>
      </c>
      <c r="W66" s="510" t="s">
        <v>3261</v>
      </c>
      <c r="X66" s="510" t="s">
        <v>3261</v>
      </c>
      <c r="Y66" s="511">
        <v>44447</v>
      </c>
      <c r="Z66" s="510" t="s">
        <v>3252</v>
      </c>
      <c r="AA66" s="510" t="s">
        <v>3982</v>
      </c>
      <c r="AB66" s="510" t="s">
        <v>4470</v>
      </c>
      <c r="AC66" s="510" t="s">
        <v>2146</v>
      </c>
      <c r="AD66" s="511">
        <v>44447</v>
      </c>
      <c r="AE66" s="515">
        <v>9007.6796200000008</v>
      </c>
      <c r="AF66" s="507" t="s">
        <v>3817</v>
      </c>
      <c r="AG66" s="510" t="s">
        <v>3108</v>
      </c>
      <c r="AH66" s="517">
        <v>285031.67</v>
      </c>
      <c r="AI66" s="517">
        <v>6940</v>
      </c>
      <c r="AJ66" s="517">
        <v>14</v>
      </c>
      <c r="AK66" s="517">
        <f t="shared" ref="AK66" si="54">SUM(AH66:AJ66)</f>
        <v>291985.67</v>
      </c>
      <c r="AL66" s="518">
        <v>5.1772999999999998</v>
      </c>
      <c r="AM66" s="519">
        <f t="shared" si="31"/>
        <v>1511697.4092909999</v>
      </c>
      <c r="AN66" s="519">
        <v>0</v>
      </c>
      <c r="AO66" s="510">
        <v>17</v>
      </c>
      <c r="AP66" s="519">
        <v>21342.38</v>
      </c>
      <c r="AQ66" s="519">
        <v>152500.73000000001</v>
      </c>
      <c r="AR66" s="519">
        <v>31745.68</v>
      </c>
      <c r="AS66" s="519">
        <v>145878.82</v>
      </c>
      <c r="AT66" s="519">
        <v>377699.85</v>
      </c>
      <c r="AU66" s="519">
        <v>9459.0400000000009</v>
      </c>
      <c r="AV66" s="519">
        <v>508.98</v>
      </c>
      <c r="AW66" s="510" t="s">
        <v>3139</v>
      </c>
      <c r="AX66" s="627">
        <f t="shared" si="52"/>
        <v>44452</v>
      </c>
      <c r="AY66" s="519">
        <v>5038.68</v>
      </c>
      <c r="AZ66" s="519">
        <f t="shared" si="36"/>
        <v>2267546.1139364997</v>
      </c>
      <c r="BA66" s="521">
        <f t="shared" si="41"/>
        <v>2</v>
      </c>
      <c r="BB66" s="519">
        <f t="shared" si="34"/>
        <v>1133773.0569682498</v>
      </c>
      <c r="BC66" s="519">
        <v>10070.969999999999</v>
      </c>
      <c r="BD66" s="519">
        <f t="shared" ref="BD66:BD119" si="55">(AO66-10)*10</f>
        <v>70</v>
      </c>
      <c r="BE66" s="519">
        <f t="shared" si="19"/>
        <v>10140.969999999999</v>
      </c>
      <c r="BF66" s="513" t="s">
        <v>1771</v>
      </c>
      <c r="BG66" s="514" t="s">
        <v>1771</v>
      </c>
      <c r="BH66" s="510" t="s">
        <v>1771</v>
      </c>
      <c r="BI66" s="522"/>
    </row>
    <row r="67" spans="1:61" s="523" customFormat="1" ht="240">
      <c r="A67" s="538" t="s">
        <v>6112</v>
      </c>
      <c r="B67" s="507" t="s">
        <v>3042</v>
      </c>
      <c r="C67" s="507" t="s">
        <v>3774</v>
      </c>
      <c r="D67" s="508" t="s">
        <v>4410</v>
      </c>
      <c r="E67" s="507" t="s">
        <v>4406</v>
      </c>
      <c r="F67" s="507" t="s">
        <v>4407</v>
      </c>
      <c r="G67" s="509" t="s">
        <v>4411</v>
      </c>
      <c r="H67" s="507" t="s">
        <v>4412</v>
      </c>
      <c r="I67" s="510" t="s">
        <v>1771</v>
      </c>
      <c r="J67" s="510">
        <v>2</v>
      </c>
      <c r="K67" s="507">
        <f>1+1+6+1+12+4+1+5+5+5+8+8+15+8+8+5+1+4+1+5</f>
        <v>104</v>
      </c>
      <c r="L67" s="507">
        <f>5.06+58.4+67.3+24.17+43.86+815+53.6+921.5+929+926+1104.5+1078+1841+1097+1114.5+955.5+7.07+684.5+0.92+408.7</f>
        <v>12135.58</v>
      </c>
      <c r="M67" s="511">
        <v>44417</v>
      </c>
      <c r="N67" s="511">
        <v>44417</v>
      </c>
      <c r="O67" s="511">
        <v>44417</v>
      </c>
      <c r="P67" s="511">
        <v>44448</v>
      </c>
      <c r="Q67" s="511">
        <v>44454</v>
      </c>
      <c r="R67" s="512" t="s">
        <v>4516</v>
      </c>
      <c r="S67" s="515" t="s">
        <v>3752</v>
      </c>
      <c r="T67" s="510" t="s">
        <v>3128</v>
      </c>
      <c r="U67" s="516" t="s">
        <v>3031</v>
      </c>
      <c r="V67" s="359">
        <v>44439</v>
      </c>
      <c r="W67" s="510" t="s">
        <v>3337</v>
      </c>
      <c r="X67" s="510" t="s">
        <v>3341</v>
      </c>
      <c r="Y67" s="511">
        <v>44452</v>
      </c>
      <c r="Z67" s="510" t="s">
        <v>3252</v>
      </c>
      <c r="AA67" s="510" t="s">
        <v>3982</v>
      </c>
      <c r="AB67" s="510" t="s">
        <v>4492</v>
      </c>
      <c r="AC67" s="510" t="s">
        <v>2146</v>
      </c>
      <c r="AD67" s="511">
        <v>44452</v>
      </c>
      <c r="AE67" s="515">
        <v>8712.5298999999995</v>
      </c>
      <c r="AF67" s="507" t="s">
        <v>4409</v>
      </c>
      <c r="AG67" s="510" t="s">
        <v>3108</v>
      </c>
      <c r="AH67" s="517">
        <v>256483.73</v>
      </c>
      <c r="AI67" s="517">
        <v>6624</v>
      </c>
      <c r="AJ67" s="517">
        <v>20</v>
      </c>
      <c r="AK67" s="517">
        <f t="shared" ref="AK67" si="56">SUM(AH67:AJ67)</f>
        <v>263127.73</v>
      </c>
      <c r="AL67" s="518">
        <v>5.2157999999999998</v>
      </c>
      <c r="AM67" s="519">
        <f t="shared" si="31"/>
        <v>1372421.6141339999</v>
      </c>
      <c r="AN67" s="519">
        <v>0</v>
      </c>
      <c r="AO67" s="510">
        <v>16</v>
      </c>
      <c r="AP67" s="519">
        <v>29383.25</v>
      </c>
      <c r="AQ67" s="519">
        <v>143345.23000000001</v>
      </c>
      <c r="AR67" s="519">
        <v>28820.86</v>
      </c>
      <c r="AS67" s="519">
        <v>132438.68</v>
      </c>
      <c r="AT67" s="519">
        <v>340160.82</v>
      </c>
      <c r="AU67" s="519">
        <v>8658.56</v>
      </c>
      <c r="AV67" s="519">
        <v>493.56</v>
      </c>
      <c r="AW67" s="510" t="s">
        <v>3139</v>
      </c>
      <c r="AX67" s="627">
        <f t="shared" si="52"/>
        <v>44454</v>
      </c>
      <c r="AY67" s="519">
        <v>2421</v>
      </c>
      <c r="AZ67" s="519">
        <f t="shared" si="36"/>
        <v>2058632.421201</v>
      </c>
      <c r="BA67" s="521">
        <f t="shared" si="41"/>
        <v>2</v>
      </c>
      <c r="BB67" s="519">
        <f t="shared" si="34"/>
        <v>1029316.2106005</v>
      </c>
      <c r="BC67" s="519">
        <v>9258.09</v>
      </c>
      <c r="BD67" s="519">
        <f t="shared" si="55"/>
        <v>60</v>
      </c>
      <c r="BE67" s="519">
        <f t="shared" si="19"/>
        <v>9318.09</v>
      </c>
      <c r="BF67" s="513" t="s">
        <v>1771</v>
      </c>
      <c r="BG67" s="514" t="s">
        <v>1771</v>
      </c>
      <c r="BH67" s="510" t="s">
        <v>1771</v>
      </c>
      <c r="BI67" s="522"/>
    </row>
    <row r="68" spans="1:61" s="523" customFormat="1" ht="288">
      <c r="A68" s="538" t="s">
        <v>6113</v>
      </c>
      <c r="B68" s="507" t="s">
        <v>3042</v>
      </c>
      <c r="C68" s="507" t="s">
        <v>3774</v>
      </c>
      <c r="D68" s="508" t="s">
        <v>4413</v>
      </c>
      <c r="E68" s="507" t="s">
        <v>4416</v>
      </c>
      <c r="F68" s="507" t="s">
        <v>4417</v>
      </c>
      <c r="G68" s="509" t="s">
        <v>4415</v>
      </c>
      <c r="H68" s="507" t="s">
        <v>4412</v>
      </c>
      <c r="I68" s="510" t="s">
        <v>1771</v>
      </c>
      <c r="J68" s="510">
        <v>3</v>
      </c>
      <c r="K68" s="507">
        <f>5+1+3+2+2+1+1+18+9+15+31+8+8+1+2+8+2+2+1+10+5+5+5+5</f>
        <v>150</v>
      </c>
      <c r="L68" s="507">
        <f>1018.5+59+163+117.6+116.6+77.4+77.8+640.02+1463+1743+3494.74+1135+734.36+15+197.5+1106+197+122.5+1.02+574+1138.5+1127.5+955.5+956</f>
        <v>17230.54</v>
      </c>
      <c r="M68" s="511">
        <v>44418</v>
      </c>
      <c r="N68" s="511">
        <v>44419</v>
      </c>
      <c r="O68" s="511">
        <v>44419</v>
      </c>
      <c r="P68" s="511">
        <v>44448</v>
      </c>
      <c r="Q68" s="511">
        <v>44462</v>
      </c>
      <c r="R68" s="512" t="s">
        <v>4528</v>
      </c>
      <c r="S68" s="515" t="s">
        <v>3752</v>
      </c>
      <c r="T68" s="510" t="s">
        <v>3128</v>
      </c>
      <c r="U68" s="516" t="s">
        <v>3031</v>
      </c>
      <c r="V68" s="359">
        <v>44449</v>
      </c>
      <c r="W68" s="510" t="s">
        <v>3337</v>
      </c>
      <c r="X68" s="510" t="s">
        <v>3341</v>
      </c>
      <c r="Y68" s="511">
        <v>44452</v>
      </c>
      <c r="Z68" s="510" t="s">
        <v>3252</v>
      </c>
      <c r="AA68" s="510" t="s">
        <v>3982</v>
      </c>
      <c r="AB68" s="510" t="s">
        <v>4522</v>
      </c>
      <c r="AC68" s="510" t="s">
        <v>2146</v>
      </c>
      <c r="AD68" s="511">
        <v>44461</v>
      </c>
      <c r="AE68" s="515">
        <v>11994.5972</v>
      </c>
      <c r="AF68" s="507" t="s">
        <v>3763</v>
      </c>
      <c r="AG68" s="510" t="s">
        <v>3108</v>
      </c>
      <c r="AH68" s="517">
        <v>433065.61</v>
      </c>
      <c r="AI68" s="517">
        <v>9936</v>
      </c>
      <c r="AJ68" s="517">
        <v>24</v>
      </c>
      <c r="AK68" s="517">
        <f t="shared" ref="AK68" si="57">SUM(AH68:AJ68)</f>
        <v>443025.61</v>
      </c>
      <c r="AL68" s="518">
        <v>5.3044000000000002</v>
      </c>
      <c r="AM68" s="519">
        <f t="shared" si="31"/>
        <v>2349985.045684</v>
      </c>
      <c r="AN68" s="519">
        <v>0</v>
      </c>
      <c r="AO68" s="510">
        <v>24</v>
      </c>
      <c r="AP68" s="519">
        <v>91568.69</v>
      </c>
      <c r="AQ68" s="519">
        <v>271613.59000000003</v>
      </c>
      <c r="AR68" s="519">
        <v>49349.67</v>
      </c>
      <c r="AS68" s="519">
        <v>226773.56</v>
      </c>
      <c r="AT68" s="519">
        <v>565159.81999999995</v>
      </c>
      <c r="AU68" s="519">
        <v>12977.24</v>
      </c>
      <c r="AV68" s="519">
        <v>586.08000000000004</v>
      </c>
      <c r="AW68" s="510" t="s">
        <v>3139</v>
      </c>
      <c r="AX68" s="627">
        <f t="shared" si="52"/>
        <v>44462</v>
      </c>
      <c r="AY68" s="519">
        <v>6255.42</v>
      </c>
      <c r="AZ68" s="519">
        <f t="shared" si="36"/>
        <v>3524977.5685259998</v>
      </c>
      <c r="BA68" s="521">
        <f t="shared" si="41"/>
        <v>3</v>
      </c>
      <c r="BB68" s="519">
        <f t="shared" si="34"/>
        <v>1174992.522842</v>
      </c>
      <c r="BC68" s="519">
        <v>14634.31</v>
      </c>
      <c r="BD68" s="519">
        <f t="shared" si="55"/>
        <v>140</v>
      </c>
      <c r="BE68" s="519">
        <f t="shared" si="19"/>
        <v>14774.31</v>
      </c>
      <c r="BF68" s="513" t="s">
        <v>1771</v>
      </c>
      <c r="BG68" s="514" t="s">
        <v>1771</v>
      </c>
      <c r="BH68" s="510" t="s">
        <v>1771</v>
      </c>
      <c r="BI68" s="522"/>
    </row>
    <row r="69" spans="1:61" s="523" customFormat="1" ht="132">
      <c r="A69" s="538" t="s">
        <v>6114</v>
      </c>
      <c r="B69" s="507" t="s">
        <v>3042</v>
      </c>
      <c r="C69" s="507" t="s">
        <v>3774</v>
      </c>
      <c r="D69" s="508" t="s">
        <v>4421</v>
      </c>
      <c r="E69" s="507" t="s">
        <v>4419</v>
      </c>
      <c r="F69" s="507" t="s">
        <v>4420</v>
      </c>
      <c r="G69" s="509" t="s">
        <v>4523</v>
      </c>
      <c r="H69" s="507" t="s">
        <v>4422</v>
      </c>
      <c r="I69" s="510" t="s">
        <v>1771</v>
      </c>
      <c r="J69" s="510">
        <v>1</v>
      </c>
      <c r="K69" s="507">
        <f>15+2+8+2+1+5+3+1</f>
        <v>37</v>
      </c>
      <c r="L69" s="507">
        <f>1749+125.5+1109+121+22.54+901.5+102+61.5</f>
        <v>4192.04</v>
      </c>
      <c r="M69" s="511">
        <v>44425</v>
      </c>
      <c r="N69" s="511">
        <v>44425</v>
      </c>
      <c r="O69" s="511">
        <v>44425</v>
      </c>
      <c r="P69" s="511">
        <v>44453</v>
      </c>
      <c r="Q69" s="511">
        <v>44468</v>
      </c>
      <c r="R69" s="512" t="s">
        <v>4546</v>
      </c>
      <c r="S69" s="515" t="s">
        <v>3752</v>
      </c>
      <c r="T69" s="510" t="s">
        <v>3128</v>
      </c>
      <c r="U69" s="516" t="s">
        <v>3031</v>
      </c>
      <c r="V69" s="359">
        <v>44442</v>
      </c>
      <c r="W69" s="510" t="s">
        <v>3337</v>
      </c>
      <c r="X69" s="510" t="s">
        <v>3341</v>
      </c>
      <c r="Y69" s="511">
        <v>44454</v>
      </c>
      <c r="Z69" s="510" t="s">
        <v>3252</v>
      </c>
      <c r="AA69" s="510" t="s">
        <v>3982</v>
      </c>
      <c r="AB69" s="510" t="s">
        <v>4527</v>
      </c>
      <c r="AC69" s="510" t="s">
        <v>2146</v>
      </c>
      <c r="AD69" s="511">
        <v>44466</v>
      </c>
      <c r="AE69" s="515">
        <v>2884.6632100000002</v>
      </c>
      <c r="AF69" s="507" t="s">
        <v>3359</v>
      </c>
      <c r="AG69" s="510" t="s">
        <v>3108</v>
      </c>
      <c r="AH69" s="517">
        <v>93492.22</v>
      </c>
      <c r="AI69" s="517">
        <v>3312</v>
      </c>
      <c r="AJ69" s="517">
        <v>8</v>
      </c>
      <c r="AK69" s="517">
        <f t="shared" ref="AK69:AK71" si="58">SUM(AH69:AJ69)</f>
        <v>96812.22</v>
      </c>
      <c r="AL69" s="518">
        <v>5.3434999999999997</v>
      </c>
      <c r="AM69" s="519">
        <f t="shared" si="31"/>
        <v>517316.09756999998</v>
      </c>
      <c r="AN69" s="519">
        <v>0</v>
      </c>
      <c r="AO69" s="510">
        <v>9</v>
      </c>
      <c r="AP69" s="519">
        <v>4382.75</v>
      </c>
      <c r="AQ69" s="519">
        <v>52512.13</v>
      </c>
      <c r="AR69" s="519">
        <v>10863.63</v>
      </c>
      <c r="AS69" s="519">
        <v>10863.63</v>
      </c>
      <c r="AT69" s="519">
        <v>128898.36</v>
      </c>
      <c r="AU69" s="519">
        <v>4342.53</v>
      </c>
      <c r="AV69" s="519">
        <v>377.9</v>
      </c>
      <c r="AW69" s="510" t="s">
        <v>3139</v>
      </c>
      <c r="AX69" s="627">
        <f t="shared" si="52"/>
        <v>44468</v>
      </c>
      <c r="AY69" s="519">
        <v>2085.14</v>
      </c>
      <c r="AZ69" s="519">
        <f t="shared" si="36"/>
        <v>775974.14635499998</v>
      </c>
      <c r="BA69" s="521">
        <f t="shared" si="41"/>
        <v>1</v>
      </c>
      <c r="BB69" s="519">
        <f t="shared" si="34"/>
        <v>775974.14635499998</v>
      </c>
      <c r="BC69" s="519">
        <v>4867.66</v>
      </c>
      <c r="BD69" s="519">
        <f t="shared" si="55"/>
        <v>-10</v>
      </c>
      <c r="BE69" s="519">
        <f t="shared" si="19"/>
        <v>4857.66</v>
      </c>
      <c r="BF69" s="513" t="s">
        <v>1771</v>
      </c>
      <c r="BG69" s="514" t="s">
        <v>1771</v>
      </c>
      <c r="BH69" s="510" t="s">
        <v>1771</v>
      </c>
      <c r="BI69" s="522"/>
    </row>
    <row r="70" spans="1:61" s="523" customFormat="1" ht="132">
      <c r="A70" s="538" t="s">
        <v>6115</v>
      </c>
      <c r="B70" s="507" t="s">
        <v>3042</v>
      </c>
      <c r="C70" s="507" t="s">
        <v>3774</v>
      </c>
      <c r="D70" s="508" t="s">
        <v>4425</v>
      </c>
      <c r="E70" s="507" t="s">
        <v>4423</v>
      </c>
      <c r="F70" s="507" t="s">
        <v>4424</v>
      </c>
      <c r="G70" s="509" t="s">
        <v>4524</v>
      </c>
      <c r="H70" s="507" t="s">
        <v>4422</v>
      </c>
      <c r="I70" s="510" t="s">
        <v>1771</v>
      </c>
      <c r="J70" s="510">
        <v>1</v>
      </c>
      <c r="K70" s="507">
        <f>8+8+2+19+2+2+8</f>
        <v>49</v>
      </c>
      <c r="L70" s="507">
        <f>1005+1034+186.5+2633.5+124.5+123+1033</f>
        <v>6139.5</v>
      </c>
      <c r="M70" s="511">
        <v>44425</v>
      </c>
      <c r="N70" s="511">
        <v>44426</v>
      </c>
      <c r="O70" s="511">
        <v>44426</v>
      </c>
      <c r="P70" s="511">
        <v>44453</v>
      </c>
      <c r="Q70" s="511">
        <v>44467</v>
      </c>
      <c r="R70" s="512" t="s">
        <v>4547</v>
      </c>
      <c r="S70" s="515" t="s">
        <v>3752</v>
      </c>
      <c r="T70" s="510" t="s">
        <v>3128</v>
      </c>
      <c r="U70" s="516" t="s">
        <v>3031</v>
      </c>
      <c r="V70" s="359">
        <v>44442</v>
      </c>
      <c r="W70" s="510" t="s">
        <v>3337</v>
      </c>
      <c r="X70" s="510" t="s">
        <v>3341</v>
      </c>
      <c r="Y70" s="511">
        <v>44454</v>
      </c>
      <c r="Z70" s="510" t="s">
        <v>3252</v>
      </c>
      <c r="AA70" s="510" t="s">
        <v>3982</v>
      </c>
      <c r="AB70" s="510" t="s">
        <v>4526</v>
      </c>
      <c r="AC70" s="510" t="s">
        <v>2146</v>
      </c>
      <c r="AD70" s="511">
        <v>44466</v>
      </c>
      <c r="AE70" s="515">
        <v>4139.1427999999996</v>
      </c>
      <c r="AF70" s="507" t="s">
        <v>3486</v>
      </c>
      <c r="AG70" s="510" t="s">
        <v>3108</v>
      </c>
      <c r="AH70" s="517">
        <v>70081.48</v>
      </c>
      <c r="AI70" s="517">
        <v>3312</v>
      </c>
      <c r="AJ70" s="517">
        <v>7</v>
      </c>
      <c r="AK70" s="517">
        <f t="shared" si="58"/>
        <v>73400.479999999996</v>
      </c>
      <c r="AL70" s="518">
        <v>5.3434999999999997</v>
      </c>
      <c r="AM70" s="519">
        <f t="shared" si="31"/>
        <v>392215.46487999993</v>
      </c>
      <c r="AN70" s="519">
        <v>0</v>
      </c>
      <c r="AO70" s="510">
        <v>11</v>
      </c>
      <c r="AP70" s="519">
        <v>28806.38</v>
      </c>
      <c r="AQ70" s="519">
        <v>42394.85</v>
      </c>
      <c r="AR70" s="519">
        <v>8236.52</v>
      </c>
      <c r="AS70" s="519">
        <v>37848.769999999997</v>
      </c>
      <c r="AT70" s="519">
        <v>103580.3</v>
      </c>
      <c r="AU70" s="519">
        <v>4342.53</v>
      </c>
      <c r="AV70" s="519">
        <v>416.46</v>
      </c>
      <c r="AW70" s="510" t="s">
        <v>3139</v>
      </c>
      <c r="AX70" s="627">
        <f t="shared" si="52"/>
        <v>44467</v>
      </c>
      <c r="AY70" s="519">
        <v>2085.14</v>
      </c>
      <c r="AZ70" s="519">
        <f t="shared" si="36"/>
        <v>588323.19731999992</v>
      </c>
      <c r="BA70" s="521">
        <f t="shared" si="41"/>
        <v>1</v>
      </c>
      <c r="BB70" s="519">
        <f t="shared" si="34"/>
        <v>588323.19731999992</v>
      </c>
      <c r="BC70" s="519">
        <v>4880.0600000000004</v>
      </c>
      <c r="BD70" s="519">
        <f t="shared" si="55"/>
        <v>10</v>
      </c>
      <c r="BE70" s="519">
        <f t="shared" si="19"/>
        <v>4890.0600000000004</v>
      </c>
      <c r="BF70" s="513" t="s">
        <v>1771</v>
      </c>
      <c r="BG70" s="514" t="s">
        <v>1771</v>
      </c>
      <c r="BH70" s="510" t="s">
        <v>1771</v>
      </c>
      <c r="BI70" s="522"/>
    </row>
    <row r="71" spans="1:61" s="523" customFormat="1" ht="168">
      <c r="A71" s="538" t="s">
        <v>6116</v>
      </c>
      <c r="B71" s="507" t="s">
        <v>3042</v>
      </c>
      <c r="C71" s="507" t="s">
        <v>3774</v>
      </c>
      <c r="D71" s="508" t="s">
        <v>4428</v>
      </c>
      <c r="E71" s="507" t="s">
        <v>4426</v>
      </c>
      <c r="F71" s="507" t="s">
        <v>4427</v>
      </c>
      <c r="G71" s="509" t="s">
        <v>4525</v>
      </c>
      <c r="H71" s="507" t="s">
        <v>4422</v>
      </c>
      <c r="I71" s="510" t="s">
        <v>1771</v>
      </c>
      <c r="J71" s="510">
        <v>2</v>
      </c>
      <c r="K71" s="507">
        <f>1+5+5+15+16+8+5+5+8+8+5+2+2</f>
        <v>85</v>
      </c>
      <c r="L71" s="507">
        <f>7.56+1107+1118+1874+1877.36+1139.5+933+949.5+1126.5+995+933.5+127.5+123.5</f>
        <v>12311.919999999998</v>
      </c>
      <c r="M71" s="511">
        <v>44426</v>
      </c>
      <c r="N71" s="511">
        <v>44427</v>
      </c>
      <c r="O71" s="511">
        <v>44427</v>
      </c>
      <c r="P71" s="511">
        <v>44453</v>
      </c>
      <c r="Q71" s="511">
        <v>44468</v>
      </c>
      <c r="R71" s="512" t="s">
        <v>4548</v>
      </c>
      <c r="S71" s="515" t="s">
        <v>3752</v>
      </c>
      <c r="T71" s="510" t="s">
        <v>3128</v>
      </c>
      <c r="U71" s="516" t="s">
        <v>3031</v>
      </c>
      <c r="V71" s="359">
        <v>44456</v>
      </c>
      <c r="W71" s="510" t="s">
        <v>3337</v>
      </c>
      <c r="X71" s="510" t="s">
        <v>3341</v>
      </c>
      <c r="Y71" s="511">
        <v>44454</v>
      </c>
      <c r="Z71" s="510" t="s">
        <v>3252</v>
      </c>
      <c r="AA71" s="510" t="s">
        <v>3982</v>
      </c>
      <c r="AB71" s="510" t="s">
        <v>4529</v>
      </c>
      <c r="AC71" s="510" t="s">
        <v>2146</v>
      </c>
      <c r="AD71" s="511">
        <v>44466</v>
      </c>
      <c r="AE71" s="515">
        <v>8988.1203000000005</v>
      </c>
      <c r="AF71" s="507" t="s">
        <v>3359</v>
      </c>
      <c r="AG71" s="510" t="s">
        <v>3108</v>
      </c>
      <c r="AH71" s="517">
        <v>252790.19</v>
      </c>
      <c r="AI71" s="517">
        <v>6624</v>
      </c>
      <c r="AJ71" s="517">
        <v>13</v>
      </c>
      <c r="AK71" s="517">
        <f t="shared" si="58"/>
        <v>259427.19</v>
      </c>
      <c r="AL71" s="518">
        <v>5.3434999999999997</v>
      </c>
      <c r="AM71" s="519">
        <f t="shared" si="31"/>
        <v>1386249.189765</v>
      </c>
      <c r="AN71" s="519">
        <v>0</v>
      </c>
      <c r="AO71" s="510">
        <v>6</v>
      </c>
      <c r="AP71" s="519">
        <v>20516.37</v>
      </c>
      <c r="AQ71" s="519">
        <v>140969.25</v>
      </c>
      <c r="AR71" s="519">
        <v>29111.22</v>
      </c>
      <c r="AS71" s="519">
        <v>133773.03</v>
      </c>
      <c r="AT71" s="519">
        <v>346526.78</v>
      </c>
      <c r="AU71" s="519">
        <v>8663.86</v>
      </c>
      <c r="AV71" s="519">
        <v>308.48</v>
      </c>
      <c r="AW71" s="510" t="s">
        <v>3139</v>
      </c>
      <c r="AX71" s="627">
        <f t="shared" si="52"/>
        <v>44468</v>
      </c>
      <c r="AY71" s="519">
        <v>4170.28</v>
      </c>
      <c r="AZ71" s="519">
        <f t="shared" si="36"/>
        <v>2079373.7846475001</v>
      </c>
      <c r="BA71" s="521">
        <f t="shared" si="41"/>
        <v>2</v>
      </c>
      <c r="BB71" s="519">
        <f t="shared" si="34"/>
        <v>1039686.8923237501</v>
      </c>
      <c r="BC71" s="519">
        <v>9188.99</v>
      </c>
      <c r="BD71" s="519">
        <f t="shared" si="55"/>
        <v>-40</v>
      </c>
      <c r="BE71" s="519">
        <f t="shared" si="19"/>
        <v>9148.99</v>
      </c>
      <c r="BF71" s="513" t="s">
        <v>1771</v>
      </c>
      <c r="BG71" s="514" t="s">
        <v>1771</v>
      </c>
      <c r="BH71" s="510" t="s">
        <v>1771</v>
      </c>
      <c r="BI71" s="522"/>
    </row>
    <row r="72" spans="1:61" s="523" customFormat="1" ht="132">
      <c r="A72" s="538" t="s">
        <v>6117</v>
      </c>
      <c r="B72" s="507" t="s">
        <v>3042</v>
      </c>
      <c r="C72" s="507" t="s">
        <v>3774</v>
      </c>
      <c r="D72" s="508" t="s">
        <v>4464</v>
      </c>
      <c r="E72" s="507" t="s">
        <v>4462</v>
      </c>
      <c r="F72" s="507" t="s">
        <v>4463</v>
      </c>
      <c r="G72" s="509" t="s">
        <v>4465</v>
      </c>
      <c r="H72" s="507" t="s">
        <v>4450</v>
      </c>
      <c r="I72" s="510" t="s">
        <v>1771</v>
      </c>
      <c r="J72" s="510">
        <v>1</v>
      </c>
      <c r="K72" s="507">
        <f>1+1+3+2+13+6+5+15+8</f>
        <v>54</v>
      </c>
      <c r="L72" s="507">
        <f>0.4+6.52+382.5+282.5+1165.5+734+1130.5+1743+1127</f>
        <v>6571.92</v>
      </c>
      <c r="M72" s="511">
        <v>44442</v>
      </c>
      <c r="N72" s="511">
        <v>44443</v>
      </c>
      <c r="O72" s="511">
        <v>44443</v>
      </c>
      <c r="P72" s="511">
        <v>44472</v>
      </c>
      <c r="Q72" s="511">
        <v>44475</v>
      </c>
      <c r="R72" s="512" t="s">
        <v>4565</v>
      </c>
      <c r="S72" s="515" t="s">
        <v>3752</v>
      </c>
      <c r="T72" s="510" t="s">
        <v>3128</v>
      </c>
      <c r="U72" s="516" t="s">
        <v>3031</v>
      </c>
      <c r="V72" s="359">
        <v>44463</v>
      </c>
      <c r="W72" s="510" t="s">
        <v>3337</v>
      </c>
      <c r="X72" s="510" t="s">
        <v>3341</v>
      </c>
      <c r="Y72" s="511">
        <v>44472</v>
      </c>
      <c r="Z72" s="510" t="s">
        <v>3252</v>
      </c>
      <c r="AA72" s="510" t="s">
        <v>3982</v>
      </c>
      <c r="AB72" s="510" t="s">
        <v>4557</v>
      </c>
      <c r="AC72" s="510" t="s">
        <v>2146</v>
      </c>
      <c r="AD72" s="511">
        <v>44473</v>
      </c>
      <c r="AE72" s="515">
        <v>4294.9566000000004</v>
      </c>
      <c r="AF72" s="507" t="s">
        <v>3790</v>
      </c>
      <c r="AG72" s="510" t="s">
        <v>3108</v>
      </c>
      <c r="AH72" s="517">
        <v>149400.71</v>
      </c>
      <c r="AI72" s="517">
        <v>3312</v>
      </c>
      <c r="AJ72" s="517">
        <v>9</v>
      </c>
      <c r="AK72" s="517">
        <f t="shared" ref="AK72:AK74" si="59">SUM(AH72:AJ72)</f>
        <v>152721.71</v>
      </c>
      <c r="AL72" s="518">
        <v>5.3910999999999998</v>
      </c>
      <c r="AM72" s="519">
        <f t="shared" si="31"/>
        <v>823338.0107809999</v>
      </c>
      <c r="AN72" s="519">
        <v>0</v>
      </c>
      <c r="AO72" s="510">
        <v>11</v>
      </c>
      <c r="AP72" s="519">
        <v>14427.41</v>
      </c>
      <c r="AQ72" s="519">
        <v>83778.210000000006</v>
      </c>
      <c r="AR72" s="519">
        <v>17290.09</v>
      </c>
      <c r="AS72" s="519">
        <v>79452.08</v>
      </c>
      <c r="AT72" s="519">
        <v>206211.7</v>
      </c>
      <c r="AU72" s="519">
        <v>4485.03</v>
      </c>
      <c r="AV72" s="519">
        <v>416.46</v>
      </c>
      <c r="AW72" s="510" t="s">
        <v>3139</v>
      </c>
      <c r="AX72" s="627">
        <f t="shared" si="52"/>
        <v>44475</v>
      </c>
      <c r="AY72" s="519">
        <v>1210.5</v>
      </c>
      <c r="AZ72" s="519">
        <f t="shared" si="36"/>
        <v>1235007.0161714999</v>
      </c>
      <c r="BA72" s="521">
        <f t="shared" si="41"/>
        <v>1</v>
      </c>
      <c r="BB72" s="519">
        <f t="shared" si="34"/>
        <v>1235007.0161714999</v>
      </c>
      <c r="BC72" s="519">
        <v>5022.5600000000004</v>
      </c>
      <c r="BD72" s="519">
        <f t="shared" si="55"/>
        <v>10</v>
      </c>
      <c r="BE72" s="519">
        <f t="shared" si="19"/>
        <v>5032.5600000000004</v>
      </c>
      <c r="BF72" s="513" t="s">
        <v>1771</v>
      </c>
      <c r="BG72" s="514" t="s">
        <v>1771</v>
      </c>
      <c r="BH72" s="510" t="s">
        <v>1771</v>
      </c>
      <c r="BI72" s="522"/>
    </row>
    <row r="73" spans="1:61" s="523" customFormat="1" ht="132">
      <c r="A73" s="538" t="s">
        <v>6118</v>
      </c>
      <c r="B73" s="507" t="s">
        <v>3042</v>
      </c>
      <c r="C73" s="507" t="s">
        <v>3774</v>
      </c>
      <c r="D73" s="508" t="s">
        <v>4432</v>
      </c>
      <c r="E73" s="507" t="s">
        <v>4430</v>
      </c>
      <c r="F73" s="507" t="s">
        <v>4431</v>
      </c>
      <c r="G73" s="509">
        <v>212912529</v>
      </c>
      <c r="H73" s="507" t="s">
        <v>4433</v>
      </c>
      <c r="I73" s="510" t="s">
        <v>1771</v>
      </c>
      <c r="J73" s="510">
        <v>1</v>
      </c>
      <c r="K73" s="507">
        <f>15+15+1+13</f>
        <v>44</v>
      </c>
      <c r="L73" s="507">
        <f>1754.5+1900.5+159+1596.5</f>
        <v>5410.5</v>
      </c>
      <c r="M73" s="511">
        <v>44428</v>
      </c>
      <c r="N73" s="511">
        <v>44429</v>
      </c>
      <c r="O73" s="511">
        <v>44429</v>
      </c>
      <c r="P73" s="511">
        <v>44461</v>
      </c>
      <c r="Q73" s="511">
        <v>44476</v>
      </c>
      <c r="R73" s="512" t="s">
        <v>4570</v>
      </c>
      <c r="S73" s="515" t="s">
        <v>3752</v>
      </c>
      <c r="T73" s="510" t="s">
        <v>3128</v>
      </c>
      <c r="U73" s="516" t="s">
        <v>3031</v>
      </c>
      <c r="V73" s="359">
        <v>44449</v>
      </c>
      <c r="W73" s="510" t="s">
        <v>3261</v>
      </c>
      <c r="X73" s="510" t="s">
        <v>3261</v>
      </c>
      <c r="Y73" s="511">
        <v>44463</v>
      </c>
      <c r="Z73" s="510" t="s">
        <v>3252</v>
      </c>
      <c r="AA73" s="510" t="s">
        <v>3982</v>
      </c>
      <c r="AB73" s="510" t="s">
        <v>4561</v>
      </c>
      <c r="AC73" s="510" t="s">
        <v>2146</v>
      </c>
      <c r="AD73" s="511">
        <v>44475</v>
      </c>
      <c r="AE73" s="515">
        <v>3746.1138000000001</v>
      </c>
      <c r="AF73" s="507" t="s">
        <v>3238</v>
      </c>
      <c r="AG73" s="510" t="s">
        <v>3108</v>
      </c>
      <c r="AH73" s="517">
        <v>94477.73</v>
      </c>
      <c r="AI73" s="517">
        <v>3470</v>
      </c>
      <c r="AJ73" s="517">
        <v>4</v>
      </c>
      <c r="AK73" s="517">
        <f t="shared" si="59"/>
        <v>97951.73</v>
      </c>
      <c r="AL73" s="518">
        <v>5.4611000000000001</v>
      </c>
      <c r="AM73" s="519">
        <f t="shared" si="31"/>
        <v>534924.19270300004</v>
      </c>
      <c r="AN73" s="519">
        <v>0</v>
      </c>
      <c r="AO73" s="510">
        <v>4</v>
      </c>
      <c r="AP73" s="519">
        <v>10455.700000000001</v>
      </c>
      <c r="AQ73" s="519">
        <v>54537.98</v>
      </c>
      <c r="AR73" s="519">
        <v>11233.41</v>
      </c>
      <c r="AS73" s="519">
        <v>51620.19</v>
      </c>
      <c r="AT73" s="519">
        <v>134634.01999999999</v>
      </c>
      <c r="AU73" s="519">
        <v>4844.74</v>
      </c>
      <c r="AV73" s="519">
        <v>254.49</v>
      </c>
      <c r="AW73" s="510" t="s">
        <v>3139</v>
      </c>
      <c r="AX73" s="627">
        <f t="shared" si="52"/>
        <v>44476</v>
      </c>
      <c r="AY73" s="519">
        <v>3434.79</v>
      </c>
      <c r="AZ73" s="519">
        <f t="shared" si="36"/>
        <v>802386.28905450006</v>
      </c>
      <c r="BA73" s="521">
        <f t="shared" si="41"/>
        <v>1</v>
      </c>
      <c r="BB73" s="519">
        <f t="shared" si="34"/>
        <v>802386.28905450006</v>
      </c>
      <c r="BC73" s="519">
        <v>5369.87</v>
      </c>
      <c r="BD73" s="519">
        <f t="shared" si="55"/>
        <v>-60</v>
      </c>
      <c r="BE73" s="519">
        <f t="shared" si="19"/>
        <v>5309.87</v>
      </c>
      <c r="BF73" s="513" t="s">
        <v>1771</v>
      </c>
      <c r="BG73" s="514" t="s">
        <v>1771</v>
      </c>
      <c r="BH73" s="510" t="s">
        <v>1771</v>
      </c>
      <c r="BI73" s="522"/>
    </row>
    <row r="74" spans="1:61" s="523" customFormat="1" ht="132">
      <c r="A74" s="538" t="s">
        <v>6119</v>
      </c>
      <c r="B74" s="507" t="s">
        <v>3042</v>
      </c>
      <c r="C74" s="507" t="s">
        <v>3774</v>
      </c>
      <c r="D74" s="508" t="s">
        <v>4439</v>
      </c>
      <c r="E74" s="507" t="s">
        <v>4434</v>
      </c>
      <c r="F74" s="507" t="s">
        <v>4435</v>
      </c>
      <c r="G74" s="509">
        <v>912687644</v>
      </c>
      <c r="H74" s="507" t="s">
        <v>4433</v>
      </c>
      <c r="I74" s="510" t="s">
        <v>1771</v>
      </c>
      <c r="J74" s="510">
        <v>1</v>
      </c>
      <c r="K74" s="507">
        <f>5+5+5+5+5+5+8+2</f>
        <v>40</v>
      </c>
      <c r="L74" s="507">
        <f>934+934+944+943+970.5+934+924+85.5</f>
        <v>6669</v>
      </c>
      <c r="M74" s="511">
        <v>44431</v>
      </c>
      <c r="N74" s="511">
        <v>44430</v>
      </c>
      <c r="O74" s="511">
        <v>44430</v>
      </c>
      <c r="P74" s="511">
        <v>44461</v>
      </c>
      <c r="Q74" s="511">
        <v>44476</v>
      </c>
      <c r="R74" s="512" t="s">
        <v>4571</v>
      </c>
      <c r="S74" s="515" t="s">
        <v>3752</v>
      </c>
      <c r="T74" s="510" t="s">
        <v>3128</v>
      </c>
      <c r="U74" s="516" t="s">
        <v>3031</v>
      </c>
      <c r="V74" s="359">
        <v>44453</v>
      </c>
      <c r="W74" s="510" t="s">
        <v>3261</v>
      </c>
      <c r="X74" s="510" t="s">
        <v>3261</v>
      </c>
      <c r="Y74" s="511">
        <v>44463</v>
      </c>
      <c r="Z74" s="510" t="s">
        <v>3252</v>
      </c>
      <c r="AA74" s="510" t="s">
        <v>3982</v>
      </c>
      <c r="AB74" s="510" t="s">
        <v>4562</v>
      </c>
      <c r="AC74" s="510" t="s">
        <v>2146</v>
      </c>
      <c r="AD74" s="511">
        <v>44475</v>
      </c>
      <c r="AE74" s="515">
        <v>5180.6000000000004</v>
      </c>
      <c r="AF74" s="507" t="s">
        <v>4438</v>
      </c>
      <c r="AG74" s="510" t="s">
        <v>3108</v>
      </c>
      <c r="AH74" s="517">
        <v>242105.15</v>
      </c>
      <c r="AI74" s="517">
        <v>3470</v>
      </c>
      <c r="AJ74" s="517">
        <v>8</v>
      </c>
      <c r="AK74" s="517">
        <f t="shared" si="59"/>
        <v>245583.15</v>
      </c>
      <c r="AL74" s="518">
        <v>5.4611000000000001</v>
      </c>
      <c r="AM74" s="519">
        <f t="shared" si="31"/>
        <v>1341154.1404649999</v>
      </c>
      <c r="AN74" s="519">
        <v>0</v>
      </c>
      <c r="AO74" s="510">
        <v>3</v>
      </c>
      <c r="AP74" s="519">
        <v>228.43</v>
      </c>
      <c r="AQ74" s="519">
        <v>134221.07999999999</v>
      </c>
      <c r="AR74" s="519">
        <v>28164.240000000002</v>
      </c>
      <c r="AS74" s="519">
        <v>129421.41</v>
      </c>
      <c r="AT74" s="519">
        <v>330154.45</v>
      </c>
      <c r="AU74" s="519">
        <v>4844.74</v>
      </c>
      <c r="AV74" s="519">
        <v>223.64</v>
      </c>
      <c r="AW74" s="510" t="s">
        <v>3139</v>
      </c>
      <c r="AX74" s="627">
        <f t="shared" si="52"/>
        <v>44476</v>
      </c>
      <c r="AY74" s="519">
        <v>8135.85</v>
      </c>
      <c r="AZ74" s="519">
        <f t="shared" si="36"/>
        <v>2011731.2106975</v>
      </c>
      <c r="BA74" s="521">
        <f t="shared" si="41"/>
        <v>1</v>
      </c>
      <c r="BB74" s="519">
        <f t="shared" si="34"/>
        <v>2011731.2106975</v>
      </c>
      <c r="BC74" s="519">
        <v>5369.87</v>
      </c>
      <c r="BD74" s="519">
        <f t="shared" si="55"/>
        <v>-70</v>
      </c>
      <c r="BE74" s="519">
        <f t="shared" si="19"/>
        <v>5299.87</v>
      </c>
      <c r="BF74" s="513" t="s">
        <v>1771</v>
      </c>
      <c r="BG74" s="514" t="s">
        <v>1771</v>
      </c>
      <c r="BH74" s="510" t="s">
        <v>1771</v>
      </c>
      <c r="BI74" s="522"/>
    </row>
    <row r="75" spans="1:61" s="523" customFormat="1" ht="120">
      <c r="A75" s="538" t="s">
        <v>6120</v>
      </c>
      <c r="B75" s="507" t="s">
        <v>3042</v>
      </c>
      <c r="C75" s="507" t="s">
        <v>3774</v>
      </c>
      <c r="D75" s="508" t="s">
        <v>4441</v>
      </c>
      <c r="E75" s="507" t="s">
        <v>4436</v>
      </c>
      <c r="F75" s="507" t="s">
        <v>4437</v>
      </c>
      <c r="G75" s="509">
        <v>912778070</v>
      </c>
      <c r="H75" s="507" t="s">
        <v>4433</v>
      </c>
      <c r="I75" s="510" t="s">
        <v>1771</v>
      </c>
      <c r="J75" s="510">
        <v>1</v>
      </c>
      <c r="K75" s="507">
        <f>8+15+8+15+1+1</f>
        <v>48</v>
      </c>
      <c r="L75" s="507">
        <f>994.5+1902+931+1912.5+0.28+62</f>
        <v>5802.28</v>
      </c>
      <c r="M75" s="511">
        <v>44427</v>
      </c>
      <c r="N75" s="511">
        <v>44428</v>
      </c>
      <c r="O75" s="511">
        <v>44428</v>
      </c>
      <c r="P75" s="511">
        <v>44461</v>
      </c>
      <c r="Q75" s="511">
        <v>44477</v>
      </c>
      <c r="R75" s="512" t="s">
        <v>4563</v>
      </c>
      <c r="S75" s="515" t="s">
        <v>3752</v>
      </c>
      <c r="T75" s="510" t="s">
        <v>3128</v>
      </c>
      <c r="U75" s="516" t="s">
        <v>3031</v>
      </c>
      <c r="V75" s="359">
        <v>44453</v>
      </c>
      <c r="W75" s="510" t="s">
        <v>3261</v>
      </c>
      <c r="X75" s="510" t="s">
        <v>3261</v>
      </c>
      <c r="Y75" s="511">
        <v>44463</v>
      </c>
      <c r="Z75" s="510" t="s">
        <v>3252</v>
      </c>
      <c r="AA75" s="510" t="s">
        <v>3982</v>
      </c>
      <c r="AB75" s="510" t="s">
        <v>4569</v>
      </c>
      <c r="AC75" s="510" t="s">
        <v>2146</v>
      </c>
      <c r="AD75" s="511">
        <v>44475</v>
      </c>
      <c r="AE75" s="515">
        <v>4091.3890000000001</v>
      </c>
      <c r="AF75" s="507" t="s">
        <v>4440</v>
      </c>
      <c r="AG75" s="510" t="s">
        <v>3108</v>
      </c>
      <c r="AH75" s="517">
        <v>40342.550000000003</v>
      </c>
      <c r="AI75" s="517">
        <v>3470</v>
      </c>
      <c r="AJ75" s="517">
        <v>6</v>
      </c>
      <c r="AK75" s="517">
        <f t="shared" ref="AK75:AK77" si="60">SUM(AH75:AJ75)</f>
        <v>43818.55</v>
      </c>
      <c r="AL75" s="518">
        <v>5.4611000000000001</v>
      </c>
      <c r="AM75" s="519">
        <f t="shared" si="31"/>
        <v>239297.48340500001</v>
      </c>
      <c r="AN75" s="519">
        <v>0</v>
      </c>
      <c r="AO75" s="510">
        <v>4</v>
      </c>
      <c r="AP75" s="519">
        <v>17343.84</v>
      </c>
      <c r="AQ75" s="519">
        <v>25739.52</v>
      </c>
      <c r="AR75" s="519">
        <v>5025.24</v>
      </c>
      <c r="AS75" s="519">
        <v>23092.21</v>
      </c>
      <c r="AT75" s="519">
        <v>63627.38</v>
      </c>
      <c r="AU75" s="519">
        <v>4844.74</v>
      </c>
      <c r="AV75" s="519">
        <v>254.49</v>
      </c>
      <c r="AW75" s="510" t="s">
        <v>3139</v>
      </c>
      <c r="AX75" s="627">
        <f t="shared" si="52"/>
        <v>44477</v>
      </c>
      <c r="AY75" s="519">
        <v>2923.63</v>
      </c>
      <c r="AZ75" s="519">
        <f t="shared" si="36"/>
        <v>358946.22510749998</v>
      </c>
      <c r="BA75" s="521">
        <f t="shared" si="41"/>
        <v>1</v>
      </c>
      <c r="BB75" s="519">
        <f t="shared" si="34"/>
        <v>358946.22510749998</v>
      </c>
      <c r="BC75" s="519">
        <v>5369.87</v>
      </c>
      <c r="BD75" s="519">
        <f t="shared" si="55"/>
        <v>-60</v>
      </c>
      <c r="BE75" s="519">
        <f t="shared" si="19"/>
        <v>5309.87</v>
      </c>
      <c r="BF75" s="513" t="s">
        <v>1771</v>
      </c>
      <c r="BG75" s="514" t="s">
        <v>1771</v>
      </c>
      <c r="BH75" s="510" t="s">
        <v>1771</v>
      </c>
      <c r="BI75" s="522"/>
    </row>
    <row r="76" spans="1:61" s="523" customFormat="1" ht="132">
      <c r="A76" s="538" t="s">
        <v>6121</v>
      </c>
      <c r="B76" s="507" t="s">
        <v>3042</v>
      </c>
      <c r="C76" s="507" t="s">
        <v>3774</v>
      </c>
      <c r="D76" s="508" t="s">
        <v>4456</v>
      </c>
      <c r="E76" s="507" t="s">
        <v>4447</v>
      </c>
      <c r="F76" s="507" t="s">
        <v>4448</v>
      </c>
      <c r="G76" s="509" t="s">
        <v>4449</v>
      </c>
      <c r="H76" s="507" t="s">
        <v>4450</v>
      </c>
      <c r="I76" s="510" t="s">
        <v>1771</v>
      </c>
      <c r="J76" s="510">
        <v>1</v>
      </c>
      <c r="K76" s="507">
        <f>15+2+5+37</f>
        <v>59</v>
      </c>
      <c r="L76" s="507">
        <f>1753.5+102.5+742.49+4814</f>
        <v>7412.49</v>
      </c>
      <c r="M76" s="511">
        <v>44438</v>
      </c>
      <c r="N76" s="511">
        <v>44440</v>
      </c>
      <c r="O76" s="511">
        <v>44440</v>
      </c>
      <c r="P76" s="511">
        <v>44472</v>
      </c>
      <c r="Q76" s="511">
        <v>44477</v>
      </c>
      <c r="R76" s="512" t="s">
        <v>4564</v>
      </c>
      <c r="S76" s="515" t="s">
        <v>3752</v>
      </c>
      <c r="T76" s="510" t="s">
        <v>3128</v>
      </c>
      <c r="U76" s="516" t="s">
        <v>3031</v>
      </c>
      <c r="V76" s="359">
        <v>44474</v>
      </c>
      <c r="W76" s="510" t="s">
        <v>3337</v>
      </c>
      <c r="X76" s="510" t="s">
        <v>3341</v>
      </c>
      <c r="Y76" s="511">
        <v>44472</v>
      </c>
      <c r="Z76" s="510" t="s">
        <v>3252</v>
      </c>
      <c r="AA76" s="510" t="s">
        <v>3982</v>
      </c>
      <c r="AB76" s="510" t="s">
        <v>4566</v>
      </c>
      <c r="AC76" s="510" t="s">
        <v>2146</v>
      </c>
      <c r="AD76" s="511">
        <v>44475</v>
      </c>
      <c r="AE76" s="515">
        <v>5228.9877999999999</v>
      </c>
      <c r="AF76" s="507" t="s">
        <v>4455</v>
      </c>
      <c r="AG76" s="510" t="s">
        <v>3108</v>
      </c>
      <c r="AH76" s="517">
        <v>126866.57</v>
      </c>
      <c r="AI76" s="517">
        <v>3312</v>
      </c>
      <c r="AJ76" s="517">
        <v>4</v>
      </c>
      <c r="AK76" s="517">
        <f t="shared" si="60"/>
        <v>130182.57</v>
      </c>
      <c r="AL76" s="518">
        <v>5.4611000000000001</v>
      </c>
      <c r="AM76" s="519">
        <f t="shared" si="31"/>
        <v>710940.03302700003</v>
      </c>
      <c r="AN76" s="519">
        <v>0</v>
      </c>
      <c r="AO76" s="510">
        <v>10</v>
      </c>
      <c r="AP76" s="519">
        <v>12575.19</v>
      </c>
      <c r="AQ76" s="519">
        <v>72433.63</v>
      </c>
      <c r="AR76" s="519">
        <v>14929.74</v>
      </c>
      <c r="AS76" s="519">
        <v>68605.7</v>
      </c>
      <c r="AT76" s="519">
        <v>178229.98</v>
      </c>
      <c r="AU76" s="519">
        <v>4485.03</v>
      </c>
      <c r="AV76" s="519">
        <v>401.04</v>
      </c>
      <c r="AW76" s="510" t="s">
        <v>3139</v>
      </c>
      <c r="AX76" s="627">
        <f t="shared" si="52"/>
        <v>44477</v>
      </c>
      <c r="AY76" s="519">
        <v>1210.5</v>
      </c>
      <c r="AZ76" s="519">
        <f t="shared" si="36"/>
        <v>1066410.0495405002</v>
      </c>
      <c r="BA76" s="521">
        <f t="shared" si="41"/>
        <v>1</v>
      </c>
      <c r="BB76" s="519">
        <f t="shared" si="34"/>
        <v>1066410.0495405002</v>
      </c>
      <c r="BC76" s="519">
        <v>5010.16</v>
      </c>
      <c r="BD76" s="519">
        <f t="shared" si="55"/>
        <v>0</v>
      </c>
      <c r="BE76" s="519">
        <f t="shared" si="19"/>
        <v>5010.16</v>
      </c>
      <c r="BF76" s="513" t="s">
        <v>1771</v>
      </c>
      <c r="BG76" s="514" t="s">
        <v>1771</v>
      </c>
      <c r="BH76" s="510" t="s">
        <v>1771</v>
      </c>
      <c r="BI76" s="522"/>
    </row>
    <row r="77" spans="1:61" s="523" customFormat="1" ht="144">
      <c r="A77" s="538" t="s">
        <v>6122</v>
      </c>
      <c r="B77" s="507" t="s">
        <v>3042</v>
      </c>
      <c r="C77" s="507" t="s">
        <v>3774</v>
      </c>
      <c r="D77" s="508" t="s">
        <v>4457</v>
      </c>
      <c r="E77" s="507" t="s">
        <v>4451</v>
      </c>
      <c r="F77" s="507" t="s">
        <v>4452</v>
      </c>
      <c r="G77" s="509" t="s">
        <v>4458</v>
      </c>
      <c r="H77" s="507" t="s">
        <v>4450</v>
      </c>
      <c r="I77" s="510" t="s">
        <v>1771</v>
      </c>
      <c r="J77" s="510">
        <v>2</v>
      </c>
      <c r="K77" s="507">
        <f>5+5+32+10+10+9+13</f>
        <v>84</v>
      </c>
      <c r="L77" s="507">
        <f>966+952+5201+602.5+597.5+762.66+2036</f>
        <v>11117.66</v>
      </c>
      <c r="M77" s="511">
        <v>44441</v>
      </c>
      <c r="N77" s="511">
        <v>44440</v>
      </c>
      <c r="O77" s="511">
        <v>44440</v>
      </c>
      <c r="P77" s="511">
        <v>44472</v>
      </c>
      <c r="Q77" s="511">
        <v>44477</v>
      </c>
      <c r="R77" s="512" t="s">
        <v>4567</v>
      </c>
      <c r="S77" s="515" t="s">
        <v>3752</v>
      </c>
      <c r="T77" s="510" t="s">
        <v>3128</v>
      </c>
      <c r="U77" s="516" t="s">
        <v>3031</v>
      </c>
      <c r="V77" s="359">
        <v>44474</v>
      </c>
      <c r="W77" s="510" t="s">
        <v>3337</v>
      </c>
      <c r="X77" s="510" t="s">
        <v>3341</v>
      </c>
      <c r="Y77" s="511">
        <v>44472</v>
      </c>
      <c r="Z77" s="510" t="s">
        <v>3252</v>
      </c>
      <c r="AA77" s="510" t="s">
        <v>3982</v>
      </c>
      <c r="AB77" s="510" t="s">
        <v>4568</v>
      </c>
      <c r="AC77" s="510" t="s">
        <v>2146</v>
      </c>
      <c r="AD77" s="511">
        <v>44475</v>
      </c>
      <c r="AE77" s="515">
        <v>7818.9781000000003</v>
      </c>
      <c r="AF77" s="507" t="s">
        <v>4440</v>
      </c>
      <c r="AG77" s="510" t="s">
        <v>3108</v>
      </c>
      <c r="AH77" s="517">
        <v>136072.39000000001</v>
      </c>
      <c r="AI77" s="517">
        <v>6624</v>
      </c>
      <c r="AJ77" s="517">
        <v>7</v>
      </c>
      <c r="AK77" s="517">
        <f t="shared" si="60"/>
        <v>142703.39000000001</v>
      </c>
      <c r="AL77" s="518">
        <v>5.4611000000000001</v>
      </c>
      <c r="AM77" s="519">
        <f t="shared" si="31"/>
        <v>779317.48312900006</v>
      </c>
      <c r="AN77" s="519">
        <v>0</v>
      </c>
      <c r="AO77" s="510">
        <v>17</v>
      </c>
      <c r="AP77" s="519">
        <v>29938.78</v>
      </c>
      <c r="AQ77" s="519">
        <v>81882.06</v>
      </c>
      <c r="AR77" s="519">
        <v>16365.66</v>
      </c>
      <c r="AS77" s="519">
        <v>75204.08</v>
      </c>
      <c r="AT77" s="519">
        <v>199818.33</v>
      </c>
      <c r="AU77" s="519">
        <v>8948.86</v>
      </c>
      <c r="AV77" s="519">
        <v>508.98</v>
      </c>
      <c r="AW77" s="510" t="s">
        <v>3139</v>
      </c>
      <c r="AX77" s="627">
        <f t="shared" si="52"/>
        <v>44477</v>
      </c>
      <c r="AY77" s="519">
        <v>2421</v>
      </c>
      <c r="AZ77" s="519">
        <f t="shared" si="36"/>
        <v>1168976.2246935</v>
      </c>
      <c r="BA77" s="521">
        <f t="shared" si="41"/>
        <v>2</v>
      </c>
      <c r="BB77" s="519">
        <f t="shared" si="34"/>
        <v>584488.11234674999</v>
      </c>
      <c r="BC77" s="519">
        <v>9560.7900000000009</v>
      </c>
      <c r="BD77" s="519">
        <f t="shared" si="55"/>
        <v>70</v>
      </c>
      <c r="BE77" s="519">
        <f t="shared" si="19"/>
        <v>9630.7900000000009</v>
      </c>
      <c r="BF77" s="513" t="s">
        <v>1771</v>
      </c>
      <c r="BG77" s="514" t="s">
        <v>1771</v>
      </c>
      <c r="BH77" s="510" t="s">
        <v>1771</v>
      </c>
      <c r="BI77" s="522"/>
    </row>
    <row r="78" spans="1:61" s="523" customFormat="1" ht="108">
      <c r="A78" s="538" t="s">
        <v>6123</v>
      </c>
      <c r="B78" s="507" t="s">
        <v>3042</v>
      </c>
      <c r="C78" s="507" t="s">
        <v>3774</v>
      </c>
      <c r="D78" s="509" t="s">
        <v>4483</v>
      </c>
      <c r="E78" s="507" t="s">
        <v>4474</v>
      </c>
      <c r="F78" s="507" t="s">
        <v>4475</v>
      </c>
      <c r="G78" s="509" t="s">
        <v>4486</v>
      </c>
      <c r="H78" s="507" t="s">
        <v>4476</v>
      </c>
      <c r="I78" s="510" t="s">
        <v>1771</v>
      </c>
      <c r="J78" s="510">
        <v>1</v>
      </c>
      <c r="K78" s="507">
        <f>15+15+7+1+1+9</f>
        <v>48</v>
      </c>
      <c r="L78" s="507">
        <f>1972+1932.5+948+16.769+24.66+1419.5</f>
        <v>6313.4290000000001</v>
      </c>
      <c r="M78" s="511">
        <v>44447</v>
      </c>
      <c r="N78" s="511">
        <v>44448</v>
      </c>
      <c r="O78" s="511">
        <v>44448</v>
      </c>
      <c r="P78" s="511">
        <v>44477</v>
      </c>
      <c r="Q78" s="511">
        <v>44483</v>
      </c>
      <c r="R78" s="512" t="s">
        <v>4587</v>
      </c>
      <c r="S78" s="515" t="s">
        <v>3752</v>
      </c>
      <c r="T78" s="510" t="s">
        <v>3128</v>
      </c>
      <c r="U78" s="516" t="s">
        <v>3031</v>
      </c>
      <c r="V78" s="359">
        <v>44463</v>
      </c>
      <c r="W78" s="510" t="s">
        <v>3337</v>
      </c>
      <c r="X78" s="510" t="s">
        <v>3341</v>
      </c>
      <c r="Y78" s="511"/>
      <c r="Z78" s="510"/>
      <c r="AA78" s="510"/>
      <c r="AB78" s="510" t="s">
        <v>4754</v>
      </c>
      <c r="AC78" s="510" t="s">
        <v>506</v>
      </c>
      <c r="AD78" s="511">
        <v>44482</v>
      </c>
      <c r="AE78" s="510">
        <v>6313.42</v>
      </c>
      <c r="AF78" s="507" t="s">
        <v>4438</v>
      </c>
      <c r="AG78" s="510" t="s">
        <v>3108</v>
      </c>
      <c r="AH78" s="517">
        <v>179746.45</v>
      </c>
      <c r="AI78" s="517">
        <v>3312</v>
      </c>
      <c r="AJ78" s="517">
        <v>6</v>
      </c>
      <c r="AK78" s="517">
        <f t="shared" ref="AK78" si="61">SUM(AH78:AJ78)</f>
        <v>183064.45</v>
      </c>
      <c r="AL78" s="625">
        <v>5.5160999999999998</v>
      </c>
      <c r="AM78" s="519">
        <f t="shared" si="31"/>
        <v>1009801.8126450001</v>
      </c>
      <c r="AN78" s="519">
        <v>0</v>
      </c>
      <c r="AO78" s="510">
        <v>18</v>
      </c>
      <c r="AP78" s="626">
        <v>11995.42</v>
      </c>
      <c r="AQ78" s="519">
        <v>89333.8</v>
      </c>
      <c r="AR78" s="519">
        <v>21205.84</v>
      </c>
      <c r="AS78" s="519">
        <v>97445.87</v>
      </c>
      <c r="AT78" s="519">
        <v>243826.25</v>
      </c>
      <c r="AU78" s="519"/>
      <c r="AV78" s="519">
        <v>524.4</v>
      </c>
      <c r="AW78" s="510" t="s">
        <v>3139</v>
      </c>
      <c r="AX78" s="627">
        <f t="shared" si="52"/>
        <v>44483</v>
      </c>
      <c r="AY78" s="519">
        <v>1210.5</v>
      </c>
      <c r="AZ78" s="519">
        <f t="shared" si="36"/>
        <v>1514702.7189675001</v>
      </c>
      <c r="BA78" s="521">
        <f t="shared" si="41"/>
        <v>1</v>
      </c>
      <c r="BB78" s="519">
        <f t="shared" si="34"/>
        <v>1514702.7189675001</v>
      </c>
      <c r="BC78" s="519">
        <v>5206.4799999999996</v>
      </c>
      <c r="BD78" s="519">
        <f t="shared" si="55"/>
        <v>80</v>
      </c>
      <c r="BE78" s="519">
        <f t="shared" si="19"/>
        <v>5286.48</v>
      </c>
      <c r="BF78" s="513" t="s">
        <v>1771</v>
      </c>
      <c r="BG78" s="514" t="s">
        <v>1771</v>
      </c>
      <c r="BH78" s="510" t="s">
        <v>1771</v>
      </c>
      <c r="BI78" s="522"/>
    </row>
    <row r="79" spans="1:61" s="523" customFormat="1" ht="96">
      <c r="A79" s="538" t="s">
        <v>6124</v>
      </c>
      <c r="B79" s="507" t="s">
        <v>3042</v>
      </c>
      <c r="C79" s="507" t="s">
        <v>3774</v>
      </c>
      <c r="D79" s="508" t="s">
        <v>4485</v>
      </c>
      <c r="E79" s="507" t="s">
        <v>4478</v>
      </c>
      <c r="F79" s="507" t="s">
        <v>4479</v>
      </c>
      <c r="G79" s="509" t="s">
        <v>4477</v>
      </c>
      <c r="H79" s="507" t="s">
        <v>4476</v>
      </c>
      <c r="I79" s="510" t="s">
        <v>1771</v>
      </c>
      <c r="J79" s="510">
        <v>1</v>
      </c>
      <c r="K79" s="507">
        <f>8+2+16+8+8</f>
        <v>42</v>
      </c>
      <c r="L79" s="507">
        <f>1117+210+2022+1101+1128.5</f>
        <v>5578.5</v>
      </c>
      <c r="M79" s="511">
        <v>44447</v>
      </c>
      <c r="N79" s="511">
        <v>44448</v>
      </c>
      <c r="O79" s="511">
        <v>44448</v>
      </c>
      <c r="P79" s="511">
        <v>44477</v>
      </c>
      <c r="Q79" s="511">
        <v>44483</v>
      </c>
      <c r="R79" s="512" t="s">
        <v>4591</v>
      </c>
      <c r="S79" s="515" t="s">
        <v>3752</v>
      </c>
      <c r="T79" s="510" t="s">
        <v>3128</v>
      </c>
      <c r="U79" s="516" t="s">
        <v>3031</v>
      </c>
      <c r="V79" s="359">
        <v>44463</v>
      </c>
      <c r="W79" s="510" t="s">
        <v>3337</v>
      </c>
      <c r="X79" s="510" t="s">
        <v>3341</v>
      </c>
      <c r="Y79" s="511"/>
      <c r="Z79" s="510"/>
      <c r="AA79" s="510"/>
      <c r="AB79" s="510" t="s">
        <v>4755</v>
      </c>
      <c r="AC79" s="510" t="s">
        <v>506</v>
      </c>
      <c r="AD79" s="511">
        <v>44480</v>
      </c>
      <c r="AE79" s="510">
        <v>5578.5</v>
      </c>
      <c r="AF79" s="507" t="s">
        <v>4438</v>
      </c>
      <c r="AG79" s="510" t="s">
        <v>3108</v>
      </c>
      <c r="AH79" s="517">
        <v>87133.56</v>
      </c>
      <c r="AI79" s="517">
        <v>3312</v>
      </c>
      <c r="AJ79" s="517">
        <v>5</v>
      </c>
      <c r="AK79" s="517">
        <f t="shared" ref="AK79:AK84" si="62">SUM(AH79:AJ79)</f>
        <v>90450.559999999998</v>
      </c>
      <c r="AL79" s="518">
        <v>5.5084</v>
      </c>
      <c r="AM79" s="519">
        <f t="shared" si="31"/>
        <v>498237.86470400001</v>
      </c>
      <c r="AN79" s="519">
        <v>0</v>
      </c>
      <c r="AO79" s="510">
        <v>3</v>
      </c>
      <c r="AP79" s="519">
        <v>9268.7999999999993</v>
      </c>
      <c r="AQ79" s="519">
        <v>50750.65</v>
      </c>
      <c r="AR79" s="519">
        <v>10462.99</v>
      </c>
      <c r="AS79" s="519">
        <v>48079.95</v>
      </c>
      <c r="AT79" s="519">
        <v>125309.7</v>
      </c>
      <c r="AU79" s="519">
        <v>4582.1499999999996</v>
      </c>
      <c r="AV79" s="519">
        <v>223.64</v>
      </c>
      <c r="AW79" s="510" t="s">
        <v>3139</v>
      </c>
      <c r="AX79" s="627">
        <f t="shared" si="52"/>
        <v>44483</v>
      </c>
      <c r="AY79" s="519">
        <v>1210.5</v>
      </c>
      <c r="AZ79" s="519">
        <f t="shared" si="36"/>
        <v>747356.79705599998</v>
      </c>
      <c r="BA79" s="521">
        <f t="shared" si="41"/>
        <v>1</v>
      </c>
      <c r="BB79" s="519">
        <f t="shared" si="34"/>
        <v>747356.79705599998</v>
      </c>
      <c r="BC79" s="519">
        <v>5107.28</v>
      </c>
      <c r="BD79" s="519">
        <f t="shared" si="55"/>
        <v>-70</v>
      </c>
      <c r="BE79" s="519">
        <f t="shared" si="19"/>
        <v>5037.28</v>
      </c>
      <c r="BF79" s="513" t="s">
        <v>1771</v>
      </c>
      <c r="BG79" s="514" t="s">
        <v>1771</v>
      </c>
      <c r="BH79" s="510" t="s">
        <v>1771</v>
      </c>
      <c r="BI79" s="522"/>
    </row>
    <row r="80" spans="1:61" s="523" customFormat="1" ht="168">
      <c r="A80" s="538" t="s">
        <v>6125</v>
      </c>
      <c r="B80" s="507" t="s">
        <v>3042</v>
      </c>
      <c r="C80" s="507" t="s">
        <v>3774</v>
      </c>
      <c r="D80" s="508" t="s">
        <v>4484</v>
      </c>
      <c r="E80" s="507" t="s">
        <v>4480</v>
      </c>
      <c r="F80" s="507" t="s">
        <v>4481</v>
      </c>
      <c r="G80" s="509" t="s">
        <v>4494</v>
      </c>
      <c r="H80" s="507" t="s">
        <v>4476</v>
      </c>
      <c r="I80" s="510" t="s">
        <v>1771</v>
      </c>
      <c r="J80" s="510">
        <v>1</v>
      </c>
      <c r="K80" s="507">
        <f>5+5+5+5+2+2+2+3+1+1+1+1+1+5</f>
        <v>39</v>
      </c>
      <c r="L80" s="507">
        <f>1108+1105.5+1112+1112+121.5+123.5+123+129.42+88+12.46+35+7.6+1.56+217</f>
        <v>5296.5400000000009</v>
      </c>
      <c r="M80" s="511">
        <v>44447</v>
      </c>
      <c r="N80" s="511">
        <v>44449</v>
      </c>
      <c r="O80" s="511">
        <v>44449</v>
      </c>
      <c r="P80" s="511">
        <v>44477</v>
      </c>
      <c r="Q80" s="511">
        <v>44483</v>
      </c>
      <c r="R80" s="512" t="s">
        <v>4592</v>
      </c>
      <c r="S80" s="515" t="s">
        <v>3752</v>
      </c>
      <c r="T80" s="510" t="s">
        <v>3128</v>
      </c>
      <c r="U80" s="516" t="s">
        <v>3031</v>
      </c>
      <c r="V80" s="359">
        <v>44477</v>
      </c>
      <c r="W80" s="510" t="s">
        <v>3337</v>
      </c>
      <c r="X80" s="510" t="s">
        <v>3341</v>
      </c>
      <c r="Y80" s="511"/>
      <c r="Z80" s="510"/>
      <c r="AA80" s="510"/>
      <c r="AB80" s="510" t="s">
        <v>4756</v>
      </c>
      <c r="AC80" s="510" t="s">
        <v>506</v>
      </c>
      <c r="AD80" s="511">
        <v>44482</v>
      </c>
      <c r="AE80" s="510">
        <v>5296.54</v>
      </c>
      <c r="AF80" s="507" t="s">
        <v>4495</v>
      </c>
      <c r="AG80" s="510" t="s">
        <v>3108</v>
      </c>
      <c r="AH80" s="517">
        <v>217275.88</v>
      </c>
      <c r="AI80" s="517">
        <v>3312</v>
      </c>
      <c r="AJ80" s="517">
        <v>14</v>
      </c>
      <c r="AK80" s="517">
        <f t="shared" si="62"/>
        <v>220601.88</v>
      </c>
      <c r="AL80" s="518">
        <v>5.5160999999999998</v>
      </c>
      <c r="AM80" s="519">
        <f t="shared" si="31"/>
        <v>1216862.030268</v>
      </c>
      <c r="AN80" s="519">
        <v>0</v>
      </c>
      <c r="AO80" s="510">
        <v>35</v>
      </c>
      <c r="AP80" s="519">
        <v>7335.01</v>
      </c>
      <c r="AQ80" s="519">
        <v>123359.91</v>
      </c>
      <c r="AR80" s="519">
        <v>25554.12</v>
      </c>
      <c r="AS80" s="519">
        <v>117427.16</v>
      </c>
      <c r="AT80" s="519">
        <v>300702.95</v>
      </c>
      <c r="AU80" s="519">
        <v>4582.1499999999996</v>
      </c>
      <c r="AV80" s="519">
        <v>670.89</v>
      </c>
      <c r="AW80" s="510" t="s">
        <v>3139</v>
      </c>
      <c r="AX80" s="627">
        <f t="shared" si="52"/>
        <v>44483</v>
      </c>
      <c r="AY80" s="519">
        <v>1210.5</v>
      </c>
      <c r="AZ80" s="519">
        <f t="shared" si="36"/>
        <v>1825293.045402</v>
      </c>
      <c r="BA80" s="521">
        <f t="shared" si="41"/>
        <v>1</v>
      </c>
      <c r="BB80" s="519">
        <f t="shared" si="34"/>
        <v>1825293.045402</v>
      </c>
      <c r="BC80" s="519">
        <v>5417.28</v>
      </c>
      <c r="BD80" s="519">
        <f t="shared" si="55"/>
        <v>250</v>
      </c>
      <c r="BE80" s="519">
        <f t="shared" si="19"/>
        <v>5667.28</v>
      </c>
      <c r="BF80" s="513" t="s">
        <v>1771</v>
      </c>
      <c r="BG80" s="514" t="s">
        <v>1771</v>
      </c>
      <c r="BH80" s="510" t="s">
        <v>1771</v>
      </c>
      <c r="BI80" s="522"/>
    </row>
    <row r="81" spans="1:61" s="523" customFormat="1" ht="96">
      <c r="A81" s="538" t="s">
        <v>6126</v>
      </c>
      <c r="B81" s="507" t="s">
        <v>3042</v>
      </c>
      <c r="C81" s="507" t="s">
        <v>3774</v>
      </c>
      <c r="D81" s="508" t="s">
        <v>4498</v>
      </c>
      <c r="E81" s="507" t="s">
        <v>4487</v>
      </c>
      <c r="F81" s="507" t="s">
        <v>4488</v>
      </c>
      <c r="G81" s="509" t="s">
        <v>4497</v>
      </c>
      <c r="H81" s="507" t="s">
        <v>4476</v>
      </c>
      <c r="I81" s="510" t="s">
        <v>1771</v>
      </c>
      <c r="J81" s="510">
        <v>1</v>
      </c>
      <c r="K81" s="507">
        <f>2+11+15+8+8+1</f>
        <v>45</v>
      </c>
      <c r="L81" s="507">
        <f>120+1417.99+2128+1128.5+1140+19</f>
        <v>5953.49</v>
      </c>
      <c r="M81" s="511">
        <v>44448</v>
      </c>
      <c r="N81" s="511">
        <v>44449</v>
      </c>
      <c r="O81" s="511">
        <v>44449</v>
      </c>
      <c r="P81" s="511">
        <v>44477</v>
      </c>
      <c r="Q81" s="511">
        <v>44483</v>
      </c>
      <c r="R81" s="512" t="s">
        <v>4593</v>
      </c>
      <c r="S81" s="515" t="s">
        <v>3752</v>
      </c>
      <c r="T81" s="510" t="s">
        <v>3128</v>
      </c>
      <c r="U81" s="516" t="s">
        <v>3031</v>
      </c>
      <c r="V81" s="359">
        <v>44474</v>
      </c>
      <c r="W81" s="510" t="s">
        <v>3337</v>
      </c>
      <c r="X81" s="510" t="s">
        <v>3341</v>
      </c>
      <c r="Y81" s="511"/>
      <c r="Z81" s="510"/>
      <c r="AA81" s="510"/>
      <c r="AB81" s="510" t="s">
        <v>4757</v>
      </c>
      <c r="AC81" s="510" t="s">
        <v>506</v>
      </c>
      <c r="AD81" s="511">
        <v>44482</v>
      </c>
      <c r="AE81" s="510">
        <v>5953.49</v>
      </c>
      <c r="AF81" s="507" t="s">
        <v>4496</v>
      </c>
      <c r="AG81" s="510" t="s">
        <v>3108</v>
      </c>
      <c r="AH81" s="517">
        <v>36844.81</v>
      </c>
      <c r="AI81" s="517">
        <v>3312</v>
      </c>
      <c r="AJ81" s="517">
        <v>6</v>
      </c>
      <c r="AK81" s="517">
        <f t="shared" si="62"/>
        <v>40162.81</v>
      </c>
      <c r="AL81" s="518">
        <v>5.5160999999999998</v>
      </c>
      <c r="AM81" s="519">
        <f t="shared" si="31"/>
        <v>221542.07624099997</v>
      </c>
      <c r="AN81" s="519">
        <v>0</v>
      </c>
      <c r="AO81" s="510">
        <v>12</v>
      </c>
      <c r="AP81" s="519">
        <v>15887.49</v>
      </c>
      <c r="AQ81" s="519">
        <v>23646.83</v>
      </c>
      <c r="AR81" s="519">
        <v>4652.38</v>
      </c>
      <c r="AS81" s="519">
        <v>21378.79</v>
      </c>
      <c r="AT81" s="519">
        <v>58788.63</v>
      </c>
      <c r="AU81" s="519">
        <v>4582.1499999999996</v>
      </c>
      <c r="AV81" s="519">
        <v>431.88</v>
      </c>
      <c r="AW81" s="510" t="s">
        <v>3139</v>
      </c>
      <c r="AX81" s="627">
        <f t="shared" si="52"/>
        <v>44483</v>
      </c>
      <c r="AY81" s="519">
        <v>1210.5</v>
      </c>
      <c r="AZ81" s="519">
        <f t="shared" si="36"/>
        <v>332313.11436149996</v>
      </c>
      <c r="BA81" s="521">
        <f t="shared" si="41"/>
        <v>1</v>
      </c>
      <c r="BB81" s="519">
        <f t="shared" si="34"/>
        <v>332313.11436149996</v>
      </c>
      <c r="BC81" s="519">
        <v>5132.08</v>
      </c>
      <c r="BD81" s="519">
        <f t="shared" si="55"/>
        <v>20</v>
      </c>
      <c r="BE81" s="519">
        <f t="shared" si="19"/>
        <v>5152.08</v>
      </c>
      <c r="BF81" s="513" t="s">
        <v>1771</v>
      </c>
      <c r="BG81" s="514" t="s">
        <v>1771</v>
      </c>
      <c r="BH81" s="510" t="s">
        <v>1771</v>
      </c>
      <c r="BI81" s="522"/>
    </row>
    <row r="82" spans="1:61" s="523" customFormat="1" ht="96">
      <c r="A82" s="538" t="s">
        <v>6127</v>
      </c>
      <c r="B82" s="507" t="s">
        <v>3042</v>
      </c>
      <c r="C82" s="507" t="s">
        <v>3774</v>
      </c>
      <c r="D82" s="508" t="s">
        <v>4499</v>
      </c>
      <c r="E82" s="507" t="s">
        <v>4489</v>
      </c>
      <c r="F82" s="507" t="s">
        <v>4490</v>
      </c>
      <c r="G82" s="509" t="s">
        <v>4500</v>
      </c>
      <c r="H82" s="507" t="s">
        <v>4476</v>
      </c>
      <c r="I82" s="510" t="s">
        <v>1771</v>
      </c>
      <c r="J82" s="510">
        <v>1</v>
      </c>
      <c r="K82" s="507">
        <f>5+2+8+8+15+6</f>
        <v>44</v>
      </c>
      <c r="L82" s="507">
        <f>871.5+124.5+1131.5+1148+2120.5+743.5</f>
        <v>6139.5</v>
      </c>
      <c r="M82" s="511">
        <v>44448</v>
      </c>
      <c r="N82" s="511">
        <v>44449</v>
      </c>
      <c r="O82" s="511">
        <v>44449</v>
      </c>
      <c r="P82" s="511">
        <v>44477</v>
      </c>
      <c r="Q82" s="511">
        <v>44483</v>
      </c>
      <c r="R82" s="512" t="s">
        <v>4594</v>
      </c>
      <c r="S82" s="515" t="s">
        <v>3752</v>
      </c>
      <c r="T82" s="510" t="s">
        <v>3128</v>
      </c>
      <c r="U82" s="516" t="s">
        <v>3031</v>
      </c>
      <c r="V82" s="359">
        <v>44474</v>
      </c>
      <c r="W82" s="510" t="s">
        <v>3337</v>
      </c>
      <c r="X82" s="510" t="s">
        <v>3341</v>
      </c>
      <c r="Y82" s="511"/>
      <c r="Z82" s="510"/>
      <c r="AA82" s="510"/>
      <c r="AB82" s="510" t="s">
        <v>4758</v>
      </c>
      <c r="AC82" s="510" t="s">
        <v>506</v>
      </c>
      <c r="AD82" s="511">
        <v>44480</v>
      </c>
      <c r="AE82" s="510">
        <v>6139.5</v>
      </c>
      <c r="AF82" s="507" t="s">
        <v>3238</v>
      </c>
      <c r="AG82" s="510" t="s">
        <v>3108</v>
      </c>
      <c r="AH82" s="517">
        <v>56168.480000000003</v>
      </c>
      <c r="AI82" s="517">
        <v>3312</v>
      </c>
      <c r="AJ82" s="517">
        <v>6</v>
      </c>
      <c r="AK82" s="517">
        <f t="shared" si="62"/>
        <v>59486.48</v>
      </c>
      <c r="AL82" s="518">
        <v>5.5084</v>
      </c>
      <c r="AM82" s="519">
        <f t="shared" si="31"/>
        <v>327675.32643200003</v>
      </c>
      <c r="AN82" s="519">
        <v>0</v>
      </c>
      <c r="AO82" s="510">
        <v>14</v>
      </c>
      <c r="AP82" s="519">
        <v>16037.65</v>
      </c>
      <c r="AQ82" s="519">
        <v>34497.730000000003</v>
      </c>
      <c r="AR82" s="519">
        <v>6881.19</v>
      </c>
      <c r="AS82" s="519">
        <v>31620.61</v>
      </c>
      <c r="AT82" s="519">
        <v>85008.11</v>
      </c>
      <c r="AU82" s="519">
        <v>4582.1499999999996</v>
      </c>
      <c r="AV82" s="519">
        <v>462.72</v>
      </c>
      <c r="AW82" s="510" t="s">
        <v>3139</v>
      </c>
      <c r="AX82" s="627">
        <f t="shared" si="52"/>
        <v>44483</v>
      </c>
      <c r="AY82" s="519">
        <v>1210.5</v>
      </c>
      <c r="AZ82" s="519">
        <f t="shared" si="36"/>
        <v>491512.98964800005</v>
      </c>
      <c r="BA82" s="521">
        <f t="shared" si="41"/>
        <v>1</v>
      </c>
      <c r="BB82" s="519">
        <f t="shared" si="34"/>
        <v>491512.98964800005</v>
      </c>
      <c r="BC82" s="519">
        <v>5156.88</v>
      </c>
      <c r="BD82" s="519">
        <f t="shared" si="55"/>
        <v>40</v>
      </c>
      <c r="BE82" s="519">
        <f t="shared" ref="BE82:BE119" si="63">SUM(BC82:BD82)</f>
        <v>5196.88</v>
      </c>
      <c r="BF82" s="513" t="s">
        <v>1771</v>
      </c>
      <c r="BG82" s="514" t="s">
        <v>1771</v>
      </c>
      <c r="BH82" s="510" t="s">
        <v>1771</v>
      </c>
      <c r="BI82" s="522"/>
    </row>
    <row r="83" spans="1:61" s="523" customFormat="1" ht="132">
      <c r="A83" s="538" t="s">
        <v>6128</v>
      </c>
      <c r="B83" s="507" t="s">
        <v>3042</v>
      </c>
      <c r="C83" s="507" t="s">
        <v>3774</v>
      </c>
      <c r="D83" s="508" t="s">
        <v>4469</v>
      </c>
      <c r="E83" s="507" t="s">
        <v>4466</v>
      </c>
      <c r="F83" s="507" t="s">
        <v>4467</v>
      </c>
      <c r="G83" s="509" t="s">
        <v>4468</v>
      </c>
      <c r="H83" s="507" t="s">
        <v>4450</v>
      </c>
      <c r="I83" s="510" t="s">
        <v>1771</v>
      </c>
      <c r="J83" s="510">
        <v>1</v>
      </c>
      <c r="K83" s="507">
        <f>10+8+28+4</f>
        <v>50</v>
      </c>
      <c r="L83" s="507">
        <f>591+1137+2219+239.86</f>
        <v>4186.8599999999997</v>
      </c>
      <c r="M83" s="511">
        <v>44442</v>
      </c>
      <c r="N83" s="511">
        <v>44443</v>
      </c>
      <c r="O83" s="511">
        <v>44443</v>
      </c>
      <c r="P83" s="511">
        <v>44472</v>
      </c>
      <c r="Q83" s="511">
        <v>44487</v>
      </c>
      <c r="R83" s="512" t="s">
        <v>4595</v>
      </c>
      <c r="S83" s="515" t="s">
        <v>3752</v>
      </c>
      <c r="T83" s="510" t="s">
        <v>3128</v>
      </c>
      <c r="U83" s="516" t="s">
        <v>3031</v>
      </c>
      <c r="V83" s="359">
        <v>44474</v>
      </c>
      <c r="W83" s="510" t="s">
        <v>3337</v>
      </c>
      <c r="X83" s="510" t="s">
        <v>3341</v>
      </c>
      <c r="Y83" s="511">
        <v>44472</v>
      </c>
      <c r="Z83" s="510" t="s">
        <v>3252</v>
      </c>
      <c r="AA83" s="510" t="s">
        <v>3982</v>
      </c>
      <c r="AB83" s="510" t="s">
        <v>4759</v>
      </c>
      <c r="AC83" s="510" t="s">
        <v>506</v>
      </c>
      <c r="AD83" s="511">
        <v>44484</v>
      </c>
      <c r="AE83" s="510">
        <v>4186.8599999999997</v>
      </c>
      <c r="AF83" s="507" t="s">
        <v>3359</v>
      </c>
      <c r="AG83" s="510" t="s">
        <v>3108</v>
      </c>
      <c r="AH83" s="517">
        <v>34949.629999999997</v>
      </c>
      <c r="AI83" s="517">
        <v>3312</v>
      </c>
      <c r="AJ83" s="517">
        <v>4</v>
      </c>
      <c r="AK83" s="517">
        <f t="shared" si="62"/>
        <v>38265.629999999997</v>
      </c>
      <c r="AL83" s="518">
        <v>5.4988000000000001</v>
      </c>
      <c r="AM83" s="519">
        <f t="shared" si="31"/>
        <v>210415.046244</v>
      </c>
      <c r="AN83" s="519">
        <v>0</v>
      </c>
      <c r="AO83" s="510">
        <v>7</v>
      </c>
      <c r="AP83" s="519">
        <v>16141.85</v>
      </c>
      <c r="AQ83" s="519">
        <v>23137.21</v>
      </c>
      <c r="AR83" s="519">
        <v>4418.7299999999996</v>
      </c>
      <c r="AS83" s="519">
        <v>20305.03</v>
      </c>
      <c r="AT83" s="519">
        <v>56216.44</v>
      </c>
      <c r="AU83" s="519">
        <v>4485.03</v>
      </c>
      <c r="AV83" s="519">
        <v>331.62</v>
      </c>
      <c r="AW83" s="510" t="s">
        <v>3139</v>
      </c>
      <c r="AX83" s="627">
        <f t="shared" si="52"/>
        <v>44487</v>
      </c>
      <c r="AY83" s="519">
        <v>2085.14</v>
      </c>
      <c r="AZ83" s="519">
        <f t="shared" si="36"/>
        <v>315622.56936600001</v>
      </c>
      <c r="BA83" s="521">
        <f t="shared" si="41"/>
        <v>1</v>
      </c>
      <c r="BB83" s="519">
        <f t="shared" si="34"/>
        <v>315622.56936600001</v>
      </c>
      <c r="BC83" s="519">
        <v>5010.16</v>
      </c>
      <c r="BD83" s="519">
        <f t="shared" si="55"/>
        <v>-30</v>
      </c>
      <c r="BE83" s="519">
        <f t="shared" si="63"/>
        <v>4980.16</v>
      </c>
      <c r="BF83" s="513" t="s">
        <v>1771</v>
      </c>
      <c r="BG83" s="514" t="s">
        <v>1771</v>
      </c>
      <c r="BH83" s="510" t="s">
        <v>1771</v>
      </c>
      <c r="BI83" s="522"/>
    </row>
    <row r="84" spans="1:61" s="523" customFormat="1" ht="132">
      <c r="A84" s="538" t="s">
        <v>6129</v>
      </c>
      <c r="B84" s="507" t="s">
        <v>3042</v>
      </c>
      <c r="C84" s="507" t="s">
        <v>3774</v>
      </c>
      <c r="D84" s="508" t="s">
        <v>4482</v>
      </c>
      <c r="E84" s="507" t="s">
        <v>4471</v>
      </c>
      <c r="F84" s="507" t="s">
        <v>4472</v>
      </c>
      <c r="G84" s="509" t="s">
        <v>4473</v>
      </c>
      <c r="H84" s="507" t="s">
        <v>4450</v>
      </c>
      <c r="I84" s="510" t="s">
        <v>1771</v>
      </c>
      <c r="J84" s="510">
        <v>1</v>
      </c>
      <c r="K84" s="507">
        <f>8+8+10+12</f>
        <v>38</v>
      </c>
      <c r="L84" s="507">
        <f>1129+1119+625.5+903</f>
        <v>3776.5</v>
      </c>
      <c r="M84" s="511">
        <v>44447</v>
      </c>
      <c r="N84" s="511">
        <v>44444</v>
      </c>
      <c r="O84" s="511">
        <v>44444</v>
      </c>
      <c r="P84" s="511">
        <v>44472</v>
      </c>
      <c r="Q84" s="511">
        <v>44487</v>
      </c>
      <c r="R84" s="512" t="s">
        <v>4596</v>
      </c>
      <c r="S84" s="515" t="s">
        <v>3752</v>
      </c>
      <c r="T84" s="510" t="s">
        <v>3128</v>
      </c>
      <c r="U84" s="516" t="s">
        <v>3031</v>
      </c>
      <c r="V84" s="359">
        <v>44460</v>
      </c>
      <c r="W84" s="510" t="s">
        <v>3337</v>
      </c>
      <c r="X84" s="510" t="s">
        <v>3341</v>
      </c>
      <c r="Y84" s="511">
        <v>44472</v>
      </c>
      <c r="Z84" s="510" t="s">
        <v>3252</v>
      </c>
      <c r="AA84" s="510" t="s">
        <v>3982</v>
      </c>
      <c r="AB84" s="510" t="s">
        <v>4760</v>
      </c>
      <c r="AC84" s="510" t="s">
        <v>506</v>
      </c>
      <c r="AD84" s="511">
        <v>44484</v>
      </c>
      <c r="AE84" s="510">
        <v>3776.5</v>
      </c>
      <c r="AF84" s="507" t="s">
        <v>4440</v>
      </c>
      <c r="AG84" s="510" t="s">
        <v>3108</v>
      </c>
      <c r="AH84" s="517">
        <v>27509.54</v>
      </c>
      <c r="AI84" s="517">
        <v>3312</v>
      </c>
      <c r="AJ84" s="517">
        <v>4</v>
      </c>
      <c r="AK84" s="517">
        <f t="shared" si="62"/>
        <v>30825.54</v>
      </c>
      <c r="AL84" s="518">
        <v>5.4988000000000001</v>
      </c>
      <c r="AM84" s="519">
        <f t="shared" si="31"/>
        <v>169503.47935199999</v>
      </c>
      <c r="AN84" s="519">
        <v>0</v>
      </c>
      <c r="AO84" s="510">
        <v>11</v>
      </c>
      <c r="AP84" s="519">
        <v>13068.73</v>
      </c>
      <c r="AQ84" s="519">
        <v>18799.7</v>
      </c>
      <c r="AR84" s="519">
        <v>3559.58</v>
      </c>
      <c r="AS84" s="519">
        <v>16357.04</v>
      </c>
      <c r="AT84" s="519">
        <v>45524.61</v>
      </c>
      <c r="AU84" s="519">
        <v>4485.03</v>
      </c>
      <c r="AV84" s="519">
        <v>416.46</v>
      </c>
      <c r="AW84" s="510" t="s">
        <v>3139</v>
      </c>
      <c r="AX84" s="627">
        <f t="shared" si="52"/>
        <v>44487</v>
      </c>
      <c r="AY84" s="519">
        <v>2085.14</v>
      </c>
      <c r="AZ84" s="519">
        <f t="shared" si="36"/>
        <v>254255.21902799999</v>
      </c>
      <c r="BA84" s="521">
        <f t="shared" si="41"/>
        <v>1</v>
      </c>
      <c r="BB84" s="519">
        <f t="shared" si="34"/>
        <v>254255.21902799999</v>
      </c>
      <c r="BC84" s="519">
        <v>5022.5600000000004</v>
      </c>
      <c r="BD84" s="519">
        <f t="shared" si="55"/>
        <v>10</v>
      </c>
      <c r="BE84" s="519">
        <f t="shared" si="63"/>
        <v>5032.5600000000004</v>
      </c>
      <c r="BF84" s="513" t="s">
        <v>1771</v>
      </c>
      <c r="BG84" s="514" t="s">
        <v>1771</v>
      </c>
      <c r="BH84" s="510" t="s">
        <v>1771</v>
      </c>
      <c r="BI84" s="522"/>
    </row>
    <row r="85" spans="1:61" s="523" customFormat="1" ht="120">
      <c r="A85" s="538" t="s">
        <v>6130</v>
      </c>
      <c r="B85" s="507" t="s">
        <v>3042</v>
      </c>
      <c r="C85" s="507" t="s">
        <v>3774</v>
      </c>
      <c r="D85" s="508" t="s">
        <v>4506</v>
      </c>
      <c r="E85" s="507" t="s">
        <v>4504</v>
      </c>
      <c r="F85" s="507" t="s">
        <v>4505</v>
      </c>
      <c r="G85" s="509" t="s">
        <v>4507</v>
      </c>
      <c r="H85" s="507" t="s">
        <v>4476</v>
      </c>
      <c r="I85" s="510" t="s">
        <v>1771</v>
      </c>
      <c r="J85" s="510">
        <v>1</v>
      </c>
      <c r="K85" s="507">
        <f>2+2+2+2+5+5+5+5+5+5</f>
        <v>38</v>
      </c>
      <c r="L85" s="507">
        <f>124.5+130+125.5+84.5+801.5+941.5+939+949+955.5+964</f>
        <v>6015</v>
      </c>
      <c r="M85" s="511">
        <v>44449</v>
      </c>
      <c r="N85" s="511">
        <v>44449</v>
      </c>
      <c r="O85" s="511">
        <v>44449</v>
      </c>
      <c r="P85" s="511">
        <v>44477</v>
      </c>
      <c r="Q85" s="511">
        <v>44489</v>
      </c>
      <c r="R85" s="512" t="s">
        <v>4597</v>
      </c>
      <c r="S85" s="515" t="s">
        <v>3752</v>
      </c>
      <c r="T85" s="510" t="s">
        <v>3128</v>
      </c>
      <c r="U85" s="516" t="s">
        <v>3031</v>
      </c>
      <c r="V85" s="359">
        <v>44477</v>
      </c>
      <c r="W85" s="510"/>
      <c r="X85" s="510"/>
      <c r="Y85" s="511"/>
      <c r="Z85" s="510"/>
      <c r="AA85" s="510"/>
      <c r="AB85" s="510" t="s">
        <v>4761</v>
      </c>
      <c r="AC85" s="510" t="s">
        <v>506</v>
      </c>
      <c r="AD85" s="511">
        <v>44487</v>
      </c>
      <c r="AE85" s="510">
        <v>6015</v>
      </c>
      <c r="AF85" s="507" t="s">
        <v>3359</v>
      </c>
      <c r="AG85" s="510" t="s">
        <v>3108</v>
      </c>
      <c r="AH85" s="517">
        <v>203063.72</v>
      </c>
      <c r="AI85" s="517">
        <v>3312</v>
      </c>
      <c r="AJ85" s="517">
        <v>10</v>
      </c>
      <c r="AK85" s="517">
        <f t="shared" ref="AK85" si="64">SUM(AH85:AJ85)</f>
        <v>206385.72</v>
      </c>
      <c r="AL85" s="518">
        <v>5.4509999999999996</v>
      </c>
      <c r="AM85" s="519">
        <f t="shared" si="31"/>
        <v>1125008.55972</v>
      </c>
      <c r="AN85" s="519">
        <v>0</v>
      </c>
      <c r="AO85" s="510">
        <v>3</v>
      </c>
      <c r="AP85" s="519">
        <v>1262.98</v>
      </c>
      <c r="AQ85" s="519">
        <v>113085</v>
      </c>
      <c r="AR85" s="519">
        <v>23625.19</v>
      </c>
      <c r="AS85" s="519">
        <v>108563.35</v>
      </c>
      <c r="AT85" s="519">
        <v>277302.32</v>
      </c>
      <c r="AU85" s="519">
        <v>4582.1499999999996</v>
      </c>
      <c r="AV85" s="519">
        <v>223.64</v>
      </c>
      <c r="AW85" s="510" t="s">
        <v>3139</v>
      </c>
      <c r="AX85" s="627">
        <f t="shared" si="52"/>
        <v>44489</v>
      </c>
      <c r="AY85" s="519">
        <v>2085.14</v>
      </c>
      <c r="AZ85" s="519">
        <f t="shared" si="36"/>
        <v>1687512.8395799999</v>
      </c>
      <c r="BA85" s="521">
        <f t="shared" si="41"/>
        <v>1</v>
      </c>
      <c r="BB85" s="519">
        <f t="shared" si="34"/>
        <v>1687512.8395799999</v>
      </c>
      <c r="BC85" s="519">
        <v>5107.28</v>
      </c>
      <c r="BD85" s="519">
        <f t="shared" si="55"/>
        <v>-70</v>
      </c>
      <c r="BE85" s="519">
        <f t="shared" si="63"/>
        <v>5037.28</v>
      </c>
      <c r="BF85" s="513" t="s">
        <v>1771</v>
      </c>
      <c r="BG85" s="514" t="s">
        <v>1771</v>
      </c>
      <c r="BH85" s="510" t="s">
        <v>1771</v>
      </c>
      <c r="BI85" s="522"/>
    </row>
    <row r="86" spans="1:61" s="624" customFormat="1" ht="108">
      <c r="A86" s="538" t="s">
        <v>6131</v>
      </c>
      <c r="B86" s="507" t="s">
        <v>3042</v>
      </c>
      <c r="C86" s="507" t="s">
        <v>3774</v>
      </c>
      <c r="D86" s="508">
        <v>4800016073</v>
      </c>
      <c r="E86" s="507" t="s">
        <v>4508</v>
      </c>
      <c r="F86" s="507" t="s">
        <v>4509</v>
      </c>
      <c r="G86" s="509" t="s">
        <v>4511</v>
      </c>
      <c r="H86" s="507" t="s">
        <v>4510</v>
      </c>
      <c r="I86" s="510" t="s">
        <v>1771</v>
      </c>
      <c r="J86" s="510">
        <v>1</v>
      </c>
      <c r="K86" s="507">
        <f>15+15+15</f>
        <v>45</v>
      </c>
      <c r="L86" s="507">
        <f>1932.5+2094+2065.5</f>
        <v>6092</v>
      </c>
      <c r="M86" s="511">
        <v>44453</v>
      </c>
      <c r="N86" s="511">
        <v>44455</v>
      </c>
      <c r="O86" s="511">
        <v>44455</v>
      </c>
      <c r="P86" s="511">
        <v>44486</v>
      </c>
      <c r="Q86" s="511">
        <v>44489</v>
      </c>
      <c r="R86" s="512" t="s">
        <v>4598</v>
      </c>
      <c r="S86" s="515" t="s">
        <v>3752</v>
      </c>
      <c r="T86" s="510" t="s">
        <v>3128</v>
      </c>
      <c r="U86" s="516" t="s">
        <v>3031</v>
      </c>
      <c r="V86" s="359">
        <v>44477</v>
      </c>
      <c r="W86" s="510"/>
      <c r="X86" s="510"/>
      <c r="Y86" s="511"/>
      <c r="Z86" s="510"/>
      <c r="AA86" s="510"/>
      <c r="AB86" s="510" t="s">
        <v>4762</v>
      </c>
      <c r="AC86" s="510" t="s">
        <v>506</v>
      </c>
      <c r="AD86" s="511">
        <v>44487</v>
      </c>
      <c r="AE86" s="510">
        <v>6092</v>
      </c>
      <c r="AF86" s="507" t="s">
        <v>3238</v>
      </c>
      <c r="AG86" s="510" t="s">
        <v>3108</v>
      </c>
      <c r="AH86" s="517">
        <v>91016.35</v>
      </c>
      <c r="AI86" s="517">
        <v>3312</v>
      </c>
      <c r="AJ86" s="517">
        <v>3</v>
      </c>
      <c r="AK86" s="517">
        <f t="shared" ref="AK86:AK88" si="65">SUM(AH86:AJ86)</f>
        <v>94331.35</v>
      </c>
      <c r="AL86" s="518">
        <v>5.4509999999999996</v>
      </c>
      <c r="AM86" s="519">
        <f t="shared" si="31"/>
        <v>514200.18884999998</v>
      </c>
      <c r="AN86" s="519">
        <v>0</v>
      </c>
      <c r="AO86" s="510">
        <v>2</v>
      </c>
      <c r="AP86" s="519">
        <v>11337.45</v>
      </c>
      <c r="AQ86" s="519">
        <v>52553.75</v>
      </c>
      <c r="AR86" s="519">
        <v>10798.21</v>
      </c>
      <c r="AS86" s="519">
        <v>49620.31</v>
      </c>
      <c r="AT86" s="519">
        <v>129662.24</v>
      </c>
      <c r="AU86" s="519">
        <v>4534.62</v>
      </c>
      <c r="AV86" s="519">
        <v>192.79</v>
      </c>
      <c r="AW86" s="510" t="s">
        <v>3139</v>
      </c>
      <c r="AX86" s="627">
        <f t="shared" si="52"/>
        <v>44489</v>
      </c>
      <c r="AY86" s="519">
        <v>1210.5</v>
      </c>
      <c r="AZ86" s="519">
        <f t="shared" si="36"/>
        <v>771300.28327499994</v>
      </c>
      <c r="BA86" s="521">
        <f t="shared" si="41"/>
        <v>1</v>
      </c>
      <c r="BB86" s="519">
        <f t="shared" si="34"/>
        <v>771300.28327499994</v>
      </c>
      <c r="BC86" s="519">
        <v>5059.75</v>
      </c>
      <c r="BD86" s="519">
        <f t="shared" si="55"/>
        <v>-80</v>
      </c>
      <c r="BE86" s="519">
        <f t="shared" si="63"/>
        <v>4979.75</v>
      </c>
      <c r="BF86" s="513" t="s">
        <v>1771</v>
      </c>
      <c r="BG86" s="514" t="s">
        <v>1771</v>
      </c>
      <c r="BH86" s="510" t="s">
        <v>1771</v>
      </c>
      <c r="BI86" s="623"/>
    </row>
    <row r="87" spans="1:61" s="624" customFormat="1" ht="108">
      <c r="A87" s="538" t="s">
        <v>6132</v>
      </c>
      <c r="B87" s="507" t="s">
        <v>3042</v>
      </c>
      <c r="C87" s="507" t="s">
        <v>3774</v>
      </c>
      <c r="D87" s="508" t="s">
        <v>4514</v>
      </c>
      <c r="E87" s="507" t="s">
        <v>4512</v>
      </c>
      <c r="F87" s="507" t="s">
        <v>4513</v>
      </c>
      <c r="G87" s="509" t="s">
        <v>4515</v>
      </c>
      <c r="H87" s="507" t="s">
        <v>4510</v>
      </c>
      <c r="I87" s="510" t="s">
        <v>1771</v>
      </c>
      <c r="J87" s="510">
        <v>1</v>
      </c>
      <c r="K87" s="507">
        <f>6+8+15+4+10+5</f>
        <v>48</v>
      </c>
      <c r="L87" s="507">
        <f>615.5+1020+1964+717+1749.5+1039.5</f>
        <v>7105.5</v>
      </c>
      <c r="M87" s="511">
        <v>44454</v>
      </c>
      <c r="N87" s="511">
        <v>44455</v>
      </c>
      <c r="O87" s="511">
        <v>44455</v>
      </c>
      <c r="P87" s="511">
        <v>44485</v>
      </c>
      <c r="Q87" s="511">
        <v>44489</v>
      </c>
      <c r="R87" s="512" t="s">
        <v>4599</v>
      </c>
      <c r="S87" s="515" t="s">
        <v>3752</v>
      </c>
      <c r="T87" s="510" t="s">
        <v>3128</v>
      </c>
      <c r="U87" s="516" t="s">
        <v>3031</v>
      </c>
      <c r="V87" s="359">
        <v>44477</v>
      </c>
      <c r="W87" s="510"/>
      <c r="X87" s="510"/>
      <c r="Y87" s="511"/>
      <c r="Z87" s="510"/>
      <c r="AA87" s="510"/>
      <c r="AB87" s="510" t="s">
        <v>4763</v>
      </c>
      <c r="AC87" s="510" t="s">
        <v>506</v>
      </c>
      <c r="AD87" s="511">
        <v>44487</v>
      </c>
      <c r="AE87" s="510">
        <v>7105.5</v>
      </c>
      <c r="AF87" s="507" t="s">
        <v>3238</v>
      </c>
      <c r="AG87" s="510" t="s">
        <v>3108</v>
      </c>
      <c r="AH87" s="517">
        <v>150947.60999999999</v>
      </c>
      <c r="AI87" s="517">
        <v>3312</v>
      </c>
      <c r="AJ87" s="517">
        <v>6</v>
      </c>
      <c r="AK87" s="517">
        <f t="shared" si="65"/>
        <v>154265.60999999999</v>
      </c>
      <c r="AL87" s="518">
        <v>5.4509999999999996</v>
      </c>
      <c r="AM87" s="519">
        <f t="shared" si="31"/>
        <v>840901.84010999987</v>
      </c>
      <c r="AN87" s="519">
        <v>0</v>
      </c>
      <c r="AO87" s="510">
        <v>10</v>
      </c>
      <c r="AP87" s="519">
        <v>6176.98</v>
      </c>
      <c r="AQ87" s="519">
        <v>84707.8</v>
      </c>
      <c r="AR87" s="519">
        <v>17658.93</v>
      </c>
      <c r="AS87" s="519">
        <v>81147.009999999995</v>
      </c>
      <c r="AT87" s="519">
        <v>208716.63</v>
      </c>
      <c r="AU87" s="519">
        <v>4534.62</v>
      </c>
      <c r="AV87" s="519">
        <v>401.04</v>
      </c>
      <c r="AW87" s="510" t="s">
        <v>3139</v>
      </c>
      <c r="AX87" s="627">
        <f t="shared" si="52"/>
        <v>44489</v>
      </c>
      <c r="AY87" s="519">
        <v>1210.5</v>
      </c>
      <c r="AZ87" s="519">
        <f t="shared" si="36"/>
        <v>1261352.7601649999</v>
      </c>
      <c r="BA87" s="521">
        <f t="shared" si="41"/>
        <v>1</v>
      </c>
      <c r="BB87" s="519">
        <f t="shared" si="34"/>
        <v>1261352.7601649999</v>
      </c>
      <c r="BC87" s="519">
        <v>5059.75</v>
      </c>
      <c r="BD87" s="519">
        <f t="shared" si="55"/>
        <v>0</v>
      </c>
      <c r="BE87" s="519">
        <f t="shared" si="63"/>
        <v>5059.75</v>
      </c>
      <c r="BF87" s="513" t="s">
        <v>1771</v>
      </c>
      <c r="BG87" s="514" t="s">
        <v>1771</v>
      </c>
      <c r="BH87" s="510" t="s">
        <v>1771</v>
      </c>
      <c r="BI87" s="623"/>
    </row>
    <row r="88" spans="1:61" s="624" customFormat="1" ht="108">
      <c r="A88" s="538" t="s">
        <v>6133</v>
      </c>
      <c r="B88" s="507" t="s">
        <v>3042</v>
      </c>
      <c r="C88" s="507" t="s">
        <v>3774</v>
      </c>
      <c r="D88" s="508" t="s">
        <v>4520</v>
      </c>
      <c r="E88" s="507" t="s">
        <v>4518</v>
      </c>
      <c r="F88" s="507" t="s">
        <v>4519</v>
      </c>
      <c r="G88" s="509" t="s">
        <v>4521</v>
      </c>
      <c r="H88" s="507" t="s">
        <v>4510</v>
      </c>
      <c r="I88" s="510" t="s">
        <v>1771</v>
      </c>
      <c r="J88" s="510">
        <v>1</v>
      </c>
      <c r="K88" s="507">
        <f>15+15+1+15</f>
        <v>46</v>
      </c>
      <c r="L88" s="507">
        <f>2098.5+1937+79+2084</f>
        <v>6198.5</v>
      </c>
      <c r="M88" s="511">
        <v>44453</v>
      </c>
      <c r="N88" s="511">
        <v>44455</v>
      </c>
      <c r="O88" s="511">
        <v>44455</v>
      </c>
      <c r="P88" s="511">
        <v>44485</v>
      </c>
      <c r="Q88" s="511">
        <v>44491</v>
      </c>
      <c r="R88" s="512" t="s">
        <v>4600</v>
      </c>
      <c r="S88" s="515" t="s">
        <v>3752</v>
      </c>
      <c r="T88" s="510" t="s">
        <v>3128</v>
      </c>
      <c r="U88" s="516" t="s">
        <v>3031</v>
      </c>
      <c r="V88" s="359">
        <v>44477</v>
      </c>
      <c r="W88" s="510"/>
      <c r="X88" s="510"/>
      <c r="Y88" s="511"/>
      <c r="Z88" s="510"/>
      <c r="AA88" s="510"/>
      <c r="AB88" s="510" t="s">
        <v>4764</v>
      </c>
      <c r="AC88" s="510" t="s">
        <v>506</v>
      </c>
      <c r="AD88" s="511">
        <v>44487</v>
      </c>
      <c r="AE88" s="510">
        <v>6198.5</v>
      </c>
      <c r="AF88" s="507" t="s">
        <v>4409</v>
      </c>
      <c r="AG88" s="510" t="s">
        <v>3108</v>
      </c>
      <c r="AH88" s="517">
        <v>94995.24</v>
      </c>
      <c r="AI88" s="517">
        <v>3312</v>
      </c>
      <c r="AJ88" s="517">
        <v>4</v>
      </c>
      <c r="AK88" s="517">
        <f t="shared" si="65"/>
        <v>98311.24</v>
      </c>
      <c r="AL88" s="518">
        <v>5.4509999999999996</v>
      </c>
      <c r="AM88" s="519">
        <f t="shared" si="31"/>
        <v>535894.56923999998</v>
      </c>
      <c r="AN88" s="519">
        <v>0</v>
      </c>
      <c r="AO88" s="510">
        <v>3</v>
      </c>
      <c r="AP88" s="519">
        <v>13073</v>
      </c>
      <c r="AQ88" s="519">
        <v>53725.24</v>
      </c>
      <c r="AR88" s="519">
        <v>11253.79</v>
      </c>
      <c r="AS88" s="519">
        <v>51713.82</v>
      </c>
      <c r="AT88" s="519">
        <v>133641.51999999999</v>
      </c>
      <c r="AU88" s="519">
        <v>4534.62</v>
      </c>
      <c r="AV88" s="519">
        <v>223.64</v>
      </c>
      <c r="AW88" s="510" t="s">
        <v>3139</v>
      </c>
      <c r="AX88" s="627">
        <f t="shared" si="52"/>
        <v>44491</v>
      </c>
      <c r="AY88" s="519">
        <v>1210.5</v>
      </c>
      <c r="AZ88" s="519">
        <f t="shared" si="36"/>
        <v>803841.85385999992</v>
      </c>
      <c r="BA88" s="521">
        <f t="shared" si="41"/>
        <v>1</v>
      </c>
      <c r="BB88" s="519">
        <f t="shared" si="34"/>
        <v>803841.85385999992</v>
      </c>
      <c r="BC88" s="519">
        <v>5059.75</v>
      </c>
      <c r="BD88" s="519">
        <f t="shared" si="55"/>
        <v>-70</v>
      </c>
      <c r="BE88" s="519">
        <f t="shared" si="63"/>
        <v>4989.75</v>
      </c>
      <c r="BF88" s="513" t="s">
        <v>1771</v>
      </c>
      <c r="BG88" s="514" t="s">
        <v>1771</v>
      </c>
      <c r="BH88" s="510" t="s">
        <v>1771</v>
      </c>
      <c r="BI88" s="623"/>
    </row>
    <row r="89" spans="1:61" s="523" customFormat="1" ht="144">
      <c r="A89" s="538" t="s">
        <v>6134</v>
      </c>
      <c r="B89" s="507" t="s">
        <v>3042</v>
      </c>
      <c r="C89" s="507" t="s">
        <v>3774</v>
      </c>
      <c r="D89" s="508" t="s">
        <v>4544</v>
      </c>
      <c r="E89" s="507" t="s">
        <v>4536</v>
      </c>
      <c r="F89" s="507" t="s">
        <v>4537</v>
      </c>
      <c r="G89" s="509" t="s">
        <v>4545</v>
      </c>
      <c r="H89" s="507" t="s">
        <v>4534</v>
      </c>
      <c r="I89" s="510">
        <v>1</v>
      </c>
      <c r="J89" s="510" t="s">
        <v>1771</v>
      </c>
      <c r="K89" s="507">
        <f>8+5+7+1+1+2+8+1+5</f>
        <v>38</v>
      </c>
      <c r="L89" s="507">
        <f>57.9+794.97+908.5+1.04+2.18+126.2+57.81+2.13+231.05</f>
        <v>2181.7800000000002</v>
      </c>
      <c r="M89" s="511">
        <v>44466</v>
      </c>
      <c r="N89" s="511">
        <v>44466</v>
      </c>
      <c r="O89" s="511">
        <v>44466</v>
      </c>
      <c r="P89" s="511">
        <v>44501</v>
      </c>
      <c r="Q89" s="511">
        <v>44510</v>
      </c>
      <c r="R89" s="512" t="s">
        <v>4651</v>
      </c>
      <c r="S89" s="515" t="s">
        <v>3752</v>
      </c>
      <c r="T89" s="510" t="s">
        <v>3128</v>
      </c>
      <c r="U89" s="516" t="s">
        <v>3031</v>
      </c>
      <c r="V89" s="359">
        <v>44498</v>
      </c>
      <c r="W89" s="510" t="s">
        <v>3337</v>
      </c>
      <c r="X89" s="510" t="s">
        <v>3406</v>
      </c>
      <c r="Y89" s="511">
        <v>44503</v>
      </c>
      <c r="Z89" s="510" t="s">
        <v>3252</v>
      </c>
      <c r="AA89" s="510" t="s">
        <v>3982</v>
      </c>
      <c r="AB89" s="510" t="s">
        <v>4617</v>
      </c>
      <c r="AC89" s="510" t="s">
        <v>2146</v>
      </c>
      <c r="AD89" s="511">
        <v>44508</v>
      </c>
      <c r="AE89" s="515">
        <v>1493.9523999999999</v>
      </c>
      <c r="AF89" s="507" t="s">
        <v>4409</v>
      </c>
      <c r="AG89" s="510" t="s">
        <v>3108</v>
      </c>
      <c r="AH89" s="517">
        <v>63914.01</v>
      </c>
      <c r="AI89" s="517">
        <v>3096</v>
      </c>
      <c r="AJ89" s="517">
        <v>9</v>
      </c>
      <c r="AK89" s="517">
        <f t="shared" ref="AK89" si="66">SUM(AH89:AJ89)</f>
        <v>67019.010000000009</v>
      </c>
      <c r="AL89" s="518">
        <v>5.5454999999999997</v>
      </c>
      <c r="AM89" s="519">
        <f t="shared" si="31"/>
        <v>371653.91995500005</v>
      </c>
      <c r="AN89" s="519">
        <v>0</v>
      </c>
      <c r="AO89" s="510">
        <v>8</v>
      </c>
      <c r="AP89" s="519">
        <v>22421.93</v>
      </c>
      <c r="AQ89" s="519">
        <v>47219.76</v>
      </c>
      <c r="AR89" s="519">
        <v>7804.73</v>
      </c>
      <c r="AS89" s="519">
        <v>35864.589999999997</v>
      </c>
      <c r="AT89" s="519">
        <v>85666.95</v>
      </c>
      <c r="AU89" s="519">
        <v>4409.3100000000004</v>
      </c>
      <c r="AV89" s="519">
        <v>354.76</v>
      </c>
      <c r="AW89" s="510" t="s">
        <v>3139</v>
      </c>
      <c r="AX89" s="627">
        <f t="shared" si="52"/>
        <v>44510</v>
      </c>
      <c r="AY89" s="519">
        <v>1576.77</v>
      </c>
      <c r="AZ89" s="519">
        <f t="shared" si="36"/>
        <v>557480.87993250007</v>
      </c>
      <c r="BA89" s="521">
        <f t="shared" si="41"/>
        <v>1</v>
      </c>
      <c r="BB89" s="519">
        <f t="shared" si="34"/>
        <v>557480.87993250007</v>
      </c>
      <c r="BC89" s="519">
        <v>4934.4399999999996</v>
      </c>
      <c r="BD89" s="519">
        <f t="shared" si="55"/>
        <v>-20</v>
      </c>
      <c r="BE89" s="519">
        <f t="shared" si="63"/>
        <v>4914.4399999999996</v>
      </c>
      <c r="BF89" s="513" t="s">
        <v>1771</v>
      </c>
      <c r="BG89" s="514" t="s">
        <v>1771</v>
      </c>
      <c r="BH89" s="510" t="s">
        <v>1771</v>
      </c>
      <c r="BI89" s="522"/>
    </row>
    <row r="90" spans="1:61" s="523" customFormat="1" ht="168">
      <c r="A90" s="538" t="s">
        <v>6135</v>
      </c>
      <c r="B90" s="507" t="s">
        <v>3042</v>
      </c>
      <c r="C90" s="507" t="s">
        <v>3774</v>
      </c>
      <c r="D90" s="508" t="s">
        <v>4543</v>
      </c>
      <c r="E90" s="507" t="s">
        <v>4540</v>
      </c>
      <c r="F90" s="507" t="s">
        <v>4541</v>
      </c>
      <c r="G90" s="509" t="s">
        <v>4549</v>
      </c>
      <c r="H90" s="507" t="s">
        <v>4534</v>
      </c>
      <c r="I90" s="510">
        <v>1</v>
      </c>
      <c r="J90" s="510">
        <v>1</v>
      </c>
      <c r="K90" s="507">
        <f>1+1+1+43+1+1+1+2+1+1+1+1+1+1</f>
        <v>57</v>
      </c>
      <c r="L90" s="507">
        <f>2.1+2.02+17.5+1641.7+95.6+17.23+95.6+4.85+61.2+2.15+2.14+2.15+2.01+2</f>
        <v>1948.25</v>
      </c>
      <c r="M90" s="511">
        <v>44467</v>
      </c>
      <c r="N90" s="511">
        <v>44469</v>
      </c>
      <c r="O90" s="511">
        <v>44469</v>
      </c>
      <c r="P90" s="511">
        <v>44501</v>
      </c>
      <c r="Q90" s="511">
        <v>44510</v>
      </c>
      <c r="R90" s="512" t="s">
        <v>4652</v>
      </c>
      <c r="S90" s="515" t="s">
        <v>3752</v>
      </c>
      <c r="T90" s="510" t="s">
        <v>3128</v>
      </c>
      <c r="U90" s="516" t="s">
        <v>3031</v>
      </c>
      <c r="V90" s="359">
        <v>44498</v>
      </c>
      <c r="W90" s="510" t="s">
        <v>3337</v>
      </c>
      <c r="X90" s="510" t="s">
        <v>3406</v>
      </c>
      <c r="Y90" s="511">
        <v>44503</v>
      </c>
      <c r="Z90" s="510" t="s">
        <v>3298</v>
      </c>
      <c r="AA90" s="510" t="s">
        <v>3982</v>
      </c>
      <c r="AB90" s="510" t="s">
        <v>4618</v>
      </c>
      <c r="AC90" s="510" t="s">
        <v>2146</v>
      </c>
      <c r="AD90" s="511">
        <v>44508</v>
      </c>
      <c r="AE90" s="515">
        <v>1235.71</v>
      </c>
      <c r="AF90" s="507" t="s">
        <v>3460</v>
      </c>
      <c r="AG90" s="510" t="s">
        <v>3108</v>
      </c>
      <c r="AH90" s="517">
        <v>474703.57</v>
      </c>
      <c r="AI90" s="517">
        <v>6408</v>
      </c>
      <c r="AJ90" s="517">
        <v>14</v>
      </c>
      <c r="AK90" s="517">
        <f t="shared" ref="AK90" si="67">SUM(AH90:AJ90)</f>
        <v>481125.57</v>
      </c>
      <c r="AL90" s="518">
        <v>5.5454999999999997</v>
      </c>
      <c r="AM90" s="519">
        <f t="shared" si="31"/>
        <v>2668081.8484350001</v>
      </c>
      <c r="AN90" s="519">
        <v>0</v>
      </c>
      <c r="AO90" s="510">
        <v>7</v>
      </c>
      <c r="AP90" s="519">
        <v>423518.64</v>
      </c>
      <c r="AQ90" s="519">
        <v>461490.47</v>
      </c>
      <c r="AR90" s="519">
        <v>56029.72</v>
      </c>
      <c r="AS90" s="519">
        <v>257469.89</v>
      </c>
      <c r="AT90" s="519">
        <v>745827.81</v>
      </c>
      <c r="AU90" s="519">
        <v>9100.0499999999993</v>
      </c>
      <c r="AV90" s="519">
        <v>331.62</v>
      </c>
      <c r="AW90" s="510" t="s">
        <v>3139</v>
      </c>
      <c r="AX90" s="627">
        <f t="shared" si="52"/>
        <v>44510</v>
      </c>
      <c r="AY90" s="519">
        <v>6219.6</v>
      </c>
      <c r="AZ90" s="519">
        <f t="shared" si="36"/>
        <v>4002122.7726525003</v>
      </c>
      <c r="BA90" s="521">
        <f t="shared" si="41"/>
        <v>2</v>
      </c>
      <c r="BB90" s="519">
        <f t="shared" si="34"/>
        <v>2001061.3863262502</v>
      </c>
      <c r="BC90" s="519">
        <v>9625.18</v>
      </c>
      <c r="BD90" s="519">
        <f t="shared" si="55"/>
        <v>-30</v>
      </c>
      <c r="BE90" s="519">
        <f t="shared" si="63"/>
        <v>9595.18</v>
      </c>
      <c r="BF90" s="513" t="s">
        <v>1771</v>
      </c>
      <c r="BG90" s="514" t="s">
        <v>1771</v>
      </c>
      <c r="BH90" s="510" t="s">
        <v>1771</v>
      </c>
      <c r="BI90" s="522"/>
    </row>
    <row r="91" spans="1:61" s="523" customFormat="1" ht="144">
      <c r="A91" s="538" t="s">
        <v>6136</v>
      </c>
      <c r="B91" s="507" t="s">
        <v>3042</v>
      </c>
      <c r="C91" s="507" t="s">
        <v>3774</v>
      </c>
      <c r="D91" s="508" t="s">
        <v>4533</v>
      </c>
      <c r="E91" s="507" t="s">
        <v>4530</v>
      </c>
      <c r="F91" s="507" t="s">
        <v>4531</v>
      </c>
      <c r="G91" s="509" t="s">
        <v>4535</v>
      </c>
      <c r="H91" s="507" t="s">
        <v>4534</v>
      </c>
      <c r="I91" s="510" t="s">
        <v>1771</v>
      </c>
      <c r="J91" s="510">
        <v>1</v>
      </c>
      <c r="K91" s="507">
        <f>1+7+1+2+1+1+9+5+7+15+5+1</f>
        <v>55</v>
      </c>
      <c r="L91" s="507">
        <f>53.6+931.5+79.5+1.4+7.11+0.38+1416+915+1190+2579.5+1125+7.95</f>
        <v>8306.94</v>
      </c>
      <c r="M91" s="511">
        <v>44463</v>
      </c>
      <c r="N91" s="511">
        <v>44463</v>
      </c>
      <c r="O91" s="511">
        <v>44463</v>
      </c>
      <c r="P91" s="511">
        <v>44501</v>
      </c>
      <c r="Q91" s="511">
        <v>44508</v>
      </c>
      <c r="R91" s="512" t="s">
        <v>4653</v>
      </c>
      <c r="S91" s="515" t="s">
        <v>3752</v>
      </c>
      <c r="T91" s="510" t="s">
        <v>3128</v>
      </c>
      <c r="U91" s="516" t="s">
        <v>3031</v>
      </c>
      <c r="V91" s="359">
        <v>44498</v>
      </c>
      <c r="W91" s="510" t="s">
        <v>3337</v>
      </c>
      <c r="X91" s="510" t="s">
        <v>3406</v>
      </c>
      <c r="Y91" s="511">
        <v>44503</v>
      </c>
      <c r="Z91" s="510" t="s">
        <v>3252</v>
      </c>
      <c r="AA91" s="510" t="s">
        <v>3982</v>
      </c>
      <c r="AB91" s="510" t="s">
        <v>4619</v>
      </c>
      <c r="AC91" s="510" t="s">
        <v>2146</v>
      </c>
      <c r="AD91" s="511">
        <v>44505</v>
      </c>
      <c r="AE91" s="515">
        <v>5787.7076999999999</v>
      </c>
      <c r="AF91" s="507" t="s">
        <v>4532</v>
      </c>
      <c r="AG91" s="510" t="s">
        <v>3108</v>
      </c>
      <c r="AH91" s="517">
        <v>115305.7</v>
      </c>
      <c r="AI91" s="517">
        <v>3312</v>
      </c>
      <c r="AJ91" s="517">
        <v>12</v>
      </c>
      <c r="AK91" s="517">
        <f t="shared" ref="AK91" si="68">SUM(AH91:AJ91)</f>
        <v>118629.7</v>
      </c>
      <c r="AL91" s="518">
        <v>5.5941999999999998</v>
      </c>
      <c r="AM91" s="519">
        <f t="shared" si="31"/>
        <v>663638.26773999992</v>
      </c>
      <c r="AN91" s="519">
        <v>0</v>
      </c>
      <c r="AO91" s="510">
        <v>11</v>
      </c>
      <c r="AP91" s="519">
        <v>18595.650000000001</v>
      </c>
      <c r="AQ91" s="519">
        <v>68707.899999999994</v>
      </c>
      <c r="AR91" s="519">
        <v>13936.39</v>
      </c>
      <c r="AS91" s="519">
        <v>64041.07</v>
      </c>
      <c r="AT91" s="519">
        <v>167288.73000000001</v>
      </c>
      <c r="AU91" s="519">
        <v>4693.6000000000004</v>
      </c>
      <c r="AV91" s="519">
        <v>416.46</v>
      </c>
      <c r="AW91" s="510" t="s">
        <v>3139</v>
      </c>
      <c r="AX91" s="627">
        <f t="shared" si="52"/>
        <v>44508</v>
      </c>
      <c r="AY91" s="519">
        <v>1598.02</v>
      </c>
      <c r="AZ91" s="519">
        <f t="shared" si="36"/>
        <v>995457.40160999983</v>
      </c>
      <c r="BA91" s="521">
        <f t="shared" si="41"/>
        <v>1</v>
      </c>
      <c r="BB91" s="519">
        <f t="shared" si="34"/>
        <v>995457.40160999983</v>
      </c>
      <c r="BC91" s="519">
        <v>5231.13</v>
      </c>
      <c r="BD91" s="519">
        <f t="shared" si="55"/>
        <v>10</v>
      </c>
      <c r="BE91" s="519">
        <f t="shared" si="63"/>
        <v>5241.13</v>
      </c>
      <c r="BF91" s="513" t="s">
        <v>1771</v>
      </c>
      <c r="BG91" s="514" t="s">
        <v>1771</v>
      </c>
      <c r="BH91" s="510" t="s">
        <v>1771</v>
      </c>
      <c r="BI91" s="522"/>
    </row>
    <row r="92" spans="1:61" s="624" customFormat="1" ht="228">
      <c r="A92" s="538" t="s">
        <v>6137</v>
      </c>
      <c r="B92" s="507" t="s">
        <v>3042</v>
      </c>
      <c r="C92" s="507" t="s">
        <v>3774</v>
      </c>
      <c r="D92" s="508" t="s">
        <v>4503</v>
      </c>
      <c r="E92" s="507" t="s">
        <v>4501</v>
      </c>
      <c r="F92" s="507" t="s">
        <v>4502</v>
      </c>
      <c r="G92" s="509">
        <v>912845768</v>
      </c>
      <c r="H92" s="507" t="s">
        <v>4601</v>
      </c>
      <c r="I92" s="510" t="s">
        <v>1771</v>
      </c>
      <c r="J92" s="510">
        <v>3</v>
      </c>
      <c r="K92" s="507">
        <f>10+10+10+10+8+8+8+15+8+15+15+5</f>
        <v>122</v>
      </c>
      <c r="L92" s="507">
        <f>446.5+462.5+457+432+1120+1103.5+1139+1949+1106+1950+1935+220</f>
        <v>12320.5</v>
      </c>
      <c r="M92" s="511">
        <v>44452</v>
      </c>
      <c r="N92" s="511">
        <v>44453</v>
      </c>
      <c r="O92" s="511">
        <v>44453</v>
      </c>
      <c r="P92" s="511">
        <v>44504</v>
      </c>
      <c r="Q92" s="511">
        <v>44511</v>
      </c>
      <c r="R92" s="512" t="s">
        <v>4683</v>
      </c>
      <c r="S92" s="515" t="s">
        <v>3752</v>
      </c>
      <c r="T92" s="510" t="s">
        <v>3128</v>
      </c>
      <c r="U92" s="516" t="s">
        <v>3031</v>
      </c>
      <c r="V92" s="359">
        <v>44474</v>
      </c>
      <c r="W92" s="510" t="s">
        <v>3261</v>
      </c>
      <c r="X92" s="510" t="s">
        <v>3261</v>
      </c>
      <c r="Y92" s="511">
        <v>44505</v>
      </c>
      <c r="Z92" s="510" t="s">
        <v>3298</v>
      </c>
      <c r="AA92" s="510" t="s">
        <v>3982</v>
      </c>
      <c r="AB92" s="510" t="s">
        <v>4620</v>
      </c>
      <c r="AC92" s="510" t="s">
        <v>2146</v>
      </c>
      <c r="AD92" s="511">
        <v>44510</v>
      </c>
      <c r="AE92" s="516">
        <v>7230</v>
      </c>
      <c r="AF92" s="507" t="s">
        <v>3238</v>
      </c>
      <c r="AG92" s="510" t="s">
        <v>3108</v>
      </c>
      <c r="AH92" s="517">
        <v>229182.33</v>
      </c>
      <c r="AI92" s="517">
        <v>10410</v>
      </c>
      <c r="AJ92" s="517">
        <v>12</v>
      </c>
      <c r="AK92" s="517">
        <f t="shared" ref="AK92" si="69">SUM(AH92:AJ92)</f>
        <v>239604.33</v>
      </c>
      <c r="AL92" s="518">
        <v>5.4957000000000003</v>
      </c>
      <c r="AM92" s="519">
        <f t="shared" si="31"/>
        <v>1316793.5163809999</v>
      </c>
      <c r="AN92" s="519">
        <v>0</v>
      </c>
      <c r="AO92" s="510">
        <v>5</v>
      </c>
      <c r="AP92" s="519">
        <v>19313.669999999998</v>
      </c>
      <c r="AQ92" s="519">
        <v>135121.67000000001</v>
      </c>
      <c r="AR92" s="519">
        <v>27652.67</v>
      </c>
      <c r="AS92" s="519">
        <v>127070.6</v>
      </c>
      <c r="AT92" s="519">
        <v>330673.57</v>
      </c>
      <c r="AU92" s="519">
        <v>15285.85</v>
      </c>
      <c r="AV92" s="519">
        <v>285.33999999999997</v>
      </c>
      <c r="AW92" s="510" t="s">
        <v>3139</v>
      </c>
      <c r="AX92" s="627">
        <f t="shared" si="52"/>
        <v>44511</v>
      </c>
      <c r="AY92" s="519">
        <v>5311.98</v>
      </c>
      <c r="AZ92" s="519">
        <f t="shared" si="36"/>
        <v>1975190.2745714998</v>
      </c>
      <c r="BA92" s="521">
        <f t="shared" si="41"/>
        <v>3</v>
      </c>
      <c r="BB92" s="519">
        <f t="shared" si="34"/>
        <v>658396.75819049997</v>
      </c>
      <c r="BC92" s="519">
        <v>15810.98</v>
      </c>
      <c r="BD92" s="519">
        <f t="shared" si="55"/>
        <v>-50</v>
      </c>
      <c r="BE92" s="519">
        <f t="shared" si="63"/>
        <v>15760.98</v>
      </c>
      <c r="BF92" s="513" t="s">
        <v>1771</v>
      </c>
      <c r="BG92" s="514" t="s">
        <v>1771</v>
      </c>
      <c r="BH92" s="510" t="s">
        <v>1771</v>
      </c>
      <c r="BI92" s="623"/>
    </row>
    <row r="93" spans="1:61" s="624" customFormat="1" ht="132">
      <c r="A93" s="538" t="s">
        <v>6138</v>
      </c>
      <c r="B93" s="507" t="s">
        <v>3042</v>
      </c>
      <c r="C93" s="507" t="s">
        <v>3774</v>
      </c>
      <c r="D93" s="508" t="s">
        <v>4575</v>
      </c>
      <c r="E93" s="507" t="s">
        <v>4572</v>
      </c>
      <c r="F93" s="507" t="s">
        <v>4573</v>
      </c>
      <c r="G93" s="509" t="s">
        <v>4577</v>
      </c>
      <c r="H93" s="507" t="s">
        <v>4576</v>
      </c>
      <c r="I93" s="510" t="s">
        <v>1771</v>
      </c>
      <c r="J93" s="510">
        <v>1</v>
      </c>
      <c r="K93" s="507">
        <f>2+10+27+5+1</f>
        <v>45</v>
      </c>
      <c r="L93" s="507">
        <f>131+580+1968+65.33+61</f>
        <v>2805.33</v>
      </c>
      <c r="M93" s="511">
        <v>44474</v>
      </c>
      <c r="N93" s="511"/>
      <c r="O93" s="511"/>
      <c r="P93" s="511">
        <v>44510</v>
      </c>
      <c r="Q93" s="511">
        <v>44517</v>
      </c>
      <c r="R93" s="512" t="s">
        <v>4684</v>
      </c>
      <c r="S93" s="515" t="s">
        <v>3752</v>
      </c>
      <c r="T93" s="510" t="s">
        <v>4574</v>
      </c>
      <c r="U93" s="516" t="s">
        <v>3031</v>
      </c>
      <c r="V93" s="359">
        <v>44505</v>
      </c>
      <c r="W93" s="510" t="s">
        <v>3337</v>
      </c>
      <c r="X93" s="510" t="s">
        <v>3341</v>
      </c>
      <c r="Y93" s="511">
        <v>44511</v>
      </c>
      <c r="Z93" s="510" t="s">
        <v>3252</v>
      </c>
      <c r="AA93" s="510" t="s">
        <v>3982</v>
      </c>
      <c r="AB93" s="510" t="s">
        <v>4680</v>
      </c>
      <c r="AC93" s="510" t="s">
        <v>2146</v>
      </c>
      <c r="AD93" s="511">
        <v>44512</v>
      </c>
      <c r="AE93" s="515">
        <v>1427.1621</v>
      </c>
      <c r="AF93" s="507" t="s">
        <v>4556</v>
      </c>
      <c r="AG93" s="510" t="s">
        <v>3108</v>
      </c>
      <c r="AH93" s="517">
        <v>15733.75</v>
      </c>
      <c r="AI93" s="517">
        <v>3312</v>
      </c>
      <c r="AJ93" s="517">
        <v>5</v>
      </c>
      <c r="AK93" s="517">
        <f t="shared" ref="AK93" si="70">SUM(AH93:AJ93)</f>
        <v>19050.75</v>
      </c>
      <c r="AL93" s="518">
        <v>5.4170999999999996</v>
      </c>
      <c r="AM93" s="519">
        <f t="shared" si="31"/>
        <v>103199.81782499999</v>
      </c>
      <c r="AN93" s="519">
        <v>0</v>
      </c>
      <c r="AO93" s="510">
        <v>7</v>
      </c>
      <c r="AP93" s="519">
        <v>8912.7800000000007</v>
      </c>
      <c r="AQ93" s="519">
        <v>12238.3</v>
      </c>
      <c r="AR93" s="519">
        <v>2167.19</v>
      </c>
      <c r="AS93" s="519">
        <v>9958.7800000000007</v>
      </c>
      <c r="AT93" s="519">
        <v>28215.73</v>
      </c>
      <c r="AU93" s="519">
        <v>4571.63</v>
      </c>
      <c r="AV93" s="519">
        <v>331.62</v>
      </c>
      <c r="AW93" s="510" t="s">
        <v>3139</v>
      </c>
      <c r="AX93" s="627">
        <f t="shared" si="52"/>
        <v>44517</v>
      </c>
      <c r="AY93" s="519">
        <v>1576.77</v>
      </c>
      <c r="AZ93" s="519">
        <f t="shared" si="36"/>
        <v>154799.72673749999</v>
      </c>
      <c r="BA93" s="521">
        <f t="shared" si="41"/>
        <v>1</v>
      </c>
      <c r="BB93" s="519">
        <f t="shared" si="34"/>
        <v>154799.72673749999</v>
      </c>
      <c r="BC93" s="519">
        <v>5096.76</v>
      </c>
      <c r="BD93" s="519">
        <f t="shared" si="55"/>
        <v>-30</v>
      </c>
      <c r="BE93" s="519">
        <f t="shared" si="63"/>
        <v>5066.76</v>
      </c>
      <c r="BF93" s="513" t="s">
        <v>1771</v>
      </c>
      <c r="BG93" s="514" t="s">
        <v>1771</v>
      </c>
      <c r="BH93" s="510" t="s">
        <v>1771</v>
      </c>
      <c r="BI93" s="623"/>
    </row>
    <row r="94" spans="1:61" s="624" customFormat="1" ht="132">
      <c r="A94" s="538" t="s">
        <v>6139</v>
      </c>
      <c r="B94" s="507" t="s">
        <v>3042</v>
      </c>
      <c r="C94" s="507" t="s">
        <v>3774</v>
      </c>
      <c r="D94" s="508" t="s">
        <v>4654</v>
      </c>
      <c r="E94" s="507" t="s">
        <v>4585</v>
      </c>
      <c r="F94" s="507" t="s">
        <v>4586</v>
      </c>
      <c r="G94" s="509">
        <v>149113169875</v>
      </c>
      <c r="H94" s="507" t="s">
        <v>4576</v>
      </c>
      <c r="I94" s="510" t="s">
        <v>1771</v>
      </c>
      <c r="J94" s="510">
        <v>1</v>
      </c>
      <c r="K94" s="507">
        <v>46</v>
      </c>
      <c r="L94" s="507">
        <v>6302.03</v>
      </c>
      <c r="M94" s="511">
        <v>44477</v>
      </c>
      <c r="N94" s="511"/>
      <c r="O94" s="511"/>
      <c r="P94" s="511">
        <v>44510</v>
      </c>
      <c r="Q94" s="511">
        <v>44517</v>
      </c>
      <c r="R94" s="512" t="s">
        <v>4685</v>
      </c>
      <c r="S94" s="515" t="s">
        <v>3752</v>
      </c>
      <c r="T94" s="510" t="s">
        <v>4574</v>
      </c>
      <c r="U94" s="516" t="s">
        <v>3031</v>
      </c>
      <c r="V94" s="359">
        <v>44519</v>
      </c>
      <c r="W94" s="510" t="s">
        <v>3337</v>
      </c>
      <c r="X94" s="510" t="s">
        <v>3341</v>
      </c>
      <c r="Y94" s="511">
        <v>44511</v>
      </c>
      <c r="Z94" s="510" t="s">
        <v>3252</v>
      </c>
      <c r="AA94" s="510" t="s">
        <v>3982</v>
      </c>
      <c r="AB94" s="510" t="s">
        <v>4681</v>
      </c>
      <c r="AC94" s="510" t="s">
        <v>2146</v>
      </c>
      <c r="AD94" s="511">
        <v>44516</v>
      </c>
      <c r="AE94" s="515">
        <v>4160.07</v>
      </c>
      <c r="AF94" s="507" t="s">
        <v>4409</v>
      </c>
      <c r="AG94" s="510" t="s">
        <v>3108</v>
      </c>
      <c r="AH94" s="517">
        <v>61393.87</v>
      </c>
      <c r="AI94" s="517">
        <v>3312</v>
      </c>
      <c r="AJ94" s="517">
        <v>10</v>
      </c>
      <c r="AK94" s="517">
        <f t="shared" ref="AK94:AK95" si="71">SUM(AH94:AJ94)</f>
        <v>64715.87</v>
      </c>
      <c r="AL94" s="518">
        <v>5.4199000000000002</v>
      </c>
      <c r="AM94" s="519">
        <f t="shared" si="31"/>
        <v>350753.54381300003</v>
      </c>
      <c r="AN94" s="519">
        <v>0</v>
      </c>
      <c r="AO94" s="510">
        <v>4</v>
      </c>
      <c r="AP94" s="519">
        <v>25978.51</v>
      </c>
      <c r="AQ94" s="519">
        <v>38111.83</v>
      </c>
      <c r="AR94" s="519">
        <v>7365.83</v>
      </c>
      <c r="AS94" s="519">
        <v>33847.71</v>
      </c>
      <c r="AT94" s="519">
        <v>92149.01</v>
      </c>
      <c r="AU94" s="519">
        <v>4541.25</v>
      </c>
      <c r="AV94" s="519">
        <v>254.49</v>
      </c>
      <c r="AW94" s="510" t="s">
        <v>3139</v>
      </c>
      <c r="AX94" s="627">
        <f t="shared" si="52"/>
        <v>44517</v>
      </c>
      <c r="AY94" s="519">
        <v>1576.77</v>
      </c>
      <c r="AZ94" s="519">
        <f t="shared" si="36"/>
        <v>526130.31571950007</v>
      </c>
      <c r="BA94" s="521">
        <f t="shared" si="41"/>
        <v>1</v>
      </c>
      <c r="BB94" s="519">
        <f t="shared" si="34"/>
        <v>526130.31571950007</v>
      </c>
      <c r="BC94" s="519">
        <v>5066.38</v>
      </c>
      <c r="BD94" s="519">
        <f t="shared" si="55"/>
        <v>-60</v>
      </c>
      <c r="BE94" s="519">
        <f t="shared" si="63"/>
        <v>5006.38</v>
      </c>
      <c r="BF94" s="513" t="s">
        <v>1771</v>
      </c>
      <c r="BG94" s="514" t="s">
        <v>1771</v>
      </c>
      <c r="BH94" s="510" t="s">
        <v>1771</v>
      </c>
      <c r="BI94" s="623"/>
    </row>
    <row r="95" spans="1:61" s="624" customFormat="1" ht="132">
      <c r="A95" s="538" t="s">
        <v>6140</v>
      </c>
      <c r="B95" s="507" t="s">
        <v>3042</v>
      </c>
      <c r="C95" s="507" t="s">
        <v>3774</v>
      </c>
      <c r="D95" s="508" t="s">
        <v>4588</v>
      </c>
      <c r="E95" s="507" t="s">
        <v>4589</v>
      </c>
      <c r="F95" s="507" t="s">
        <v>4590</v>
      </c>
      <c r="G95" s="509" t="s">
        <v>4605</v>
      </c>
      <c r="H95" s="507" t="s">
        <v>4576</v>
      </c>
      <c r="I95" s="510" t="s">
        <v>1771</v>
      </c>
      <c r="J95" s="510">
        <v>1</v>
      </c>
      <c r="K95" s="507">
        <v>41</v>
      </c>
      <c r="L95" s="507">
        <v>6291.19</v>
      </c>
      <c r="M95" s="511">
        <v>44482</v>
      </c>
      <c r="N95" s="511"/>
      <c r="O95" s="511"/>
      <c r="P95" s="511">
        <v>44527</v>
      </c>
      <c r="Q95" s="511">
        <v>44517</v>
      </c>
      <c r="R95" s="512" t="s">
        <v>4686</v>
      </c>
      <c r="S95" s="515" t="s">
        <v>3752</v>
      </c>
      <c r="T95" s="510" t="s">
        <v>4574</v>
      </c>
      <c r="U95" s="516" t="s">
        <v>3031</v>
      </c>
      <c r="V95" s="359">
        <v>44519</v>
      </c>
      <c r="W95" s="510" t="s">
        <v>3337</v>
      </c>
      <c r="X95" s="510" t="s">
        <v>3341</v>
      </c>
      <c r="Y95" s="511">
        <v>44511</v>
      </c>
      <c r="Z95" s="510" t="s">
        <v>3252</v>
      </c>
      <c r="AA95" s="510" t="s">
        <v>3982</v>
      </c>
      <c r="AB95" s="510"/>
      <c r="AC95" s="510"/>
      <c r="AD95" s="511"/>
      <c r="AE95" s="510"/>
      <c r="AF95" s="507" t="s">
        <v>3238</v>
      </c>
      <c r="AG95" s="510" t="s">
        <v>3108</v>
      </c>
      <c r="AH95" s="517">
        <v>117830.43</v>
      </c>
      <c r="AI95" s="517">
        <v>3312</v>
      </c>
      <c r="AJ95" s="517"/>
      <c r="AK95" s="517">
        <f t="shared" si="71"/>
        <v>121142.43</v>
      </c>
      <c r="AL95" s="518"/>
      <c r="AM95" s="519">
        <f t="shared" si="31"/>
        <v>0</v>
      </c>
      <c r="AN95" s="519"/>
      <c r="AO95" s="510"/>
      <c r="AP95" s="519"/>
      <c r="AQ95" s="519"/>
      <c r="AR95" s="519"/>
      <c r="AS95" s="519"/>
      <c r="AT95" s="519"/>
      <c r="AU95" s="519"/>
      <c r="AV95" s="519"/>
      <c r="AW95" s="510" t="s">
        <v>3139</v>
      </c>
      <c r="AX95" s="627">
        <f t="shared" si="52"/>
        <v>44517</v>
      </c>
      <c r="AY95" s="519">
        <v>1576.77</v>
      </c>
      <c r="AZ95" s="519">
        <f t="shared" si="36"/>
        <v>0</v>
      </c>
      <c r="BA95" s="521">
        <f t="shared" si="41"/>
        <v>1</v>
      </c>
      <c r="BB95" s="519">
        <f t="shared" si="34"/>
        <v>0</v>
      </c>
      <c r="BC95" s="519">
        <v>5096.76</v>
      </c>
      <c r="BD95" s="519">
        <f t="shared" si="55"/>
        <v>-100</v>
      </c>
      <c r="BE95" s="519">
        <f t="shared" si="63"/>
        <v>4996.76</v>
      </c>
      <c r="BF95" s="513" t="s">
        <v>1771</v>
      </c>
      <c r="BG95" s="514" t="s">
        <v>1771</v>
      </c>
      <c r="BH95" s="510" t="s">
        <v>1771</v>
      </c>
      <c r="BI95" s="623"/>
    </row>
    <row r="96" spans="1:61" s="523" customFormat="1" ht="132">
      <c r="A96" s="538" t="s">
        <v>6141</v>
      </c>
      <c r="B96" s="507" t="s">
        <v>3042</v>
      </c>
      <c r="C96" s="507" t="s">
        <v>3774</v>
      </c>
      <c r="D96" s="508" t="s">
        <v>4552</v>
      </c>
      <c r="E96" s="507" t="s">
        <v>4550</v>
      </c>
      <c r="F96" s="507" t="s">
        <v>4551</v>
      </c>
      <c r="G96" s="509" t="s">
        <v>4559</v>
      </c>
      <c r="H96" s="507" t="s">
        <v>4558</v>
      </c>
      <c r="I96" s="510" t="s">
        <v>1771</v>
      </c>
      <c r="J96" s="510">
        <v>1</v>
      </c>
      <c r="K96" s="507">
        <f>3+10+8+8+5</f>
        <v>34</v>
      </c>
      <c r="L96" s="507">
        <f>530.5+582+1092.5+1107+1038.5</f>
        <v>4350.5</v>
      </c>
      <c r="M96" s="511">
        <v>44469</v>
      </c>
      <c r="N96" s="511">
        <v>44469</v>
      </c>
      <c r="O96" s="511">
        <v>44469</v>
      </c>
      <c r="P96" s="511">
        <v>44520</v>
      </c>
      <c r="Q96" s="511">
        <v>44524</v>
      </c>
      <c r="R96" s="512" t="s">
        <v>4712</v>
      </c>
      <c r="S96" s="515" t="s">
        <v>3752</v>
      </c>
      <c r="T96" s="510" t="s">
        <v>3128</v>
      </c>
      <c r="U96" s="516" t="s">
        <v>3031</v>
      </c>
      <c r="V96" s="359">
        <v>44516</v>
      </c>
      <c r="W96" s="510" t="s">
        <v>3337</v>
      </c>
      <c r="X96" s="510" t="s">
        <v>3341</v>
      </c>
      <c r="Y96" s="511">
        <v>44521</v>
      </c>
      <c r="Z96" s="510" t="s">
        <v>3252</v>
      </c>
      <c r="AA96" s="510" t="s">
        <v>3982</v>
      </c>
      <c r="AB96" s="510" t="s">
        <v>4697</v>
      </c>
      <c r="AC96" s="510" t="s">
        <v>2146</v>
      </c>
      <c r="AD96" s="511">
        <v>44522</v>
      </c>
      <c r="AE96" s="515">
        <v>2919</v>
      </c>
      <c r="AF96" s="507" t="s">
        <v>3359</v>
      </c>
      <c r="AG96" s="510" t="s">
        <v>3108</v>
      </c>
      <c r="AH96" s="517">
        <v>52757.06</v>
      </c>
      <c r="AI96" s="517">
        <v>3312</v>
      </c>
      <c r="AJ96" s="517">
        <v>5</v>
      </c>
      <c r="AK96" s="517">
        <f t="shared" ref="AK96" si="72">SUM(AH96:AJ96)</f>
        <v>56074.06</v>
      </c>
      <c r="AL96" s="518">
        <v>5.5583999999999998</v>
      </c>
      <c r="AM96" s="519">
        <f t="shared" si="31"/>
        <v>311682.05510399997</v>
      </c>
      <c r="AN96" s="519">
        <v>0</v>
      </c>
      <c r="AO96" s="510">
        <v>3</v>
      </c>
      <c r="AP96" s="519">
        <v>8830.23</v>
      </c>
      <c r="AQ96" s="519">
        <v>32531.29</v>
      </c>
      <c r="AR96" s="519">
        <v>6545.32</v>
      </c>
      <c r="AS96" s="519">
        <v>30077.31</v>
      </c>
      <c r="AT96" s="519">
        <v>79459.460000000006</v>
      </c>
      <c r="AU96" s="519">
        <v>4623.55</v>
      </c>
      <c r="AV96" s="519">
        <v>223.64</v>
      </c>
      <c r="AW96" s="510" t="s">
        <v>3139</v>
      </c>
      <c r="AX96" s="627">
        <f t="shared" si="52"/>
        <v>44524</v>
      </c>
      <c r="AY96" s="519">
        <v>1576.77</v>
      </c>
      <c r="AZ96" s="519">
        <f t="shared" si="36"/>
        <v>467523.08265599993</v>
      </c>
      <c r="BA96" s="521">
        <f t="shared" si="41"/>
        <v>1</v>
      </c>
      <c r="BB96" s="519">
        <f t="shared" si="34"/>
        <v>467523.08265599993</v>
      </c>
      <c r="BC96" s="519">
        <v>5148.68</v>
      </c>
      <c r="BD96" s="519">
        <f t="shared" si="55"/>
        <v>-70</v>
      </c>
      <c r="BE96" s="519">
        <f t="shared" si="63"/>
        <v>5078.68</v>
      </c>
      <c r="BF96" s="513" t="s">
        <v>1771</v>
      </c>
      <c r="BG96" s="514" t="s">
        <v>1771</v>
      </c>
      <c r="BH96" s="510" t="s">
        <v>1771</v>
      </c>
      <c r="BI96" s="522"/>
    </row>
    <row r="97" spans="1:61" s="523" customFormat="1" ht="132">
      <c r="A97" s="538" t="s">
        <v>6142</v>
      </c>
      <c r="B97" s="507" t="s">
        <v>3042</v>
      </c>
      <c r="C97" s="507" t="s">
        <v>3774</v>
      </c>
      <c r="D97" s="508" t="s">
        <v>4604</v>
      </c>
      <c r="E97" s="507" t="s">
        <v>4602</v>
      </c>
      <c r="F97" s="507" t="s">
        <v>4603</v>
      </c>
      <c r="G97" s="509" t="s">
        <v>4693</v>
      </c>
      <c r="H97" s="507" t="s">
        <v>4682</v>
      </c>
      <c r="I97" s="510">
        <v>1</v>
      </c>
      <c r="J97" s="510" t="s">
        <v>1771</v>
      </c>
      <c r="K97" s="507">
        <v>27</v>
      </c>
      <c r="L97" s="507">
        <v>3133.98</v>
      </c>
      <c r="M97" s="511">
        <v>44487</v>
      </c>
      <c r="N97" s="511">
        <v>44487</v>
      </c>
      <c r="O97" s="511">
        <v>44487</v>
      </c>
      <c r="P97" s="511">
        <v>44521</v>
      </c>
      <c r="Q97" s="511">
        <v>44524</v>
      </c>
      <c r="R97" s="512" t="s">
        <v>4713</v>
      </c>
      <c r="S97" s="515" t="s">
        <v>3752</v>
      </c>
      <c r="T97" s="510"/>
      <c r="U97" s="516" t="s">
        <v>3031</v>
      </c>
      <c r="V97" s="359">
        <v>44512</v>
      </c>
      <c r="W97" s="510" t="s">
        <v>3337</v>
      </c>
      <c r="X97" s="510" t="s">
        <v>3341</v>
      </c>
      <c r="Y97" s="511">
        <v>44521</v>
      </c>
      <c r="Z97" s="510" t="s">
        <v>3252</v>
      </c>
      <c r="AA97" s="510" t="s">
        <v>3982</v>
      </c>
      <c r="AB97" s="510" t="s">
        <v>4698</v>
      </c>
      <c r="AC97" s="510" t="s">
        <v>2146</v>
      </c>
      <c r="AD97" s="511">
        <v>44522</v>
      </c>
      <c r="AE97" s="515">
        <v>2291.5149999999999</v>
      </c>
      <c r="AF97" s="507"/>
      <c r="AG97" s="510" t="s">
        <v>3108</v>
      </c>
      <c r="AH97" s="517">
        <v>44488.800000000003</v>
      </c>
      <c r="AI97" s="517">
        <v>3155</v>
      </c>
      <c r="AJ97" s="517">
        <v>10</v>
      </c>
      <c r="AK97" s="517">
        <f t="shared" ref="AK97" si="73">SUM(AH97:AJ97)</f>
        <v>47653.8</v>
      </c>
      <c r="AL97" s="518">
        <v>5.5583999999999998</v>
      </c>
      <c r="AM97" s="519">
        <f t="shared" si="31"/>
        <v>264878.88192000001</v>
      </c>
      <c r="AN97" s="519">
        <v>0</v>
      </c>
      <c r="AO97" s="510">
        <v>10</v>
      </c>
      <c r="AP97" s="519">
        <v>9288.7800000000007</v>
      </c>
      <c r="AQ97" s="519">
        <v>27416.68</v>
      </c>
      <c r="AR97" s="519">
        <v>5562.45</v>
      </c>
      <c r="AS97" s="519">
        <v>25560.78</v>
      </c>
      <c r="AT97" s="519">
        <v>68070.080000000002</v>
      </c>
      <c r="AU97" s="519">
        <v>4405.38</v>
      </c>
      <c r="AV97" s="519">
        <v>401.04</v>
      </c>
      <c r="AW97" s="510" t="s">
        <v>3139</v>
      </c>
      <c r="AX97" s="627">
        <f t="shared" si="52"/>
        <v>44524</v>
      </c>
      <c r="AY97" s="519">
        <v>1576.77</v>
      </c>
      <c r="AZ97" s="519">
        <f t="shared" si="36"/>
        <v>397318.32287999999</v>
      </c>
      <c r="BA97" s="521">
        <f t="shared" si="41"/>
        <v>1</v>
      </c>
      <c r="BB97" s="519">
        <f t="shared" si="34"/>
        <v>397318.32287999999</v>
      </c>
      <c r="BC97" s="519">
        <v>4930.51</v>
      </c>
      <c r="BD97" s="519">
        <f t="shared" si="55"/>
        <v>0</v>
      </c>
      <c r="BE97" s="519">
        <f t="shared" si="63"/>
        <v>4930.51</v>
      </c>
      <c r="BF97" s="513" t="s">
        <v>1771</v>
      </c>
      <c r="BG97" s="514" t="s">
        <v>1771</v>
      </c>
      <c r="BH97" s="510" t="s">
        <v>1771</v>
      </c>
      <c r="BI97" s="522"/>
    </row>
    <row r="98" spans="1:61" s="624" customFormat="1" ht="132">
      <c r="A98" s="538" t="s">
        <v>6143</v>
      </c>
      <c r="B98" s="507" t="s">
        <v>3042</v>
      </c>
      <c r="C98" s="507" t="s">
        <v>3774</v>
      </c>
      <c r="D98" s="508" t="s">
        <v>4580</v>
      </c>
      <c r="E98" s="507" t="s">
        <v>4578</v>
      </c>
      <c r="F98" s="507" t="s">
        <v>4579</v>
      </c>
      <c r="G98" s="509" t="s">
        <v>4690</v>
      </c>
      <c r="H98" s="507" t="s">
        <v>4558</v>
      </c>
      <c r="I98" s="510" t="s">
        <v>1771</v>
      </c>
      <c r="J98" s="510">
        <v>1</v>
      </c>
      <c r="K98" s="507">
        <f>16+5+10+5+5+5+5+5+1+1</f>
        <v>58</v>
      </c>
      <c r="L98" s="507">
        <f>1337+1050.5+1726.5+525+1145+1142.5+1136+564.92+59.4+8.23</f>
        <v>8695.0499999999993</v>
      </c>
      <c r="M98" s="511">
        <v>44476</v>
      </c>
      <c r="N98" s="511">
        <v>44476</v>
      </c>
      <c r="O98" s="511">
        <v>44476</v>
      </c>
      <c r="P98" s="511">
        <v>44520</v>
      </c>
      <c r="Q98" s="511">
        <v>44524</v>
      </c>
      <c r="R98" s="512" t="s">
        <v>4714</v>
      </c>
      <c r="S98" s="515" t="s">
        <v>3752</v>
      </c>
      <c r="T98" s="510" t="s">
        <v>3128</v>
      </c>
      <c r="U98" s="516" t="s">
        <v>3031</v>
      </c>
      <c r="V98" s="359">
        <v>44516</v>
      </c>
      <c r="W98" s="510" t="s">
        <v>3337</v>
      </c>
      <c r="X98" s="510" t="s">
        <v>3341</v>
      </c>
      <c r="Y98" s="511">
        <v>44521</v>
      </c>
      <c r="Z98" s="510" t="s">
        <v>3298</v>
      </c>
      <c r="AA98" s="510" t="s">
        <v>3982</v>
      </c>
      <c r="AB98" s="510" t="s">
        <v>4699</v>
      </c>
      <c r="AC98" s="510" t="s">
        <v>2146</v>
      </c>
      <c r="AD98" s="511">
        <v>44522</v>
      </c>
      <c r="AE98" s="515">
        <v>6008.2406000000001</v>
      </c>
      <c r="AF98" s="507" t="s">
        <v>3843</v>
      </c>
      <c r="AG98" s="510" t="s">
        <v>3108</v>
      </c>
      <c r="AH98" s="517">
        <v>209431.87</v>
      </c>
      <c r="AI98" s="517">
        <v>3312</v>
      </c>
      <c r="AJ98" s="517">
        <v>10</v>
      </c>
      <c r="AK98" s="517">
        <f t="shared" ref="AK98:AK101" si="74">SUM(AH98:AJ98)</f>
        <v>212753.87</v>
      </c>
      <c r="AL98" s="518">
        <v>5.5583999999999998</v>
      </c>
      <c r="AM98" s="519">
        <f t="shared" si="31"/>
        <v>1182571.1110079999</v>
      </c>
      <c r="AN98" s="519">
        <v>0</v>
      </c>
      <c r="AO98" s="510">
        <v>15</v>
      </c>
      <c r="AP98" s="519">
        <v>14866.54</v>
      </c>
      <c r="AQ98" s="519">
        <v>119743.64</v>
      </c>
      <c r="AR98" s="519">
        <v>24833.98</v>
      </c>
      <c r="AS98" s="519">
        <v>114118.05</v>
      </c>
      <c r="AT98" s="519">
        <v>294473.61</v>
      </c>
      <c r="AU98" s="519">
        <v>4623.55</v>
      </c>
      <c r="AV98" s="519">
        <v>478.14</v>
      </c>
      <c r="AW98" s="510" t="s">
        <v>3139</v>
      </c>
      <c r="AX98" s="627">
        <f t="shared" si="52"/>
        <v>44524</v>
      </c>
      <c r="AY98" s="519">
        <v>2924.04</v>
      </c>
      <c r="AZ98" s="519">
        <f t="shared" si="36"/>
        <v>1773856.6665119999</v>
      </c>
      <c r="BA98" s="521">
        <f t="shared" si="41"/>
        <v>1</v>
      </c>
      <c r="BB98" s="519">
        <f t="shared" si="34"/>
        <v>1773856.6665119999</v>
      </c>
      <c r="BC98" s="519">
        <v>5210.68</v>
      </c>
      <c r="BD98" s="519">
        <f t="shared" si="55"/>
        <v>50</v>
      </c>
      <c r="BE98" s="519">
        <f t="shared" si="63"/>
        <v>5260.68</v>
      </c>
      <c r="BF98" s="513" t="s">
        <v>1771</v>
      </c>
      <c r="BG98" s="514" t="s">
        <v>1771</v>
      </c>
      <c r="BH98" s="510" t="s">
        <v>1771</v>
      </c>
      <c r="BI98" s="623"/>
    </row>
    <row r="99" spans="1:61" s="523" customFormat="1" ht="168">
      <c r="A99" s="538" t="s">
        <v>6144</v>
      </c>
      <c r="B99" s="507" t="s">
        <v>3042</v>
      </c>
      <c r="C99" s="507" t="s">
        <v>3774</v>
      </c>
      <c r="D99" s="508" t="s">
        <v>4700</v>
      </c>
      <c r="E99" s="507" t="s">
        <v>4583</v>
      </c>
      <c r="F99" s="507" t="s">
        <v>4584</v>
      </c>
      <c r="G99" s="509" t="s">
        <v>4692</v>
      </c>
      <c r="H99" s="507" t="s">
        <v>4558</v>
      </c>
      <c r="I99" s="510" t="s">
        <v>1771</v>
      </c>
      <c r="J99" s="510">
        <v>1</v>
      </c>
      <c r="K99" s="507">
        <v>42</v>
      </c>
      <c r="L99" s="507">
        <v>2555.73</v>
      </c>
      <c r="M99" s="511">
        <v>44476</v>
      </c>
      <c r="N99" s="511">
        <v>44476</v>
      </c>
      <c r="O99" s="511">
        <v>44476</v>
      </c>
      <c r="P99" s="511">
        <v>44520</v>
      </c>
      <c r="Q99" s="511">
        <v>44524</v>
      </c>
      <c r="R99" s="512" t="s">
        <v>4715</v>
      </c>
      <c r="S99" s="515" t="s">
        <v>3752</v>
      </c>
      <c r="T99" s="510" t="s">
        <v>3128</v>
      </c>
      <c r="U99" s="516" t="s">
        <v>3031</v>
      </c>
      <c r="V99" s="359">
        <v>44516</v>
      </c>
      <c r="W99" s="510" t="s">
        <v>3337</v>
      </c>
      <c r="X99" s="510" t="s">
        <v>3341</v>
      </c>
      <c r="Y99" s="511">
        <v>44521</v>
      </c>
      <c r="Z99" s="510" t="s">
        <v>3252</v>
      </c>
      <c r="AA99" s="510" t="s">
        <v>3982</v>
      </c>
      <c r="AB99" s="510" t="s">
        <v>4701</v>
      </c>
      <c r="AC99" s="510" t="s">
        <v>2146</v>
      </c>
      <c r="AD99" s="511">
        <v>44522</v>
      </c>
      <c r="AE99" s="515">
        <v>1698.35</v>
      </c>
      <c r="AF99" s="507" t="s">
        <v>4556</v>
      </c>
      <c r="AG99" s="510" t="s">
        <v>3108</v>
      </c>
      <c r="AH99" s="517">
        <v>316847.44</v>
      </c>
      <c r="AI99" s="517">
        <v>3312</v>
      </c>
      <c r="AJ99" s="517">
        <v>14</v>
      </c>
      <c r="AK99" s="517">
        <f t="shared" si="74"/>
        <v>320173.44</v>
      </c>
      <c r="AL99" s="518">
        <v>5.5583999999999998</v>
      </c>
      <c r="AM99" s="519">
        <f t="shared" si="31"/>
        <v>1779652.048896</v>
      </c>
      <c r="AN99" s="519">
        <v>0</v>
      </c>
      <c r="AO99" s="510">
        <v>5</v>
      </c>
      <c r="AP99" s="519">
        <v>223567.15</v>
      </c>
      <c r="AQ99" s="519">
        <v>283119.96999999997</v>
      </c>
      <c r="AR99" s="519">
        <v>37372.69</v>
      </c>
      <c r="AS99" s="519">
        <v>171736.4</v>
      </c>
      <c r="AT99" s="519">
        <v>486710.57</v>
      </c>
      <c r="AU99" s="519">
        <v>4623.55</v>
      </c>
      <c r="AV99" s="519">
        <v>285.33999999999997</v>
      </c>
      <c r="AW99" s="510" t="s">
        <v>3139</v>
      </c>
      <c r="AX99" s="627">
        <f t="shared" si="52"/>
        <v>44524</v>
      </c>
      <c r="AY99" s="519">
        <v>3549.93</v>
      </c>
      <c r="AZ99" s="519">
        <f t="shared" si="36"/>
        <v>2669478.0733440001</v>
      </c>
      <c r="BA99" s="521">
        <f t="shared" si="41"/>
        <v>1</v>
      </c>
      <c r="BB99" s="519">
        <f t="shared" si="34"/>
        <v>2669478.0733440001</v>
      </c>
      <c r="BC99" s="519">
        <v>5195.55</v>
      </c>
      <c r="BD99" s="519">
        <f t="shared" si="55"/>
        <v>-50</v>
      </c>
      <c r="BE99" s="519">
        <f t="shared" si="63"/>
        <v>5145.55</v>
      </c>
      <c r="BF99" s="513" t="s">
        <v>1771</v>
      </c>
      <c r="BG99" s="514" t="s">
        <v>1771</v>
      </c>
      <c r="BH99" s="510" t="s">
        <v>1771</v>
      </c>
      <c r="BI99" s="522"/>
    </row>
    <row r="100" spans="1:61" s="523" customFormat="1" ht="144">
      <c r="A100" s="538" t="s">
        <v>6145</v>
      </c>
      <c r="B100" s="507" t="s">
        <v>3042</v>
      </c>
      <c r="C100" s="507" t="s">
        <v>3774</v>
      </c>
      <c r="D100" s="508" t="s">
        <v>4555</v>
      </c>
      <c r="E100" s="507" t="s">
        <v>4553</v>
      </c>
      <c r="F100" s="507" t="s">
        <v>4554</v>
      </c>
      <c r="G100" s="509" t="s">
        <v>4560</v>
      </c>
      <c r="H100" s="507" t="s">
        <v>4558</v>
      </c>
      <c r="I100" s="510" t="s">
        <v>1771</v>
      </c>
      <c r="J100" s="510">
        <v>1</v>
      </c>
      <c r="K100" s="507">
        <f>2+8+8+8+8+8+8+10</f>
        <v>60</v>
      </c>
      <c r="L100" s="507">
        <f>129+1113.5+1084.5+57.69+57.86+57.86+57.58+582</f>
        <v>3139.9900000000002</v>
      </c>
      <c r="M100" s="511">
        <v>44469</v>
      </c>
      <c r="N100" s="511">
        <v>44469</v>
      </c>
      <c r="O100" s="511">
        <v>44469</v>
      </c>
      <c r="P100" s="511">
        <v>44520</v>
      </c>
      <c r="Q100" s="511">
        <v>44523</v>
      </c>
      <c r="R100" s="512" t="s">
        <v>4716</v>
      </c>
      <c r="S100" s="515" t="s">
        <v>3752</v>
      </c>
      <c r="T100" s="510" t="s">
        <v>3128</v>
      </c>
      <c r="U100" s="516" t="s">
        <v>3031</v>
      </c>
      <c r="V100" s="359">
        <v>44516</v>
      </c>
      <c r="W100" s="510" t="s">
        <v>3337</v>
      </c>
      <c r="X100" s="510" t="s">
        <v>3341</v>
      </c>
      <c r="Y100" s="511">
        <v>44521</v>
      </c>
      <c r="Z100" s="510" t="s">
        <v>3252</v>
      </c>
      <c r="AA100" s="510" t="s">
        <v>3982</v>
      </c>
      <c r="AB100" s="510" t="s">
        <v>4694</v>
      </c>
      <c r="AC100" s="510" t="s">
        <v>2146</v>
      </c>
      <c r="AD100" s="511">
        <v>44522</v>
      </c>
      <c r="AE100" s="515">
        <v>1918.79</v>
      </c>
      <c r="AF100" s="507" t="s">
        <v>4556</v>
      </c>
      <c r="AG100" s="510" t="s">
        <v>3108</v>
      </c>
      <c r="AH100" s="517">
        <v>60067.45</v>
      </c>
      <c r="AI100" s="517">
        <v>3312</v>
      </c>
      <c r="AJ100" s="517">
        <v>8</v>
      </c>
      <c r="AK100" s="517">
        <f t="shared" si="74"/>
        <v>63387.45</v>
      </c>
      <c r="AL100" s="518">
        <v>5.5583999999999998</v>
      </c>
      <c r="AM100" s="519">
        <f t="shared" si="31"/>
        <v>352332.80207999999</v>
      </c>
      <c r="AN100" s="519">
        <v>0</v>
      </c>
      <c r="AO100" s="510">
        <v>3</v>
      </c>
      <c r="AP100" s="519">
        <v>34637.79</v>
      </c>
      <c r="AQ100" s="519">
        <v>52371.7</v>
      </c>
      <c r="AR100" s="519">
        <v>7398.98</v>
      </c>
      <c r="AS100" s="519">
        <v>34000.120000000003</v>
      </c>
      <c r="AT100" s="519">
        <v>75805.97</v>
      </c>
      <c r="AU100" s="519">
        <v>4623.55</v>
      </c>
      <c r="AV100" s="519">
        <v>223.64</v>
      </c>
      <c r="AW100" s="510" t="s">
        <v>3139</v>
      </c>
      <c r="AX100" s="627">
        <f t="shared" si="52"/>
        <v>44523</v>
      </c>
      <c r="AY100" s="519">
        <v>1576.77</v>
      </c>
      <c r="AZ100" s="519">
        <f t="shared" si="36"/>
        <v>528499.20311999996</v>
      </c>
      <c r="BA100" s="521">
        <f t="shared" si="41"/>
        <v>1</v>
      </c>
      <c r="BB100" s="519">
        <f t="shared" si="34"/>
        <v>528499.20311999996</v>
      </c>
      <c r="BC100" s="519">
        <v>5148.68</v>
      </c>
      <c r="BD100" s="519">
        <f t="shared" si="55"/>
        <v>-70</v>
      </c>
      <c r="BE100" s="519">
        <f t="shared" si="63"/>
        <v>5078.68</v>
      </c>
      <c r="BF100" s="513" t="s">
        <v>1771</v>
      </c>
      <c r="BG100" s="514" t="s">
        <v>1771</v>
      </c>
      <c r="BH100" s="510" t="s">
        <v>1771</v>
      </c>
      <c r="BI100" s="522"/>
    </row>
    <row r="101" spans="1:61" s="523" customFormat="1" ht="132">
      <c r="A101" s="538" t="s">
        <v>6146</v>
      </c>
      <c r="B101" s="507" t="s">
        <v>3042</v>
      </c>
      <c r="C101" s="507" t="s">
        <v>3774</v>
      </c>
      <c r="D101" s="508" t="s">
        <v>4552</v>
      </c>
      <c r="E101" s="507" t="s">
        <v>4581</v>
      </c>
      <c r="F101" s="507" t="s">
        <v>4582</v>
      </c>
      <c r="G101" s="509" t="s">
        <v>4691</v>
      </c>
      <c r="H101" s="507" t="s">
        <v>4558</v>
      </c>
      <c r="I101" s="510" t="s">
        <v>1771</v>
      </c>
      <c r="J101" s="510">
        <v>1</v>
      </c>
      <c r="K101" s="507">
        <f>10+2+2+8+13+5+5</f>
        <v>45</v>
      </c>
      <c r="L101" s="507">
        <f>1740+130+132.5+1087.5+1674.88+1103+863</f>
        <v>6730.88</v>
      </c>
      <c r="M101" s="511">
        <v>44476</v>
      </c>
      <c r="N101" s="511">
        <v>44476</v>
      </c>
      <c r="O101" s="511">
        <v>44476</v>
      </c>
      <c r="P101" s="511">
        <v>44520</v>
      </c>
      <c r="Q101" s="511">
        <v>44523</v>
      </c>
      <c r="R101" s="512" t="s">
        <v>4717</v>
      </c>
      <c r="S101" s="515" t="s">
        <v>3752</v>
      </c>
      <c r="T101" s="510" t="s">
        <v>3128</v>
      </c>
      <c r="U101" s="516" t="s">
        <v>3031</v>
      </c>
      <c r="V101" s="359">
        <v>44516</v>
      </c>
      <c r="W101" s="510" t="s">
        <v>3337</v>
      </c>
      <c r="X101" s="510" t="s">
        <v>3341</v>
      </c>
      <c r="Y101" s="511">
        <v>44521</v>
      </c>
      <c r="Z101" s="510" t="s">
        <v>3252</v>
      </c>
      <c r="AA101" s="510" t="s">
        <v>3982</v>
      </c>
      <c r="AB101" s="510" t="s">
        <v>4695</v>
      </c>
      <c r="AC101" s="510" t="s">
        <v>2146</v>
      </c>
      <c r="AD101" s="511">
        <v>44522</v>
      </c>
      <c r="AE101" s="515">
        <v>4487.5973999999997</v>
      </c>
      <c r="AF101" s="507" t="s">
        <v>3486</v>
      </c>
      <c r="AG101" s="510" t="s">
        <v>3108</v>
      </c>
      <c r="AH101" s="517">
        <v>88744.74</v>
      </c>
      <c r="AI101" s="517">
        <v>3312</v>
      </c>
      <c r="AJ101" s="517">
        <v>7</v>
      </c>
      <c r="AK101" s="517">
        <f t="shared" si="74"/>
        <v>92063.74</v>
      </c>
      <c r="AL101" s="518">
        <v>5.5583999999999998</v>
      </c>
      <c r="AM101" s="519">
        <f t="shared" si="31"/>
        <v>511727.09241600003</v>
      </c>
      <c r="AN101" s="519">
        <v>0</v>
      </c>
      <c r="AO101" s="510">
        <v>9</v>
      </c>
      <c r="AP101" s="519">
        <v>17044.93</v>
      </c>
      <c r="AQ101" s="519">
        <v>53177.440000000002</v>
      </c>
      <c r="AR101" s="519">
        <v>10746.27</v>
      </c>
      <c r="AS101" s="519">
        <v>49381.63</v>
      </c>
      <c r="AT101" s="519">
        <v>130368.53</v>
      </c>
      <c r="AU101" s="519">
        <v>4623.55</v>
      </c>
      <c r="AV101" s="519">
        <v>377.9</v>
      </c>
      <c r="AW101" s="510" t="s">
        <v>3139</v>
      </c>
      <c r="AX101" s="627">
        <f t="shared" si="52"/>
        <v>44523</v>
      </c>
      <c r="AY101" s="519">
        <v>1576.77</v>
      </c>
      <c r="AZ101" s="519">
        <f t="shared" si="36"/>
        <v>767590.63862400001</v>
      </c>
      <c r="BA101" s="521">
        <f t="shared" si="41"/>
        <v>1</v>
      </c>
      <c r="BB101" s="519">
        <f t="shared" si="34"/>
        <v>767590.63862400001</v>
      </c>
      <c r="BC101" s="519">
        <v>5148.68</v>
      </c>
      <c r="BD101" s="519">
        <f t="shared" si="55"/>
        <v>-10</v>
      </c>
      <c r="BE101" s="519">
        <f t="shared" si="63"/>
        <v>5138.68</v>
      </c>
      <c r="BF101" s="513" t="s">
        <v>1771</v>
      </c>
      <c r="BG101" s="514" t="s">
        <v>1771</v>
      </c>
      <c r="BH101" s="510" t="s">
        <v>1771</v>
      </c>
      <c r="BI101" s="522"/>
    </row>
    <row r="102" spans="1:61" s="523" customFormat="1" ht="240">
      <c r="A102" s="538" t="s">
        <v>6147</v>
      </c>
      <c r="B102" s="507" t="s">
        <v>3042</v>
      </c>
      <c r="C102" s="507" t="s">
        <v>3774</v>
      </c>
      <c r="D102" s="508" t="s">
        <v>4542</v>
      </c>
      <c r="E102" s="507" t="s">
        <v>4538</v>
      </c>
      <c r="F102" s="507" t="s">
        <v>4539</v>
      </c>
      <c r="G102" s="509" t="s">
        <v>4689</v>
      </c>
      <c r="H102" s="507" t="s">
        <v>4558</v>
      </c>
      <c r="I102" s="510" t="s">
        <v>1771</v>
      </c>
      <c r="J102" s="510">
        <v>1</v>
      </c>
      <c r="K102" s="507">
        <f>2+2+1+3+4+4+4+2+12+2+2+5+5+5+5+5+2+5+2+2</f>
        <v>74</v>
      </c>
      <c r="L102" s="507">
        <f>9.07+9.08+669.2+129+75.99+76.06+75.86+69.45+82+9.1+9.07+9.08+1106+14.56+1118+1110.5+1121.5+1110.5+809.95+172</f>
        <v>7785.97</v>
      </c>
      <c r="M102" s="511">
        <v>44467</v>
      </c>
      <c r="N102" s="511">
        <v>44467</v>
      </c>
      <c r="O102" s="511">
        <v>44467</v>
      </c>
      <c r="P102" s="511">
        <v>44520</v>
      </c>
      <c r="Q102" s="511">
        <v>44523</v>
      </c>
      <c r="R102" s="512" t="s">
        <v>4718</v>
      </c>
      <c r="S102" s="515" t="s">
        <v>3752</v>
      </c>
      <c r="T102" s="510" t="s">
        <v>3128</v>
      </c>
      <c r="U102" s="516" t="s">
        <v>3031</v>
      </c>
      <c r="V102" s="359">
        <v>44516</v>
      </c>
      <c r="W102" s="510" t="s">
        <v>3337</v>
      </c>
      <c r="X102" s="510" t="s">
        <v>3341</v>
      </c>
      <c r="Y102" s="511">
        <v>44521</v>
      </c>
      <c r="Z102" s="510" t="s">
        <v>3252</v>
      </c>
      <c r="AA102" s="510" t="s">
        <v>3982</v>
      </c>
      <c r="AB102" s="510" t="s">
        <v>4696</v>
      </c>
      <c r="AC102" s="510" t="s">
        <v>2146</v>
      </c>
      <c r="AD102" s="511">
        <v>44522</v>
      </c>
      <c r="AE102" s="515">
        <v>5506.99</v>
      </c>
      <c r="AF102" s="507" t="s">
        <v>4409</v>
      </c>
      <c r="AG102" s="510" t="s">
        <v>3108</v>
      </c>
      <c r="AH102" s="517">
        <v>399476.42</v>
      </c>
      <c r="AI102" s="517">
        <v>3312</v>
      </c>
      <c r="AJ102" s="517">
        <v>20</v>
      </c>
      <c r="AK102" s="517">
        <f t="shared" ref="AK102" si="75">SUM(AH102:AJ102)</f>
        <v>402808.42</v>
      </c>
      <c r="AL102" s="518">
        <v>5.5583999999999998</v>
      </c>
      <c r="AM102" s="519">
        <f t="shared" si="31"/>
        <v>2238970.321728</v>
      </c>
      <c r="AN102" s="519">
        <v>0</v>
      </c>
      <c r="AO102" s="510">
        <v>11</v>
      </c>
      <c r="AP102" s="519">
        <v>132159.39000000001</v>
      </c>
      <c r="AQ102" s="519">
        <v>283445.40999999997</v>
      </c>
      <c r="AR102" s="519">
        <v>47018.36</v>
      </c>
      <c r="AS102" s="519">
        <v>216060.64</v>
      </c>
      <c r="AT102" s="519">
        <v>573391.56999999995</v>
      </c>
      <c r="AU102" s="519">
        <v>4623.55</v>
      </c>
      <c r="AV102" s="519">
        <v>416.46</v>
      </c>
      <c r="AW102" s="510" t="s">
        <v>3139</v>
      </c>
      <c r="AX102" s="627">
        <f t="shared" si="52"/>
        <v>44523</v>
      </c>
      <c r="AY102" s="519">
        <v>4353.28</v>
      </c>
      <c r="AZ102" s="519">
        <f t="shared" si="36"/>
        <v>3358455.4825919997</v>
      </c>
      <c r="BA102" s="521">
        <f t="shared" si="41"/>
        <v>1</v>
      </c>
      <c r="BB102" s="519">
        <f t="shared" si="34"/>
        <v>3358455.4825919997</v>
      </c>
      <c r="BC102" s="519">
        <v>5161.08</v>
      </c>
      <c r="BD102" s="519">
        <f t="shared" si="55"/>
        <v>10</v>
      </c>
      <c r="BE102" s="519">
        <f t="shared" si="63"/>
        <v>5171.08</v>
      </c>
      <c r="BF102" s="513" t="s">
        <v>1771</v>
      </c>
      <c r="BG102" s="514" t="s">
        <v>1771</v>
      </c>
      <c r="BH102" s="510" t="s">
        <v>1771</v>
      </c>
      <c r="BI102" s="522"/>
    </row>
    <row r="103" spans="1:61" s="523" customFormat="1" ht="108">
      <c r="A103" s="538" t="s">
        <v>6148</v>
      </c>
      <c r="B103" s="507" t="s">
        <v>3042</v>
      </c>
      <c r="C103" s="507" t="s">
        <v>3774</v>
      </c>
      <c r="D103" s="508" t="s">
        <v>4608</v>
      </c>
      <c r="E103" s="507" t="s">
        <v>4607</v>
      </c>
      <c r="F103" s="507" t="s">
        <v>4606</v>
      </c>
      <c r="G103" s="509" t="s">
        <v>4687</v>
      </c>
      <c r="H103" s="507" t="s">
        <v>4677</v>
      </c>
      <c r="I103" s="510">
        <v>1</v>
      </c>
      <c r="J103" s="510"/>
      <c r="K103" s="507">
        <v>28</v>
      </c>
      <c r="L103" s="507">
        <v>3418.64</v>
      </c>
      <c r="M103" s="511">
        <v>44490</v>
      </c>
      <c r="N103" s="511">
        <v>44490</v>
      </c>
      <c r="O103" s="511">
        <v>44490</v>
      </c>
      <c r="P103" s="511">
        <v>44532</v>
      </c>
      <c r="Q103" s="511">
        <v>44536</v>
      </c>
      <c r="R103" s="512" t="s">
        <v>4736</v>
      </c>
      <c r="S103" s="515" t="s">
        <v>3752</v>
      </c>
      <c r="T103" s="510" t="s">
        <v>4574</v>
      </c>
      <c r="U103" s="516" t="s">
        <v>3031</v>
      </c>
      <c r="V103" s="359">
        <v>44530</v>
      </c>
      <c r="W103" s="510" t="s">
        <v>3337</v>
      </c>
      <c r="X103" s="510" t="s">
        <v>3341</v>
      </c>
      <c r="Y103" s="511">
        <v>44532</v>
      </c>
      <c r="Z103" s="510" t="s">
        <v>3252</v>
      </c>
      <c r="AA103" s="510" t="s">
        <v>3982</v>
      </c>
      <c r="AB103" s="510" t="s">
        <v>4721</v>
      </c>
      <c r="AC103" s="510" t="s">
        <v>2146</v>
      </c>
      <c r="AD103" s="511">
        <v>44532</v>
      </c>
      <c r="AE103" s="515">
        <v>2424.9236999999998</v>
      </c>
      <c r="AF103" s="507" t="s">
        <v>4631</v>
      </c>
      <c r="AG103" s="510" t="s">
        <v>3108</v>
      </c>
      <c r="AH103" s="517">
        <v>17422.54</v>
      </c>
      <c r="AI103" s="517">
        <v>3155</v>
      </c>
      <c r="AJ103" s="517">
        <v>3</v>
      </c>
      <c r="AK103" s="517">
        <f t="shared" ref="AK103:AK105" si="76">SUM(AH103:AJ103)</f>
        <v>20580.54</v>
      </c>
      <c r="AL103" s="518">
        <v>5.6167999999999996</v>
      </c>
      <c r="AM103" s="519">
        <f t="shared" si="31"/>
        <v>115596.777072</v>
      </c>
      <c r="AN103" s="519">
        <v>0</v>
      </c>
      <c r="AO103" s="510">
        <v>7</v>
      </c>
      <c r="AP103" s="519">
        <v>8367.44</v>
      </c>
      <c r="AQ103" s="519">
        <v>12396.36</v>
      </c>
      <c r="AR103" s="519">
        <v>2427.5300000000002</v>
      </c>
      <c r="AS103" s="519">
        <v>11155.06</v>
      </c>
      <c r="AT103" s="519">
        <v>31243.11</v>
      </c>
      <c r="AU103" s="519">
        <v>4451.45</v>
      </c>
      <c r="AV103" s="519">
        <v>331.62</v>
      </c>
      <c r="AW103" s="510" t="s">
        <v>3139</v>
      </c>
      <c r="AX103" s="627">
        <f t="shared" si="52"/>
        <v>44536</v>
      </c>
      <c r="AY103" s="519">
        <v>1576.77</v>
      </c>
      <c r="AZ103" s="519">
        <f t="shared" si="36"/>
        <v>173395.16560800001</v>
      </c>
      <c r="BA103" s="521">
        <f t="shared" si="41"/>
        <v>1</v>
      </c>
      <c r="BB103" s="519">
        <f t="shared" si="34"/>
        <v>173395.16560800001</v>
      </c>
      <c r="BC103" s="519">
        <v>4976.58</v>
      </c>
      <c r="BD103" s="519">
        <f t="shared" si="55"/>
        <v>-30</v>
      </c>
      <c r="BE103" s="519">
        <f t="shared" si="63"/>
        <v>4946.58</v>
      </c>
      <c r="BF103" s="513" t="s">
        <v>1771</v>
      </c>
      <c r="BG103" s="514" t="s">
        <v>1771</v>
      </c>
      <c r="BH103" s="510" t="s">
        <v>1771</v>
      </c>
      <c r="BI103" s="522"/>
    </row>
    <row r="104" spans="1:61" s="523" customFormat="1" ht="120">
      <c r="A104" s="538" t="s">
        <v>6149</v>
      </c>
      <c r="B104" s="507" t="s">
        <v>3042</v>
      </c>
      <c r="C104" s="507" t="s">
        <v>3774</v>
      </c>
      <c r="D104" s="508" t="s">
        <v>4609</v>
      </c>
      <c r="E104" s="507" t="s">
        <v>4610</v>
      </c>
      <c r="F104" s="507" t="s">
        <v>4611</v>
      </c>
      <c r="G104" s="509" t="s">
        <v>4688</v>
      </c>
      <c r="H104" s="507" t="s">
        <v>4677</v>
      </c>
      <c r="I104" s="510" t="s">
        <v>1771</v>
      </c>
      <c r="J104" s="510">
        <v>1</v>
      </c>
      <c r="K104" s="507">
        <v>59</v>
      </c>
      <c r="L104" s="507">
        <v>6402.02</v>
      </c>
      <c r="M104" s="511">
        <v>44494</v>
      </c>
      <c r="N104" s="511">
        <v>44494</v>
      </c>
      <c r="O104" s="511">
        <v>44494</v>
      </c>
      <c r="P104" s="511">
        <v>44532</v>
      </c>
      <c r="Q104" s="511">
        <v>44536</v>
      </c>
      <c r="R104" s="512" t="s">
        <v>4738</v>
      </c>
      <c r="S104" s="515" t="s">
        <v>3752</v>
      </c>
      <c r="T104" s="510" t="s">
        <v>4574</v>
      </c>
      <c r="U104" s="516" t="s">
        <v>3031</v>
      </c>
      <c r="V104" s="359"/>
      <c r="W104" s="510" t="s">
        <v>3337</v>
      </c>
      <c r="X104" s="510" t="s">
        <v>3341</v>
      </c>
      <c r="Y104" s="511">
        <v>44532</v>
      </c>
      <c r="Z104" s="510" t="s">
        <v>3252</v>
      </c>
      <c r="AA104" s="510" t="s">
        <v>3982</v>
      </c>
      <c r="AB104" s="510" t="s">
        <v>4722</v>
      </c>
      <c r="AC104" s="510" t="s">
        <v>2146</v>
      </c>
      <c r="AD104" s="511">
        <v>44532</v>
      </c>
      <c r="AE104" s="515">
        <v>4019.67</v>
      </c>
      <c r="AF104" s="507" t="s">
        <v>4409</v>
      </c>
      <c r="AG104" s="510" t="s">
        <v>3108</v>
      </c>
      <c r="AH104" s="517">
        <v>112171.62</v>
      </c>
      <c r="AI104" s="517">
        <v>3429</v>
      </c>
      <c r="AJ104" s="517">
        <v>8</v>
      </c>
      <c r="AK104" s="517">
        <f t="shared" si="76"/>
        <v>115608.62</v>
      </c>
      <c r="AL104" s="518">
        <v>5.6167999999999996</v>
      </c>
      <c r="AM104" s="519">
        <f t="shared" si="31"/>
        <v>649350.49681599997</v>
      </c>
      <c r="AN104" s="519">
        <v>0</v>
      </c>
      <c r="AO104" s="510">
        <v>10</v>
      </c>
      <c r="AP104" s="519">
        <v>14090.31</v>
      </c>
      <c r="AQ104" s="519">
        <v>67265.77</v>
      </c>
      <c r="AR104" s="519">
        <v>13636.36</v>
      </c>
      <c r="AS104" s="519">
        <v>62662.31</v>
      </c>
      <c r="AT104" s="519">
        <v>163531.46</v>
      </c>
      <c r="AU104" s="519">
        <v>4836.2</v>
      </c>
      <c r="AV104" s="519">
        <v>401.04</v>
      </c>
      <c r="AW104" s="510" t="s">
        <v>3139</v>
      </c>
      <c r="AX104" s="627">
        <f t="shared" si="52"/>
        <v>44536</v>
      </c>
      <c r="AY104" s="519">
        <v>1576.77</v>
      </c>
      <c r="AZ104" s="519">
        <f t="shared" si="36"/>
        <v>974025.74522399995</v>
      </c>
      <c r="BA104" s="521">
        <f t="shared" si="41"/>
        <v>1</v>
      </c>
      <c r="BB104" s="519">
        <f t="shared" si="34"/>
        <v>974025.74522399995</v>
      </c>
      <c r="BC104" s="519">
        <v>5361.33</v>
      </c>
      <c r="BD104" s="519">
        <f t="shared" si="55"/>
        <v>0</v>
      </c>
      <c r="BE104" s="519">
        <f t="shared" si="63"/>
        <v>5361.33</v>
      </c>
      <c r="BF104" s="513" t="s">
        <v>1771</v>
      </c>
      <c r="BG104" s="514" t="s">
        <v>1771</v>
      </c>
      <c r="BH104" s="510" t="s">
        <v>1771</v>
      </c>
      <c r="BI104" s="522"/>
    </row>
    <row r="105" spans="1:61" s="523" customFormat="1" ht="132">
      <c r="A105" s="538" t="s">
        <v>6150</v>
      </c>
      <c r="B105" s="507" t="s">
        <v>3042</v>
      </c>
      <c r="C105" s="507" t="s">
        <v>3774</v>
      </c>
      <c r="D105" s="508" t="s">
        <v>4612</v>
      </c>
      <c r="E105" s="507" t="s">
        <v>4613</v>
      </c>
      <c r="F105" s="507" t="s">
        <v>4614</v>
      </c>
      <c r="G105" s="509" t="s">
        <v>4678</v>
      </c>
      <c r="H105" s="507" t="s">
        <v>4677</v>
      </c>
      <c r="I105" s="510" t="s">
        <v>1771</v>
      </c>
      <c r="J105" s="510">
        <v>1</v>
      </c>
      <c r="K105" s="507">
        <v>55</v>
      </c>
      <c r="L105" s="507">
        <v>7897</v>
      </c>
      <c r="M105" s="511">
        <v>44497</v>
      </c>
      <c r="N105" s="511">
        <v>44498</v>
      </c>
      <c r="O105" s="511">
        <v>44498</v>
      </c>
      <c r="P105" s="511">
        <v>44532</v>
      </c>
      <c r="Q105" s="511">
        <v>44533</v>
      </c>
      <c r="R105" s="512" t="s">
        <v>4737</v>
      </c>
      <c r="S105" s="515" t="s">
        <v>3752</v>
      </c>
      <c r="T105" s="510" t="s">
        <v>4574</v>
      </c>
      <c r="U105" s="516" t="s">
        <v>3031</v>
      </c>
      <c r="V105" s="359">
        <v>44519</v>
      </c>
      <c r="W105" s="510" t="s">
        <v>3337</v>
      </c>
      <c r="X105" s="510" t="s">
        <v>3341</v>
      </c>
      <c r="Y105" s="511">
        <v>44532</v>
      </c>
      <c r="Z105" s="510" t="s">
        <v>3252</v>
      </c>
      <c r="AA105" s="510" t="s">
        <v>3982</v>
      </c>
      <c r="AB105" s="510" t="s">
        <v>4720</v>
      </c>
      <c r="AC105" s="510" t="s">
        <v>2146</v>
      </c>
      <c r="AD105" s="511">
        <v>44532</v>
      </c>
      <c r="AE105" s="515">
        <v>5696.5010000000002</v>
      </c>
      <c r="AF105" s="507" t="s">
        <v>3790</v>
      </c>
      <c r="AG105" s="510" t="s">
        <v>3108</v>
      </c>
      <c r="AH105" s="517">
        <v>64276.13</v>
      </c>
      <c r="AI105" s="517">
        <v>3429</v>
      </c>
      <c r="AJ105" s="517">
        <v>7</v>
      </c>
      <c r="AK105" s="517">
        <f t="shared" si="76"/>
        <v>67712.13</v>
      </c>
      <c r="AL105" s="518">
        <v>5.6167999999999996</v>
      </c>
      <c r="AM105" s="519">
        <f t="shared" si="31"/>
        <v>380325.49178400001</v>
      </c>
      <c r="AN105" s="519">
        <v>0</v>
      </c>
      <c r="AO105" s="510">
        <v>13</v>
      </c>
      <c r="AP105" s="519">
        <v>27837.17</v>
      </c>
      <c r="AQ105" s="519">
        <v>40816.19</v>
      </c>
      <c r="AR105" s="519">
        <v>7986.84</v>
      </c>
      <c r="AS105" s="519">
        <v>36701.39</v>
      </c>
      <c r="AT105" s="519">
        <v>100566.07</v>
      </c>
      <c r="AU105" s="519">
        <v>4836.2</v>
      </c>
      <c r="AV105" s="519">
        <v>447.3</v>
      </c>
      <c r="AW105" s="510" t="s">
        <v>3139</v>
      </c>
      <c r="AX105" s="627">
        <f t="shared" si="52"/>
        <v>44533</v>
      </c>
      <c r="AY105" s="519">
        <v>1576.77</v>
      </c>
      <c r="AZ105" s="519">
        <f t="shared" si="36"/>
        <v>570488.23767599999</v>
      </c>
      <c r="BA105" s="521">
        <f t="shared" si="41"/>
        <v>1</v>
      </c>
      <c r="BB105" s="519">
        <f t="shared" si="34"/>
        <v>570488.23767599999</v>
      </c>
      <c r="BC105" s="519">
        <v>5398.53</v>
      </c>
      <c r="BD105" s="519">
        <f t="shared" si="55"/>
        <v>30</v>
      </c>
      <c r="BE105" s="519">
        <f t="shared" si="63"/>
        <v>5428.53</v>
      </c>
      <c r="BF105" s="513" t="s">
        <v>1771</v>
      </c>
      <c r="BG105" s="514" t="s">
        <v>1771</v>
      </c>
      <c r="BH105" s="510" t="s">
        <v>1771</v>
      </c>
      <c r="BI105" s="522"/>
    </row>
    <row r="106" spans="1:61" s="523" customFormat="1" ht="144">
      <c r="A106" s="538" t="s">
        <v>6151</v>
      </c>
      <c r="B106" s="507" t="s">
        <v>3042</v>
      </c>
      <c r="C106" s="507" t="s">
        <v>3774</v>
      </c>
      <c r="D106" s="508" t="s">
        <v>4626</v>
      </c>
      <c r="E106" s="507" t="s">
        <v>4624</v>
      </c>
      <c r="F106" s="507" t="s">
        <v>4625</v>
      </c>
      <c r="G106" s="509" t="s">
        <v>4627</v>
      </c>
      <c r="H106" s="507" t="s">
        <v>4677</v>
      </c>
      <c r="I106" s="510" t="s">
        <v>1771</v>
      </c>
      <c r="J106" s="510">
        <v>1</v>
      </c>
      <c r="K106" s="507">
        <f>11+5+2+2+1+1+5+4+2+6+1+21</f>
        <v>61</v>
      </c>
      <c r="L106" s="507">
        <f>1757+963.5+129+128+196+0.5+939.5+651+432+860.09+15.66+221.45</f>
        <v>6293.7</v>
      </c>
      <c r="M106" s="511">
        <v>44503</v>
      </c>
      <c r="N106" s="511">
        <v>44496</v>
      </c>
      <c r="O106" s="511">
        <v>44496</v>
      </c>
      <c r="P106" s="511">
        <v>44532</v>
      </c>
      <c r="Q106" s="511">
        <v>44533</v>
      </c>
      <c r="R106" s="512" t="s">
        <v>4739</v>
      </c>
      <c r="S106" s="515" t="s">
        <v>3752</v>
      </c>
      <c r="T106" s="510" t="s">
        <v>4574</v>
      </c>
      <c r="U106" s="516" t="s">
        <v>3031</v>
      </c>
      <c r="V106" s="359">
        <v>44526</v>
      </c>
      <c r="W106" s="510" t="s">
        <v>3337</v>
      </c>
      <c r="X106" s="510" t="s">
        <v>3341</v>
      </c>
      <c r="Y106" s="511">
        <v>44532</v>
      </c>
      <c r="Z106" s="510" t="s">
        <v>3252</v>
      </c>
      <c r="AA106" s="510" t="s">
        <v>3982</v>
      </c>
      <c r="AB106" s="510" t="s">
        <v>4719</v>
      </c>
      <c r="AC106" s="510" t="s">
        <v>2146</v>
      </c>
      <c r="AD106" s="511">
        <v>44532</v>
      </c>
      <c r="AE106" s="515">
        <v>4758.3672999999999</v>
      </c>
      <c r="AF106" s="507" t="s">
        <v>3777</v>
      </c>
      <c r="AG106" s="510" t="s">
        <v>3108</v>
      </c>
      <c r="AH106" s="517">
        <v>238828.79</v>
      </c>
      <c r="AI106" s="517">
        <v>3429</v>
      </c>
      <c r="AJ106" s="517">
        <v>12</v>
      </c>
      <c r="AK106" s="517">
        <f t="shared" ref="AK106" si="77">SUM(AH106:AJ106)</f>
        <v>242269.79</v>
      </c>
      <c r="AL106" s="518">
        <v>5.6167999999999996</v>
      </c>
      <c r="AM106" s="519">
        <f t="shared" si="31"/>
        <v>1360780.9564719999</v>
      </c>
      <c r="AN106" s="519">
        <v>0</v>
      </c>
      <c r="AO106" s="510">
        <v>22</v>
      </c>
      <c r="AP106" s="519">
        <v>101013.67</v>
      </c>
      <c r="AQ106" s="519">
        <v>181247.58</v>
      </c>
      <c r="AR106" s="519">
        <v>28576.400000000001</v>
      </c>
      <c r="AS106" s="519">
        <v>131315.35999999999</v>
      </c>
      <c r="AT106" s="519">
        <v>356233.62</v>
      </c>
      <c r="AU106" s="519">
        <v>4836.2</v>
      </c>
      <c r="AV106" s="519">
        <v>570.66</v>
      </c>
      <c r="AW106" s="510" t="s">
        <v>3139</v>
      </c>
      <c r="AX106" s="627">
        <f t="shared" si="52"/>
        <v>44533</v>
      </c>
      <c r="AY106" s="519">
        <v>2817.32</v>
      </c>
      <c r="AZ106" s="519">
        <f t="shared" si="36"/>
        <v>2041171.4347079997</v>
      </c>
      <c r="BA106" s="521">
        <f t="shared" si="41"/>
        <v>1</v>
      </c>
      <c r="BB106" s="519">
        <f t="shared" si="34"/>
        <v>2041171.4347079997</v>
      </c>
      <c r="BC106" s="519">
        <v>5510.13</v>
      </c>
      <c r="BD106" s="519">
        <f t="shared" si="55"/>
        <v>120</v>
      </c>
      <c r="BE106" s="519">
        <f t="shared" si="63"/>
        <v>5630.13</v>
      </c>
      <c r="BF106" s="513" t="s">
        <v>1771</v>
      </c>
      <c r="BG106" s="514" t="s">
        <v>1771</v>
      </c>
      <c r="BH106" s="510" t="s">
        <v>1771</v>
      </c>
      <c r="BI106" s="522"/>
    </row>
    <row r="107" spans="1:61" s="523" customFormat="1" ht="132">
      <c r="A107" s="538" t="s">
        <v>6152</v>
      </c>
      <c r="B107" s="507" t="s">
        <v>3042</v>
      </c>
      <c r="C107" s="507" t="s">
        <v>3774</v>
      </c>
      <c r="D107" s="508" t="s">
        <v>4632</v>
      </c>
      <c r="E107" s="507" t="s">
        <v>4628</v>
      </c>
      <c r="F107" s="507" t="s">
        <v>4629</v>
      </c>
      <c r="G107" s="509" t="s">
        <v>4630</v>
      </c>
      <c r="H107" s="507" t="s">
        <v>4622</v>
      </c>
      <c r="I107" s="510" t="s">
        <v>1771</v>
      </c>
      <c r="J107" s="510">
        <v>1</v>
      </c>
      <c r="K107" s="507">
        <f>7+8+10+8</f>
        <v>33</v>
      </c>
      <c r="L107" s="507">
        <f>961.5+1137+428+1137.5</f>
        <v>3664</v>
      </c>
      <c r="M107" s="511">
        <v>44503</v>
      </c>
      <c r="N107" s="511">
        <v>44503</v>
      </c>
      <c r="O107" s="511">
        <v>44503</v>
      </c>
      <c r="P107" s="511">
        <v>44542</v>
      </c>
      <c r="Q107" s="511">
        <v>44544</v>
      </c>
      <c r="R107" s="512" t="s">
        <v>4770</v>
      </c>
      <c r="S107" s="515" t="s">
        <v>3752</v>
      </c>
      <c r="T107" s="510" t="s">
        <v>4574</v>
      </c>
      <c r="U107" s="516" t="s">
        <v>3031</v>
      </c>
      <c r="V107" s="359">
        <v>44536</v>
      </c>
      <c r="W107" s="510" t="s">
        <v>3337</v>
      </c>
      <c r="X107" s="510" t="s">
        <v>3341</v>
      </c>
      <c r="Y107" s="511">
        <v>44543</v>
      </c>
      <c r="Z107" s="510" t="s">
        <v>3252</v>
      </c>
      <c r="AA107" s="510" t="s">
        <v>3982</v>
      </c>
      <c r="AB107" s="510" t="s">
        <v>4765</v>
      </c>
      <c r="AC107" s="510" t="s">
        <v>2146</v>
      </c>
      <c r="AD107" s="511">
        <v>44543</v>
      </c>
      <c r="AE107" s="515">
        <v>2358.6</v>
      </c>
      <c r="AF107" s="507" t="s">
        <v>4631</v>
      </c>
      <c r="AG107" s="510" t="s">
        <v>3108</v>
      </c>
      <c r="AH107" s="517">
        <v>18515.12</v>
      </c>
      <c r="AI107" s="517">
        <v>3429</v>
      </c>
      <c r="AJ107" s="517">
        <v>4</v>
      </c>
      <c r="AK107" s="517">
        <f t="shared" ref="AK107:AK108" si="78">SUM(AH107:AJ107)</f>
        <v>21948.12</v>
      </c>
      <c r="AL107" s="518">
        <v>5.5930999999999997</v>
      </c>
      <c r="AM107" s="519">
        <f t="shared" ref="AM107:AM119" si="79">AK107*AL107</f>
        <v>122758.02997199999</v>
      </c>
      <c r="AN107" s="519">
        <v>0</v>
      </c>
      <c r="AO107" s="510">
        <v>3</v>
      </c>
      <c r="AP107" s="519">
        <v>9256.48</v>
      </c>
      <c r="AQ107" s="519">
        <v>13533.42</v>
      </c>
      <c r="AR107" s="519">
        <v>2577.92</v>
      </c>
      <c r="AS107" s="519">
        <v>11846.14</v>
      </c>
      <c r="AT107" s="519">
        <v>35164.870000000003</v>
      </c>
      <c r="AU107" s="519">
        <v>4815.88</v>
      </c>
      <c r="AV107" s="519">
        <v>223.64</v>
      </c>
      <c r="AW107" s="510" t="s">
        <v>3139</v>
      </c>
      <c r="AX107" s="627">
        <f t="shared" si="52"/>
        <v>44544</v>
      </c>
      <c r="AY107" s="519">
        <v>1576.77</v>
      </c>
      <c r="AZ107" s="519">
        <f t="shared" si="36"/>
        <v>184137.04495799998</v>
      </c>
      <c r="BA107" s="521">
        <f t="shared" si="41"/>
        <v>1</v>
      </c>
      <c r="BB107" s="519">
        <f t="shared" ref="BB107:BB119" si="80">AZ107/BA107</f>
        <v>184137.04495799998</v>
      </c>
      <c r="BC107" s="519">
        <v>5341.01</v>
      </c>
      <c r="BD107" s="519">
        <f t="shared" si="55"/>
        <v>-70</v>
      </c>
      <c r="BE107" s="519">
        <f t="shared" si="63"/>
        <v>5271.01</v>
      </c>
      <c r="BF107" s="513" t="s">
        <v>1771</v>
      </c>
      <c r="BG107" s="514" t="s">
        <v>1771</v>
      </c>
      <c r="BH107" s="510" t="s">
        <v>1771</v>
      </c>
      <c r="BI107" s="522"/>
    </row>
    <row r="108" spans="1:61" s="523" customFormat="1" ht="132">
      <c r="A108" s="538" t="s">
        <v>6153</v>
      </c>
      <c r="B108" s="507" t="s">
        <v>3042</v>
      </c>
      <c r="C108" s="507" t="s">
        <v>3774</v>
      </c>
      <c r="D108" s="508" t="s">
        <v>4635</v>
      </c>
      <c r="E108" s="507" t="s">
        <v>4633</v>
      </c>
      <c r="F108" s="507" t="s">
        <v>4634</v>
      </c>
      <c r="G108" s="509" t="s">
        <v>4636</v>
      </c>
      <c r="H108" s="507" t="s">
        <v>4622</v>
      </c>
      <c r="I108" s="510" t="s">
        <v>1771</v>
      </c>
      <c r="J108" s="510">
        <v>1</v>
      </c>
      <c r="K108" s="507">
        <f>15+15+5+6</f>
        <v>41</v>
      </c>
      <c r="L108" s="507">
        <f>2121+2092+201+721.33</f>
        <v>5135.33</v>
      </c>
      <c r="M108" s="511">
        <v>44503</v>
      </c>
      <c r="N108" s="511">
        <v>44502</v>
      </c>
      <c r="O108" s="511">
        <v>44502</v>
      </c>
      <c r="P108" s="511">
        <v>44542</v>
      </c>
      <c r="Q108" s="511">
        <v>44544</v>
      </c>
      <c r="R108" s="512" t="s">
        <v>4771</v>
      </c>
      <c r="S108" s="515" t="s">
        <v>3752</v>
      </c>
      <c r="T108" s="510" t="s">
        <v>4574</v>
      </c>
      <c r="U108" s="516" t="s">
        <v>3031</v>
      </c>
      <c r="V108" s="359">
        <v>44533</v>
      </c>
      <c r="W108" s="510" t="s">
        <v>3337</v>
      </c>
      <c r="X108" s="510" t="s">
        <v>3341</v>
      </c>
      <c r="Y108" s="511">
        <v>44543</v>
      </c>
      <c r="Z108" s="510" t="s">
        <v>3252</v>
      </c>
      <c r="AA108" s="510" t="s">
        <v>3982</v>
      </c>
      <c r="AB108" s="510" t="s">
        <v>4766</v>
      </c>
      <c r="AC108" s="510" t="s">
        <v>2146</v>
      </c>
      <c r="AD108" s="511">
        <v>44543</v>
      </c>
      <c r="AE108" s="515">
        <v>3190.3226</v>
      </c>
      <c r="AF108" s="507" t="s">
        <v>3238</v>
      </c>
      <c r="AG108" s="510" t="s">
        <v>3108</v>
      </c>
      <c r="AH108" s="517">
        <v>30850.98</v>
      </c>
      <c r="AI108" s="517">
        <v>3429</v>
      </c>
      <c r="AJ108" s="517">
        <v>4</v>
      </c>
      <c r="AK108" s="517">
        <f t="shared" si="78"/>
        <v>34283.979999999996</v>
      </c>
      <c r="AL108" s="518">
        <v>5.5930999999999997</v>
      </c>
      <c r="AM108" s="519">
        <f t="shared" si="79"/>
        <v>191753.72853799997</v>
      </c>
      <c r="AN108" s="519">
        <v>0</v>
      </c>
      <c r="AO108" s="510">
        <v>2</v>
      </c>
      <c r="AP108" s="519">
        <v>13992.24</v>
      </c>
      <c r="AQ108" s="519">
        <v>20722.330000000002</v>
      </c>
      <c r="AR108" s="519">
        <v>4026.83</v>
      </c>
      <c r="AS108" s="519">
        <v>18504.240000000002</v>
      </c>
      <c r="AT108" s="519">
        <v>54700.74</v>
      </c>
      <c r="AU108" s="519">
        <v>4815.88</v>
      </c>
      <c r="AV108" s="519">
        <v>192.79</v>
      </c>
      <c r="AW108" s="510" t="s">
        <v>3139</v>
      </c>
      <c r="AX108" s="627">
        <f t="shared" si="52"/>
        <v>44544</v>
      </c>
      <c r="AY108" s="519">
        <v>1576.77</v>
      </c>
      <c r="AZ108" s="519">
        <f t="shared" ref="AZ108:AZ119" si="81">(AM108*50%)+AM108</f>
        <v>287630.59280699992</v>
      </c>
      <c r="BA108" s="521">
        <f t="shared" si="41"/>
        <v>1</v>
      </c>
      <c r="BB108" s="519">
        <f t="shared" si="80"/>
        <v>287630.59280699992</v>
      </c>
      <c r="BC108" s="519">
        <v>5341.01</v>
      </c>
      <c r="BD108" s="519">
        <f t="shared" si="55"/>
        <v>-80</v>
      </c>
      <c r="BE108" s="519">
        <f t="shared" si="63"/>
        <v>5261.01</v>
      </c>
      <c r="BF108" s="513" t="s">
        <v>1771</v>
      </c>
      <c r="BG108" s="514" t="s">
        <v>1771</v>
      </c>
      <c r="BH108" s="510" t="s">
        <v>1771</v>
      </c>
      <c r="BI108" s="522"/>
    </row>
    <row r="109" spans="1:61" s="523" customFormat="1" ht="132">
      <c r="A109" s="538" t="s">
        <v>6154</v>
      </c>
      <c r="B109" s="507" t="s">
        <v>3042</v>
      </c>
      <c r="C109" s="507" t="s">
        <v>3774</v>
      </c>
      <c r="D109" s="508" t="s">
        <v>4668</v>
      </c>
      <c r="E109" s="507" t="s">
        <v>4666</v>
      </c>
      <c r="F109" s="507" t="s">
        <v>4667</v>
      </c>
      <c r="G109" s="509" t="s">
        <v>4670</v>
      </c>
      <c r="H109" s="507" t="s">
        <v>4669</v>
      </c>
      <c r="I109" s="510" t="s">
        <v>1771</v>
      </c>
      <c r="J109" s="510">
        <v>1</v>
      </c>
      <c r="K109" s="507">
        <f>8+5+8+5+2+2+5+5</f>
        <v>40</v>
      </c>
      <c r="L109" s="507">
        <f>1111.5+964+1121.5+953.5+129.5+132.5+1132.5+948.5</f>
        <v>6493.5</v>
      </c>
      <c r="M109" s="511">
        <v>44508</v>
      </c>
      <c r="N109" s="511">
        <v>44508</v>
      </c>
      <c r="O109" s="511">
        <v>44508</v>
      </c>
      <c r="P109" s="511">
        <v>44540</v>
      </c>
      <c r="Q109" s="511">
        <v>44544</v>
      </c>
      <c r="R109" s="512" t="s">
        <v>4772</v>
      </c>
      <c r="S109" s="515" t="s">
        <v>3752</v>
      </c>
      <c r="T109" s="510" t="s">
        <v>3128</v>
      </c>
      <c r="U109" s="516" t="s">
        <v>3031</v>
      </c>
      <c r="V109" s="359">
        <v>44537</v>
      </c>
      <c r="W109" s="510" t="s">
        <v>3337</v>
      </c>
      <c r="X109" s="510" t="s">
        <v>3341</v>
      </c>
      <c r="Y109" s="511">
        <v>44543</v>
      </c>
      <c r="Z109" s="510" t="s">
        <v>3252</v>
      </c>
      <c r="AA109" s="510" t="s">
        <v>3982</v>
      </c>
      <c r="AB109" s="510" t="s">
        <v>4767</v>
      </c>
      <c r="AC109" s="510" t="s">
        <v>2146</v>
      </c>
      <c r="AD109" s="511">
        <v>44543</v>
      </c>
      <c r="AE109" s="515">
        <v>4759.6000000000004</v>
      </c>
      <c r="AF109" s="507" t="s">
        <v>3359</v>
      </c>
      <c r="AG109" s="510" t="s">
        <v>3108</v>
      </c>
      <c r="AH109" s="517">
        <v>168593.68</v>
      </c>
      <c r="AI109" s="517">
        <v>3429</v>
      </c>
      <c r="AJ109" s="517">
        <v>8</v>
      </c>
      <c r="AK109" s="517">
        <f t="shared" ref="AK109:AK112" si="82">SUM(AH109:AJ109)</f>
        <v>172030.68</v>
      </c>
      <c r="AL109" s="518">
        <v>5.5930999999999997</v>
      </c>
      <c r="AM109" s="519">
        <f t="shared" si="79"/>
        <v>962184.79630799987</v>
      </c>
      <c r="AN109" s="519">
        <v>0</v>
      </c>
      <c r="AO109" s="510">
        <v>6</v>
      </c>
      <c r="AP109" s="519">
        <v>6704.76</v>
      </c>
      <c r="AQ109" s="519">
        <v>97191.11</v>
      </c>
      <c r="AR109" s="519">
        <v>20205.88</v>
      </c>
      <c r="AS109" s="519">
        <v>92850.84</v>
      </c>
      <c r="AT109" s="519">
        <v>258902.76</v>
      </c>
      <c r="AU109" s="519">
        <v>4815.88</v>
      </c>
      <c r="AV109" s="519">
        <v>308.48</v>
      </c>
      <c r="AW109" s="510" t="s">
        <v>3139</v>
      </c>
      <c r="AX109" s="627">
        <f t="shared" si="52"/>
        <v>44544</v>
      </c>
      <c r="AY109" s="519">
        <v>2120.1799999999998</v>
      </c>
      <c r="AZ109" s="519">
        <f t="shared" si="81"/>
        <v>1443277.1944619999</v>
      </c>
      <c r="BA109" s="521">
        <f t="shared" si="41"/>
        <v>1</v>
      </c>
      <c r="BB109" s="519">
        <f t="shared" si="80"/>
        <v>1443277.1944619999</v>
      </c>
      <c r="BC109" s="519">
        <v>5341.01</v>
      </c>
      <c r="BD109" s="519">
        <f t="shared" si="55"/>
        <v>-40</v>
      </c>
      <c r="BE109" s="519">
        <f t="shared" si="63"/>
        <v>5301.01</v>
      </c>
      <c r="BF109" s="513" t="s">
        <v>1771</v>
      </c>
      <c r="BG109" s="514" t="s">
        <v>1771</v>
      </c>
      <c r="BH109" s="510" t="s">
        <v>1771</v>
      </c>
      <c r="BI109" s="522"/>
    </row>
    <row r="110" spans="1:61" s="523" customFormat="1" ht="132">
      <c r="A110" s="538" t="s">
        <v>6155</v>
      </c>
      <c r="B110" s="507" t="s">
        <v>3042</v>
      </c>
      <c r="C110" s="507" t="s">
        <v>3774</v>
      </c>
      <c r="D110" s="508" t="s">
        <v>4643</v>
      </c>
      <c r="E110" s="507" t="s">
        <v>4671</v>
      </c>
      <c r="F110" s="507" t="s">
        <v>4672</v>
      </c>
      <c r="G110" s="509" t="s">
        <v>4673</v>
      </c>
      <c r="H110" s="507" t="s">
        <v>4622</v>
      </c>
      <c r="I110" s="510" t="s">
        <v>1771</v>
      </c>
      <c r="J110" s="510">
        <v>1</v>
      </c>
      <c r="K110" s="507">
        <f>8+10+15+6+8+2</f>
        <v>49</v>
      </c>
      <c r="L110" s="507">
        <f>1136.5+1407.5+1965+774.5+1118.5+430</f>
        <v>6832</v>
      </c>
      <c r="M110" s="511">
        <v>44498</v>
      </c>
      <c r="N110" s="511">
        <v>44502</v>
      </c>
      <c r="O110" s="511">
        <v>44502</v>
      </c>
      <c r="P110" s="511">
        <v>44542</v>
      </c>
      <c r="Q110" s="511">
        <v>44545</v>
      </c>
      <c r="R110" s="512" t="s">
        <v>4773</v>
      </c>
      <c r="S110" s="515" t="s">
        <v>3752</v>
      </c>
      <c r="T110" s="510" t="s">
        <v>4574</v>
      </c>
      <c r="U110" s="516" t="s">
        <v>3031</v>
      </c>
      <c r="V110" s="359">
        <v>44540</v>
      </c>
      <c r="W110" s="510" t="s">
        <v>3337</v>
      </c>
      <c r="X110" s="510" t="s">
        <v>3341</v>
      </c>
      <c r="Y110" s="511">
        <v>44543</v>
      </c>
      <c r="Z110" s="510" t="s">
        <v>3252</v>
      </c>
      <c r="AA110" s="510" t="s">
        <v>3982</v>
      </c>
      <c r="AB110" s="510" t="s">
        <v>4768</v>
      </c>
      <c r="AC110" s="510" t="s">
        <v>2146</v>
      </c>
      <c r="AD110" s="511">
        <v>44543</v>
      </c>
      <c r="AE110" s="515">
        <v>4520.8</v>
      </c>
      <c r="AF110" s="507" t="s">
        <v>3238</v>
      </c>
      <c r="AG110" s="510" t="s">
        <v>3108</v>
      </c>
      <c r="AH110" s="517">
        <v>93012.66</v>
      </c>
      <c r="AI110" s="517">
        <v>3429</v>
      </c>
      <c r="AJ110" s="517">
        <v>6</v>
      </c>
      <c r="AK110" s="517">
        <f t="shared" si="82"/>
        <v>96447.66</v>
      </c>
      <c r="AL110" s="518">
        <v>5.5930999999999997</v>
      </c>
      <c r="AM110" s="519">
        <f t="shared" si="79"/>
        <v>539441.40714599995</v>
      </c>
      <c r="AN110" s="519">
        <v>0</v>
      </c>
      <c r="AO110" s="510">
        <v>4</v>
      </c>
      <c r="AP110" s="519">
        <v>12485.25</v>
      </c>
      <c r="AQ110" s="519">
        <v>55192.63</v>
      </c>
      <c r="AR110" s="519">
        <v>11328.26</v>
      </c>
      <c r="AS110" s="519">
        <v>52056.09</v>
      </c>
      <c r="AT110" s="519">
        <v>147239.57999999999</v>
      </c>
      <c r="AU110" s="519">
        <v>4815.88</v>
      </c>
      <c r="AV110" s="519">
        <v>254.49</v>
      </c>
      <c r="AW110" s="510" t="s">
        <v>3139</v>
      </c>
      <c r="AX110" s="627">
        <f t="shared" si="52"/>
        <v>44545</v>
      </c>
      <c r="AY110" s="519">
        <v>1576.77</v>
      </c>
      <c r="AZ110" s="519">
        <f t="shared" si="81"/>
        <v>809162.11071899999</v>
      </c>
      <c r="BA110" s="521">
        <f t="shared" si="41"/>
        <v>1</v>
      </c>
      <c r="BB110" s="519">
        <f t="shared" si="80"/>
        <v>809162.11071899999</v>
      </c>
      <c r="BC110" s="519">
        <v>5341.01</v>
      </c>
      <c r="BD110" s="519">
        <f t="shared" si="55"/>
        <v>-60</v>
      </c>
      <c r="BE110" s="519">
        <f t="shared" si="63"/>
        <v>5281.01</v>
      </c>
      <c r="BF110" s="513" t="s">
        <v>1771</v>
      </c>
      <c r="BG110" s="514" t="s">
        <v>1771</v>
      </c>
      <c r="BH110" s="510" t="s">
        <v>1771</v>
      </c>
      <c r="BI110" s="522"/>
    </row>
    <row r="111" spans="1:61" s="523" customFormat="1" ht="144">
      <c r="A111" s="538" t="s">
        <v>6156</v>
      </c>
      <c r="B111" s="507" t="s">
        <v>3042</v>
      </c>
      <c r="C111" s="507" t="s">
        <v>3774</v>
      </c>
      <c r="D111" s="508" t="s">
        <v>4676</v>
      </c>
      <c r="E111" s="507" t="s">
        <v>4674</v>
      </c>
      <c r="F111" s="507" t="s">
        <v>4675</v>
      </c>
      <c r="G111" s="509" t="s">
        <v>4679</v>
      </c>
      <c r="H111" s="507" t="s">
        <v>4669</v>
      </c>
      <c r="I111" s="510">
        <v>1</v>
      </c>
      <c r="J111" s="510">
        <v>1</v>
      </c>
      <c r="K111" s="507">
        <f>10+5+1+1+5+2+10</f>
        <v>34</v>
      </c>
      <c r="L111" s="507">
        <f>588+834+68.5+13.82+953+134.5+588.5</f>
        <v>3180.3199999999997</v>
      </c>
      <c r="M111" s="511">
        <v>44511</v>
      </c>
      <c r="N111" s="511">
        <v>44512</v>
      </c>
      <c r="O111" s="511">
        <v>44512</v>
      </c>
      <c r="P111" s="511">
        <v>44540</v>
      </c>
      <c r="Q111" s="511">
        <f t="shared" ref="Q111" si="83">P111+5</f>
        <v>44545</v>
      </c>
      <c r="R111" s="512" t="s">
        <v>4774</v>
      </c>
      <c r="S111" s="515" t="s">
        <v>3752</v>
      </c>
      <c r="T111" s="510" t="s">
        <v>3128</v>
      </c>
      <c r="U111" s="516" t="s">
        <v>3031</v>
      </c>
      <c r="V111" s="359">
        <v>44540</v>
      </c>
      <c r="W111" s="510" t="s">
        <v>3337</v>
      </c>
      <c r="X111" s="510" t="s">
        <v>3341</v>
      </c>
      <c r="Y111" s="511">
        <v>44543</v>
      </c>
      <c r="Z111" s="510" t="s">
        <v>3252</v>
      </c>
      <c r="AA111" s="510" t="s">
        <v>3982</v>
      </c>
      <c r="AB111" s="510" t="s">
        <v>4769</v>
      </c>
      <c r="AC111" s="510" t="s">
        <v>2146</v>
      </c>
      <c r="AD111" s="511">
        <v>44543</v>
      </c>
      <c r="AE111" s="515">
        <v>2283.0050999999999</v>
      </c>
      <c r="AF111" s="507" t="s">
        <v>3359</v>
      </c>
      <c r="AG111" s="510" t="s">
        <v>3108</v>
      </c>
      <c r="AH111" s="517">
        <v>50625.95</v>
      </c>
      <c r="AI111" s="517">
        <v>6548</v>
      </c>
      <c r="AJ111" s="517">
        <v>7</v>
      </c>
      <c r="AK111" s="517">
        <f t="shared" si="82"/>
        <v>57180.95</v>
      </c>
      <c r="AL111" s="518">
        <v>5.5930999999999997</v>
      </c>
      <c r="AM111" s="519">
        <f t="shared" si="79"/>
        <v>319818.77144499996</v>
      </c>
      <c r="AN111" s="519">
        <v>0</v>
      </c>
      <c r="AO111" s="510">
        <v>6</v>
      </c>
      <c r="AP111" s="519">
        <v>2861.17</v>
      </c>
      <c r="AQ111" s="519">
        <v>33385.22</v>
      </c>
      <c r="AR111" s="519">
        <v>6716.2</v>
      </c>
      <c r="AS111" s="519">
        <v>30862.5</v>
      </c>
      <c r="AT111" s="519">
        <v>86477.32</v>
      </c>
      <c r="AU111" s="519">
        <v>9227.44</v>
      </c>
      <c r="AV111" s="519">
        <v>308.48</v>
      </c>
      <c r="AW111" s="510" t="s">
        <v>3139</v>
      </c>
      <c r="AX111" s="627">
        <f t="shared" si="52"/>
        <v>44545</v>
      </c>
      <c r="AY111" s="519">
        <v>3153.54</v>
      </c>
      <c r="AZ111" s="519">
        <f t="shared" si="81"/>
        <v>479728.15716749994</v>
      </c>
      <c r="BA111" s="521">
        <f t="shared" si="41"/>
        <v>2</v>
      </c>
      <c r="BB111" s="519">
        <f t="shared" si="80"/>
        <v>239864.07858374997</v>
      </c>
      <c r="BC111" s="519">
        <v>9752.57</v>
      </c>
      <c r="BD111" s="519">
        <f t="shared" si="55"/>
        <v>-40</v>
      </c>
      <c r="BE111" s="519">
        <f t="shared" si="63"/>
        <v>9712.57</v>
      </c>
      <c r="BF111" s="513" t="s">
        <v>1771</v>
      </c>
      <c r="BG111" s="514" t="s">
        <v>1771</v>
      </c>
      <c r="BH111" s="510" t="s">
        <v>1771</v>
      </c>
      <c r="BI111" s="522"/>
    </row>
    <row r="112" spans="1:61" s="523" customFormat="1" ht="132">
      <c r="A112" s="538" t="s">
        <v>6157</v>
      </c>
      <c r="B112" s="507" t="s">
        <v>3042</v>
      </c>
      <c r="C112" s="507" t="s">
        <v>3774</v>
      </c>
      <c r="D112" s="508" t="s">
        <v>4621</v>
      </c>
      <c r="E112" s="505" t="s">
        <v>4615</v>
      </c>
      <c r="F112" s="505" t="s">
        <v>4616</v>
      </c>
      <c r="G112" s="509" t="s">
        <v>4623</v>
      </c>
      <c r="H112" s="507" t="s">
        <v>4622</v>
      </c>
      <c r="I112" s="510" t="s">
        <v>1771</v>
      </c>
      <c r="J112" s="510">
        <v>1</v>
      </c>
      <c r="K112" s="507">
        <f>8+8+8+7+2+1+4+9</f>
        <v>47</v>
      </c>
      <c r="L112" s="507">
        <f>1119+1120.5+1095.5+932+8.97+48.5+749+1480</f>
        <v>6553.47</v>
      </c>
      <c r="M112" s="511">
        <v>44503</v>
      </c>
      <c r="N112" s="511">
        <v>44503</v>
      </c>
      <c r="O112" s="511">
        <v>44503</v>
      </c>
      <c r="P112" s="511">
        <v>44542</v>
      </c>
      <c r="Q112" s="511">
        <v>44546</v>
      </c>
      <c r="R112" s="512" t="s">
        <v>4797</v>
      </c>
      <c r="S112" s="515" t="s">
        <v>3752</v>
      </c>
      <c r="T112" s="510" t="s">
        <v>4574</v>
      </c>
      <c r="U112" s="516" t="s">
        <v>3031</v>
      </c>
      <c r="V112" s="359">
        <v>44537</v>
      </c>
      <c r="W112" s="510" t="s">
        <v>3337</v>
      </c>
      <c r="X112" s="510" t="s">
        <v>3341</v>
      </c>
      <c r="Y112" s="511"/>
      <c r="Z112" s="510"/>
      <c r="AA112" s="510"/>
      <c r="AB112" s="510" t="s">
        <v>4777</v>
      </c>
      <c r="AC112" s="510" t="s">
        <v>506</v>
      </c>
      <c r="AD112" s="511">
        <v>44544</v>
      </c>
      <c r="AE112" s="510">
        <v>6553.47</v>
      </c>
      <c r="AF112" s="507" t="s">
        <v>4409</v>
      </c>
      <c r="AG112" s="510" t="s">
        <v>3108</v>
      </c>
      <c r="AH112" s="517">
        <v>59240.83</v>
      </c>
      <c r="AI112" s="517">
        <v>3429</v>
      </c>
      <c r="AJ112" s="517">
        <v>8</v>
      </c>
      <c r="AK112" s="517">
        <f t="shared" si="82"/>
        <v>62677.83</v>
      </c>
      <c r="AL112" s="518">
        <v>5.6356999999999999</v>
      </c>
      <c r="AM112" s="519">
        <f t="shared" si="79"/>
        <v>353233.44653100002</v>
      </c>
      <c r="AN112" s="519">
        <v>0</v>
      </c>
      <c r="AO112" s="510">
        <v>5</v>
      </c>
      <c r="AP112" s="519">
        <v>17600.259999999998</v>
      </c>
      <c r="AQ112" s="519">
        <v>35254.31</v>
      </c>
      <c r="AR112" s="519">
        <v>7011.14</v>
      </c>
      <c r="AS112" s="519">
        <v>32217.84</v>
      </c>
      <c r="AT112" s="519">
        <v>93383.87</v>
      </c>
      <c r="AU112" s="519">
        <v>4815.88</v>
      </c>
      <c r="AV112" s="519">
        <v>285.33999999999997</v>
      </c>
      <c r="AW112" s="510" t="s">
        <v>3139</v>
      </c>
      <c r="AX112" s="520">
        <f t="shared" si="52"/>
        <v>44546</v>
      </c>
      <c r="AY112" s="519">
        <v>1576.77</v>
      </c>
      <c r="AZ112" s="519">
        <f t="shared" si="81"/>
        <v>529850.16979650001</v>
      </c>
      <c r="BA112" s="521">
        <f t="shared" si="41"/>
        <v>1</v>
      </c>
      <c r="BB112" s="519">
        <f t="shared" si="80"/>
        <v>529850.16979650001</v>
      </c>
      <c r="BC112" s="519">
        <v>5341.01</v>
      </c>
      <c r="BD112" s="519">
        <f t="shared" si="55"/>
        <v>-50</v>
      </c>
      <c r="BE112" s="519">
        <f t="shared" si="63"/>
        <v>5291.01</v>
      </c>
      <c r="BF112" s="513" t="s">
        <v>1771</v>
      </c>
      <c r="BG112" s="514" t="s">
        <v>1771</v>
      </c>
      <c r="BH112" s="510" t="s">
        <v>1771</v>
      </c>
      <c r="BI112" s="522"/>
    </row>
    <row r="113" spans="1:61" s="523" customFormat="1" ht="132">
      <c r="A113" s="538" t="s">
        <v>6158</v>
      </c>
      <c r="B113" s="507" t="s">
        <v>3042</v>
      </c>
      <c r="C113" s="507" t="s">
        <v>3774</v>
      </c>
      <c r="D113" s="508" t="s">
        <v>4664</v>
      </c>
      <c r="E113" s="505" t="s">
        <v>4662</v>
      </c>
      <c r="F113" s="505" t="s">
        <v>4663</v>
      </c>
      <c r="G113" s="509" t="s">
        <v>4665</v>
      </c>
      <c r="H113" s="507" t="s">
        <v>4622</v>
      </c>
      <c r="I113" s="510" t="s">
        <v>1771</v>
      </c>
      <c r="J113" s="510">
        <v>1</v>
      </c>
      <c r="K113" s="507">
        <f>6+15+4+4+3+4+5+2</f>
        <v>43</v>
      </c>
      <c r="L113" s="507">
        <f>745+1954.5+588.5+836+120+690.5+817+431</f>
        <v>6182.5</v>
      </c>
      <c r="M113" s="511">
        <v>44498</v>
      </c>
      <c r="N113" s="511">
        <v>44502</v>
      </c>
      <c r="O113" s="511">
        <v>44502</v>
      </c>
      <c r="P113" s="511">
        <v>44542</v>
      </c>
      <c r="Q113" s="511">
        <v>44550</v>
      </c>
      <c r="R113" s="512" t="s">
        <v>4821</v>
      </c>
      <c r="S113" s="515" t="s">
        <v>3752</v>
      </c>
      <c r="T113" s="510" t="s">
        <v>4574</v>
      </c>
      <c r="U113" s="516" t="s">
        <v>3031</v>
      </c>
      <c r="V113" s="359">
        <v>44537</v>
      </c>
      <c r="W113" s="510" t="s">
        <v>3337</v>
      </c>
      <c r="X113" s="510" t="s">
        <v>3341</v>
      </c>
      <c r="Y113" s="511">
        <v>44543</v>
      </c>
      <c r="Z113" s="510" t="s">
        <v>3252</v>
      </c>
      <c r="AA113" s="510" t="s">
        <v>3982</v>
      </c>
      <c r="AB113" s="510" t="s">
        <v>4800</v>
      </c>
      <c r="AC113" s="510" t="s">
        <v>2146</v>
      </c>
      <c r="AD113" s="511">
        <v>44547</v>
      </c>
      <c r="AE113" s="515">
        <v>4242.3999999999996</v>
      </c>
      <c r="AF113" s="507" t="s">
        <v>3238</v>
      </c>
      <c r="AG113" s="510" t="s">
        <v>3108</v>
      </c>
      <c r="AH113" s="517">
        <v>129994.43</v>
      </c>
      <c r="AI113" s="517">
        <v>3429</v>
      </c>
      <c r="AJ113" s="517">
        <v>8</v>
      </c>
      <c r="AK113" s="517">
        <f t="shared" ref="AK113" si="84">SUM(AH113:AJ113)</f>
        <v>133431.43</v>
      </c>
      <c r="AL113" s="518">
        <v>5.6962999999999999</v>
      </c>
      <c r="AM113" s="519">
        <f t="shared" si="79"/>
        <v>760065.45470899995</v>
      </c>
      <c r="AN113" s="519">
        <v>0</v>
      </c>
      <c r="AO113" s="510">
        <v>6</v>
      </c>
      <c r="AP113" s="519">
        <v>4419.22</v>
      </c>
      <c r="AQ113" s="519">
        <v>76532.960000000006</v>
      </c>
      <c r="AR113" s="519">
        <v>15961.36</v>
      </c>
      <c r="AS113" s="519">
        <v>73346.31</v>
      </c>
      <c r="AT113" s="519">
        <v>204285.46</v>
      </c>
      <c r="AU113" s="519">
        <v>4815.88</v>
      </c>
      <c r="AV113" s="519">
        <v>308.48</v>
      </c>
      <c r="AW113" s="510" t="s">
        <v>3139</v>
      </c>
      <c r="AX113" s="520">
        <f t="shared" si="52"/>
        <v>44550</v>
      </c>
      <c r="AY113" s="519">
        <v>1766.67</v>
      </c>
      <c r="AZ113" s="519">
        <f t="shared" si="81"/>
        <v>1140098.1820634999</v>
      </c>
      <c r="BA113" s="521">
        <f t="shared" ref="BA113:BA119" si="85">SUM(I113:J113)</f>
        <v>1</v>
      </c>
      <c r="BB113" s="519">
        <f t="shared" si="80"/>
        <v>1140098.1820634999</v>
      </c>
      <c r="BC113" s="519">
        <v>5341.01</v>
      </c>
      <c r="BD113" s="519">
        <f t="shared" si="55"/>
        <v>-40</v>
      </c>
      <c r="BE113" s="519">
        <f t="shared" si="63"/>
        <v>5301.01</v>
      </c>
      <c r="BF113" s="513" t="s">
        <v>1771</v>
      </c>
      <c r="BG113" s="514" t="s">
        <v>1771</v>
      </c>
      <c r="BH113" s="510" t="s">
        <v>1771</v>
      </c>
      <c r="BI113" s="522"/>
    </row>
    <row r="114" spans="1:61" s="523" customFormat="1" ht="132">
      <c r="A114" s="538" t="s">
        <v>6159</v>
      </c>
      <c r="B114" s="507" t="s">
        <v>3042</v>
      </c>
      <c r="C114" s="507" t="s">
        <v>3774</v>
      </c>
      <c r="D114" s="508" t="s">
        <v>4639</v>
      </c>
      <c r="E114" s="505" t="s">
        <v>4637</v>
      </c>
      <c r="F114" s="505" t="s">
        <v>4638</v>
      </c>
      <c r="G114" s="509" t="s">
        <v>4640</v>
      </c>
      <c r="H114" s="507" t="s">
        <v>4622</v>
      </c>
      <c r="I114" s="510" t="s">
        <v>1771</v>
      </c>
      <c r="J114" s="510">
        <v>1</v>
      </c>
      <c r="K114" s="507">
        <f>7+15+10+5+7</f>
        <v>44</v>
      </c>
      <c r="L114" s="507">
        <f>1146.5+2085.5+1722+1079+959.5</f>
        <v>6992.5</v>
      </c>
      <c r="M114" s="511">
        <v>44503</v>
      </c>
      <c r="N114" s="511">
        <v>44502</v>
      </c>
      <c r="O114" s="511">
        <v>44502</v>
      </c>
      <c r="P114" s="511">
        <v>44542</v>
      </c>
      <c r="Q114" s="511">
        <v>44551</v>
      </c>
      <c r="R114" s="512" t="s">
        <v>4828</v>
      </c>
      <c r="S114" s="515" t="s">
        <v>3752</v>
      </c>
      <c r="T114" s="510" t="s">
        <v>4574</v>
      </c>
      <c r="U114" s="516" t="s">
        <v>3031</v>
      </c>
      <c r="V114" s="359">
        <v>44537</v>
      </c>
      <c r="W114" s="510" t="s">
        <v>3337</v>
      </c>
      <c r="X114" s="510" t="s">
        <v>3341</v>
      </c>
      <c r="Y114" s="511">
        <v>44543</v>
      </c>
      <c r="Z114" s="510" t="s">
        <v>3252</v>
      </c>
      <c r="AA114" s="510" t="s">
        <v>3982</v>
      </c>
      <c r="AB114" s="510" t="s">
        <v>4806</v>
      </c>
      <c r="AC114" s="510" t="s">
        <v>2146</v>
      </c>
      <c r="AD114" s="511">
        <v>44550</v>
      </c>
      <c r="AE114" s="515">
        <v>4829.6075000000001</v>
      </c>
      <c r="AF114" s="507" t="s">
        <v>3238</v>
      </c>
      <c r="AG114" s="510" t="s">
        <v>3108</v>
      </c>
      <c r="AH114" s="517">
        <v>73230.83</v>
      </c>
      <c r="AI114" s="517">
        <v>3429</v>
      </c>
      <c r="AJ114" s="517">
        <v>5</v>
      </c>
      <c r="AK114" s="517">
        <f t="shared" ref="AK114:AK119" si="86">SUM(AH114:AJ114)</f>
        <v>76664.83</v>
      </c>
      <c r="AL114" s="518">
        <v>5.6959</v>
      </c>
      <c r="AM114" s="519">
        <f t="shared" si="79"/>
        <v>436675.205197</v>
      </c>
      <c r="AN114" s="519">
        <v>0</v>
      </c>
      <c r="AO114" s="510">
        <v>2</v>
      </c>
      <c r="AP114" s="519">
        <v>21449.34</v>
      </c>
      <c r="AQ114" s="519">
        <v>45812.45</v>
      </c>
      <c r="AR114" s="519">
        <v>9170.18</v>
      </c>
      <c r="AS114" s="519">
        <v>42139.17</v>
      </c>
      <c r="AT114" s="519">
        <v>121925.68</v>
      </c>
      <c r="AU114" s="519">
        <v>4815.88</v>
      </c>
      <c r="AV114" s="519">
        <v>192.79</v>
      </c>
      <c r="AW114" s="510" t="s">
        <v>3139</v>
      </c>
      <c r="AX114" s="520">
        <f t="shared" si="52"/>
        <v>44551</v>
      </c>
      <c r="AY114" s="519">
        <v>1576.77</v>
      </c>
      <c r="AZ114" s="519">
        <f t="shared" si="81"/>
        <v>655012.80779550003</v>
      </c>
      <c r="BA114" s="521">
        <f t="shared" si="85"/>
        <v>1</v>
      </c>
      <c r="BB114" s="519">
        <f t="shared" si="80"/>
        <v>655012.80779550003</v>
      </c>
      <c r="BC114" s="519">
        <v>5341.01</v>
      </c>
      <c r="BD114" s="519">
        <f t="shared" si="55"/>
        <v>-80</v>
      </c>
      <c r="BE114" s="519">
        <f t="shared" si="63"/>
        <v>5261.01</v>
      </c>
      <c r="BF114" s="513" t="s">
        <v>1771</v>
      </c>
      <c r="BG114" s="514" t="s">
        <v>1771</v>
      </c>
      <c r="BH114" s="510" t="s">
        <v>1771</v>
      </c>
      <c r="BI114" s="522"/>
    </row>
    <row r="115" spans="1:61" s="523" customFormat="1" ht="132">
      <c r="A115" s="538" t="s">
        <v>6160</v>
      </c>
      <c r="B115" s="507" t="s">
        <v>3042</v>
      </c>
      <c r="C115" s="507" t="s">
        <v>3774</v>
      </c>
      <c r="D115" s="508" t="s">
        <v>4643</v>
      </c>
      <c r="E115" s="505" t="s">
        <v>4641</v>
      </c>
      <c r="F115" s="505" t="s">
        <v>4642</v>
      </c>
      <c r="G115" s="509" t="s">
        <v>4644</v>
      </c>
      <c r="H115" s="507" t="s">
        <v>4622</v>
      </c>
      <c r="I115" s="510" t="s">
        <v>1771</v>
      </c>
      <c r="J115" s="510">
        <v>1</v>
      </c>
      <c r="K115" s="507">
        <f>5+37+15+1</f>
        <v>58</v>
      </c>
      <c r="L115" s="507">
        <f>1014.5+2611+1959+16.48</f>
        <v>5600.98</v>
      </c>
      <c r="M115" s="511">
        <v>44503</v>
      </c>
      <c r="N115" s="511">
        <v>44504</v>
      </c>
      <c r="O115" s="511">
        <v>44504</v>
      </c>
      <c r="P115" s="511">
        <v>44542</v>
      </c>
      <c r="Q115" s="511">
        <v>44551</v>
      </c>
      <c r="R115" s="512" t="s">
        <v>4829</v>
      </c>
      <c r="S115" s="515" t="s">
        <v>3752</v>
      </c>
      <c r="T115" s="510" t="s">
        <v>4574</v>
      </c>
      <c r="U115" s="516" t="s">
        <v>3031</v>
      </c>
      <c r="V115" s="359">
        <v>44537</v>
      </c>
      <c r="W115" s="510" t="s">
        <v>3337</v>
      </c>
      <c r="X115" s="510" t="s">
        <v>3341</v>
      </c>
      <c r="Y115" s="511">
        <v>44543</v>
      </c>
      <c r="Z115" s="510" t="s">
        <v>3252</v>
      </c>
      <c r="AA115" s="510" t="s">
        <v>3982</v>
      </c>
      <c r="AB115" s="510" t="s">
        <v>4807</v>
      </c>
      <c r="AC115" s="510" t="s">
        <v>2146</v>
      </c>
      <c r="AD115" s="511">
        <v>44550</v>
      </c>
      <c r="AE115" s="515">
        <v>3170.5064000000002</v>
      </c>
      <c r="AF115" s="507" t="s">
        <v>3238</v>
      </c>
      <c r="AG115" s="510" t="s">
        <v>3108</v>
      </c>
      <c r="AH115" s="517">
        <v>103625.86</v>
      </c>
      <c r="AI115" s="517">
        <v>3429</v>
      </c>
      <c r="AJ115" s="517">
        <v>4</v>
      </c>
      <c r="AK115" s="517">
        <f t="shared" si="86"/>
        <v>107058.86</v>
      </c>
      <c r="AL115" s="518">
        <v>5.6959</v>
      </c>
      <c r="AM115" s="519">
        <f t="shared" si="79"/>
        <v>609796.56067399995</v>
      </c>
      <c r="AN115" s="519">
        <v>0</v>
      </c>
      <c r="AO115" s="510">
        <v>9</v>
      </c>
      <c r="AP115" s="519">
        <v>8857.76</v>
      </c>
      <c r="AQ115" s="519">
        <v>61865.38</v>
      </c>
      <c r="AR115" s="519">
        <v>12805.73</v>
      </c>
      <c r="AS115" s="519">
        <v>58845.36</v>
      </c>
      <c r="AT115" s="519">
        <v>165193.63</v>
      </c>
      <c r="AU115" s="519">
        <v>4815.88</v>
      </c>
      <c r="AV115" s="519">
        <v>377.9</v>
      </c>
      <c r="AW115" s="510" t="s">
        <v>3139</v>
      </c>
      <c r="AX115" s="520">
        <f t="shared" si="52"/>
        <v>44551</v>
      </c>
      <c r="AY115" s="519">
        <v>1576.77</v>
      </c>
      <c r="AZ115" s="519">
        <f t="shared" si="81"/>
        <v>914694.84101099987</v>
      </c>
      <c r="BA115" s="521">
        <f t="shared" si="85"/>
        <v>1</v>
      </c>
      <c r="BB115" s="519">
        <f t="shared" si="80"/>
        <v>914694.84101099987</v>
      </c>
      <c r="BC115" s="519">
        <v>5341.01</v>
      </c>
      <c r="BD115" s="519">
        <f t="shared" si="55"/>
        <v>-10</v>
      </c>
      <c r="BE115" s="519">
        <f t="shared" si="63"/>
        <v>5331.01</v>
      </c>
      <c r="BF115" s="513" t="s">
        <v>1771</v>
      </c>
      <c r="BG115" s="514" t="s">
        <v>1771</v>
      </c>
      <c r="BH115" s="510" t="s">
        <v>1771</v>
      </c>
      <c r="BI115" s="522"/>
    </row>
    <row r="116" spans="1:61" s="523" customFormat="1" ht="132">
      <c r="A116" s="538" t="s">
        <v>6161</v>
      </c>
      <c r="B116" s="507" t="s">
        <v>3042</v>
      </c>
      <c r="C116" s="507" t="s">
        <v>3774</v>
      </c>
      <c r="D116" s="508" t="s">
        <v>4639</v>
      </c>
      <c r="E116" s="505" t="s">
        <v>4645</v>
      </c>
      <c r="F116" s="505" t="s">
        <v>4646</v>
      </c>
      <c r="G116" s="509" t="s">
        <v>4647</v>
      </c>
      <c r="H116" s="507" t="s">
        <v>4622</v>
      </c>
      <c r="I116" s="510" t="s">
        <v>1771</v>
      </c>
      <c r="J116" s="510">
        <v>1</v>
      </c>
      <c r="K116" s="507">
        <f>15+8+5+5+5+5+18</f>
        <v>61</v>
      </c>
      <c r="L116" s="507">
        <f>2532.5+1225.5+1155.5+1158.5+1147+1005.5+2903</f>
        <v>11127.5</v>
      </c>
      <c r="M116" s="511">
        <v>44503</v>
      </c>
      <c r="N116" s="511">
        <v>44505</v>
      </c>
      <c r="O116" s="511">
        <v>44505</v>
      </c>
      <c r="P116" s="511">
        <v>44542</v>
      </c>
      <c r="Q116" s="511">
        <v>44551</v>
      </c>
      <c r="R116" s="512" t="s">
        <v>4830</v>
      </c>
      <c r="S116" s="515" t="s">
        <v>3752</v>
      </c>
      <c r="T116" s="510" t="s">
        <v>4574</v>
      </c>
      <c r="U116" s="516" t="s">
        <v>3031</v>
      </c>
      <c r="V116" s="359">
        <v>44537</v>
      </c>
      <c r="W116" s="510" t="s">
        <v>3337</v>
      </c>
      <c r="X116" s="510" t="s">
        <v>3341</v>
      </c>
      <c r="Y116" s="511">
        <v>44543</v>
      </c>
      <c r="Z116" s="510" t="s">
        <v>3252</v>
      </c>
      <c r="AA116" s="510" t="s">
        <v>3982</v>
      </c>
      <c r="AB116" s="510" t="s">
        <v>4808</v>
      </c>
      <c r="AC116" s="510" t="s">
        <v>2146</v>
      </c>
      <c r="AD116" s="511">
        <v>44550</v>
      </c>
      <c r="AE116" s="515">
        <v>8421.6</v>
      </c>
      <c r="AF116" s="507" t="s">
        <v>3238</v>
      </c>
      <c r="AG116" s="510" t="s">
        <v>3108</v>
      </c>
      <c r="AH116" s="517">
        <v>225239.35</v>
      </c>
      <c r="AI116" s="517">
        <v>3429</v>
      </c>
      <c r="AJ116" s="517">
        <v>7</v>
      </c>
      <c r="AK116" s="517">
        <f t="shared" si="86"/>
        <v>228675.35</v>
      </c>
      <c r="AL116" s="518">
        <v>5.6959</v>
      </c>
      <c r="AM116" s="519">
        <f t="shared" si="79"/>
        <v>1302511.926065</v>
      </c>
      <c r="AN116" s="519">
        <v>0</v>
      </c>
      <c r="AO116" s="510">
        <v>3</v>
      </c>
      <c r="AP116" s="519">
        <v>13368.3</v>
      </c>
      <c r="AQ116" s="519">
        <v>131588</v>
      </c>
      <c r="AR116" s="519">
        <v>27352.75</v>
      </c>
      <c r="AS116" s="519">
        <v>125692.39</v>
      </c>
      <c r="AT116" s="519">
        <v>351381.3</v>
      </c>
      <c r="AU116" s="519">
        <v>4815.88</v>
      </c>
      <c r="AV116" s="519">
        <v>223.64</v>
      </c>
      <c r="AW116" s="510" t="s">
        <v>3139</v>
      </c>
      <c r="AX116" s="520">
        <f t="shared" si="52"/>
        <v>44551</v>
      </c>
      <c r="AY116" s="519">
        <v>2715.41</v>
      </c>
      <c r="AZ116" s="519">
        <f t="shared" si="81"/>
        <v>1953767.8890975001</v>
      </c>
      <c r="BA116" s="521">
        <f t="shared" si="85"/>
        <v>1</v>
      </c>
      <c r="BB116" s="519">
        <f t="shared" si="80"/>
        <v>1953767.8890975001</v>
      </c>
      <c r="BC116" s="519">
        <v>5341.01</v>
      </c>
      <c r="BD116" s="519">
        <f t="shared" si="55"/>
        <v>-70</v>
      </c>
      <c r="BE116" s="519">
        <f t="shared" si="63"/>
        <v>5271.01</v>
      </c>
      <c r="BF116" s="513" t="s">
        <v>1771</v>
      </c>
      <c r="BG116" s="514" t="s">
        <v>1771</v>
      </c>
      <c r="BH116" s="510" t="s">
        <v>1771</v>
      </c>
      <c r="BI116" s="522"/>
    </row>
    <row r="117" spans="1:61" s="523" customFormat="1" ht="132">
      <c r="A117" s="538" t="s">
        <v>6162</v>
      </c>
      <c r="B117" s="507" t="s">
        <v>3042</v>
      </c>
      <c r="C117" s="507" t="s">
        <v>3774</v>
      </c>
      <c r="D117" s="508">
        <v>4800016346</v>
      </c>
      <c r="E117" s="505" t="s">
        <v>4648</v>
      </c>
      <c r="F117" s="505" t="s">
        <v>4649</v>
      </c>
      <c r="G117" s="509" t="s">
        <v>4650</v>
      </c>
      <c r="H117" s="507" t="s">
        <v>4622</v>
      </c>
      <c r="I117" s="510" t="s">
        <v>1771</v>
      </c>
      <c r="J117" s="510">
        <v>1</v>
      </c>
      <c r="K117" s="507">
        <f>10+8+8+8+8+5</f>
        <v>47</v>
      </c>
      <c r="L117" s="507">
        <f>1998.5+1099+1109+1115.5+1124.5+1138.5</f>
        <v>7585</v>
      </c>
      <c r="M117" s="511">
        <v>44503</v>
      </c>
      <c r="N117" s="511">
        <v>44504</v>
      </c>
      <c r="O117" s="511">
        <v>44504</v>
      </c>
      <c r="P117" s="511">
        <v>44542</v>
      </c>
      <c r="Q117" s="511">
        <v>44551</v>
      </c>
      <c r="R117" s="512" t="s">
        <v>4831</v>
      </c>
      <c r="S117" s="515" t="s">
        <v>3752</v>
      </c>
      <c r="T117" s="510" t="s">
        <v>4574</v>
      </c>
      <c r="U117" s="516" t="s">
        <v>3031</v>
      </c>
      <c r="V117" s="359">
        <v>44537</v>
      </c>
      <c r="W117" s="510" t="s">
        <v>3337</v>
      </c>
      <c r="X117" s="510" t="s">
        <v>3341</v>
      </c>
      <c r="Y117" s="511">
        <v>44543</v>
      </c>
      <c r="Z117" s="510" t="s">
        <v>3252</v>
      </c>
      <c r="AA117" s="510" t="s">
        <v>3982</v>
      </c>
      <c r="AB117" s="510" t="s">
        <v>4809</v>
      </c>
      <c r="AC117" s="510" t="s">
        <v>2146</v>
      </c>
      <c r="AD117" s="511">
        <v>44550</v>
      </c>
      <c r="AE117" s="515">
        <v>5106</v>
      </c>
      <c r="AF117" s="507" t="s">
        <v>3238</v>
      </c>
      <c r="AG117" s="510" t="s">
        <v>3108</v>
      </c>
      <c r="AH117" s="517">
        <v>95769.600000000006</v>
      </c>
      <c r="AI117" s="517">
        <v>3429</v>
      </c>
      <c r="AJ117" s="517">
        <v>6</v>
      </c>
      <c r="AK117" s="517">
        <f t="shared" si="86"/>
        <v>99204.6</v>
      </c>
      <c r="AL117" s="518">
        <v>5.6959</v>
      </c>
      <c r="AM117" s="519">
        <f t="shared" si="79"/>
        <v>565059.48114000005</v>
      </c>
      <c r="AN117" s="519">
        <v>0</v>
      </c>
      <c r="AO117" s="510">
        <v>3</v>
      </c>
      <c r="AP117" s="519">
        <v>19797.89</v>
      </c>
      <c r="AQ117" s="519">
        <v>58485.72</v>
      </c>
      <c r="AR117" s="519">
        <v>11866.24</v>
      </c>
      <c r="AS117" s="519">
        <v>54528.23</v>
      </c>
      <c r="AT117" s="519">
        <v>155845.10999999999</v>
      </c>
      <c r="AU117" s="519">
        <v>4815.88</v>
      </c>
      <c r="AV117" s="519">
        <v>223.64</v>
      </c>
      <c r="AW117" s="510" t="s">
        <v>3139</v>
      </c>
      <c r="AX117" s="520">
        <f t="shared" si="52"/>
        <v>44551</v>
      </c>
      <c r="AY117" s="519">
        <v>1576.77</v>
      </c>
      <c r="AZ117" s="519">
        <f t="shared" si="81"/>
        <v>847589.22171000007</v>
      </c>
      <c r="BA117" s="521">
        <f t="shared" si="85"/>
        <v>1</v>
      </c>
      <c r="BB117" s="519">
        <f t="shared" si="80"/>
        <v>847589.22171000007</v>
      </c>
      <c r="BC117" s="519">
        <v>5341.01</v>
      </c>
      <c r="BD117" s="519">
        <f t="shared" si="55"/>
        <v>-70</v>
      </c>
      <c r="BE117" s="519">
        <f t="shared" si="63"/>
        <v>5271.01</v>
      </c>
      <c r="BF117" s="513" t="s">
        <v>1771</v>
      </c>
      <c r="BG117" s="514" t="s">
        <v>1771</v>
      </c>
      <c r="BH117" s="510" t="s">
        <v>1771</v>
      </c>
      <c r="BI117" s="522"/>
    </row>
    <row r="118" spans="1:61" s="523" customFormat="1" ht="132">
      <c r="A118" s="538" t="s">
        <v>6163</v>
      </c>
      <c r="B118" s="507" t="s">
        <v>3042</v>
      </c>
      <c r="C118" s="507" t="s">
        <v>3774</v>
      </c>
      <c r="D118" s="508" t="s">
        <v>4657</v>
      </c>
      <c r="E118" s="505" t="s">
        <v>4655</v>
      </c>
      <c r="F118" s="505" t="s">
        <v>4656</v>
      </c>
      <c r="G118" s="509" t="s">
        <v>4658</v>
      </c>
      <c r="H118" s="507" t="s">
        <v>4622</v>
      </c>
      <c r="I118" s="510">
        <v>1</v>
      </c>
      <c r="J118" s="510" t="s">
        <v>1771</v>
      </c>
      <c r="K118" s="507">
        <f>8+2+8+1+3+1</f>
        <v>23</v>
      </c>
      <c r="L118" s="507">
        <f>1101+132+1127+19.4+200.58+12.74</f>
        <v>2592.7199999999998</v>
      </c>
      <c r="M118" s="511">
        <v>44505</v>
      </c>
      <c r="N118" s="511">
        <v>44506</v>
      </c>
      <c r="O118" s="511">
        <v>44506</v>
      </c>
      <c r="P118" s="511">
        <v>44542</v>
      </c>
      <c r="Q118" s="511">
        <v>44552</v>
      </c>
      <c r="R118" s="512" t="s">
        <v>4832</v>
      </c>
      <c r="S118" s="515" t="s">
        <v>3752</v>
      </c>
      <c r="T118" s="510" t="s">
        <v>4574</v>
      </c>
      <c r="U118" s="516" t="s">
        <v>3031</v>
      </c>
      <c r="V118" s="359">
        <v>44537</v>
      </c>
      <c r="W118" s="510" t="s">
        <v>3337</v>
      </c>
      <c r="X118" s="510" t="s">
        <v>3341</v>
      </c>
      <c r="Y118" s="511">
        <v>44543</v>
      </c>
      <c r="Z118" s="510" t="s">
        <v>3252</v>
      </c>
      <c r="AA118" s="510" t="s">
        <v>3982</v>
      </c>
      <c r="AB118" s="510" t="s">
        <v>4811</v>
      </c>
      <c r="AC118" s="510" t="s">
        <v>2146</v>
      </c>
      <c r="AD118" s="511">
        <v>44550</v>
      </c>
      <c r="AE118" s="515">
        <v>1786.2474</v>
      </c>
      <c r="AF118" s="507" t="s">
        <v>3238</v>
      </c>
      <c r="AG118" s="510" t="s">
        <v>3108</v>
      </c>
      <c r="AH118" s="517">
        <v>18042</v>
      </c>
      <c r="AI118" s="517">
        <v>3155</v>
      </c>
      <c r="AJ118" s="517">
        <v>6</v>
      </c>
      <c r="AK118" s="517">
        <f t="shared" si="86"/>
        <v>21203</v>
      </c>
      <c r="AL118" s="518">
        <v>5.6959</v>
      </c>
      <c r="AM118" s="519">
        <f t="shared" si="79"/>
        <v>120770.16770000001</v>
      </c>
      <c r="AN118" s="519">
        <v>0</v>
      </c>
      <c r="AO118" s="510">
        <v>6</v>
      </c>
      <c r="AP118" s="519">
        <v>8665.7099999999991</v>
      </c>
      <c r="AQ118" s="519">
        <v>13072.6</v>
      </c>
      <c r="AR118" s="519">
        <v>2536.16</v>
      </c>
      <c r="AS118" s="519">
        <v>11654.31</v>
      </c>
      <c r="AT118" s="519">
        <v>34465.03</v>
      </c>
      <c r="AU118" s="519">
        <v>4432.75</v>
      </c>
      <c r="AV118" s="519">
        <v>308.48</v>
      </c>
      <c r="AW118" s="510" t="s">
        <v>3139</v>
      </c>
      <c r="AX118" s="520">
        <f t="shared" si="52"/>
        <v>44552</v>
      </c>
      <c r="AY118" s="519">
        <v>2716.22</v>
      </c>
      <c r="AZ118" s="519">
        <f t="shared" si="81"/>
        <v>181155.25155000002</v>
      </c>
      <c r="BA118" s="521">
        <f t="shared" si="85"/>
        <v>1</v>
      </c>
      <c r="BB118" s="519">
        <f t="shared" si="80"/>
        <v>181155.25155000002</v>
      </c>
      <c r="BC118" s="519">
        <v>4957.88</v>
      </c>
      <c r="BD118" s="519">
        <f t="shared" si="55"/>
        <v>-40</v>
      </c>
      <c r="BE118" s="519">
        <f t="shared" si="63"/>
        <v>4917.88</v>
      </c>
      <c r="BF118" s="513" t="s">
        <v>1771</v>
      </c>
      <c r="BG118" s="514" t="s">
        <v>1771</v>
      </c>
      <c r="BH118" s="510" t="s">
        <v>1771</v>
      </c>
      <c r="BI118" s="522"/>
    </row>
    <row r="119" spans="1:61" s="523" customFormat="1" ht="132">
      <c r="A119" s="538" t="s">
        <v>6164</v>
      </c>
      <c r="B119" s="507" t="s">
        <v>3042</v>
      </c>
      <c r="C119" s="507" t="s">
        <v>3774</v>
      </c>
      <c r="D119" s="508">
        <v>4800016348</v>
      </c>
      <c r="E119" s="505" t="s">
        <v>4659</v>
      </c>
      <c r="F119" s="505" t="s">
        <v>4660</v>
      </c>
      <c r="G119" s="509" t="s">
        <v>4661</v>
      </c>
      <c r="H119" s="507" t="s">
        <v>4622</v>
      </c>
      <c r="I119" s="510" t="s">
        <v>1771</v>
      </c>
      <c r="J119" s="510">
        <v>1</v>
      </c>
      <c r="K119" s="507">
        <f>8+2+5+5+5+5+5+5+5</f>
        <v>45</v>
      </c>
      <c r="L119" s="507">
        <f>1100.5+133+953.5+876.9+962.5+808+959+981.5+954.5</f>
        <v>7729.4</v>
      </c>
      <c r="M119" s="511">
        <v>44504</v>
      </c>
      <c r="N119" s="511">
        <v>44506</v>
      </c>
      <c r="O119" s="511">
        <v>44506</v>
      </c>
      <c r="P119" s="511">
        <v>44542</v>
      </c>
      <c r="Q119" s="511">
        <v>44552</v>
      </c>
      <c r="R119" s="512" t="s">
        <v>4833</v>
      </c>
      <c r="S119" s="515" t="s">
        <v>3752</v>
      </c>
      <c r="T119" s="510" t="s">
        <v>4574</v>
      </c>
      <c r="U119" s="516" t="s">
        <v>3031</v>
      </c>
      <c r="V119" s="359">
        <v>44540</v>
      </c>
      <c r="W119" s="510" t="s">
        <v>3337</v>
      </c>
      <c r="X119" s="510" t="s">
        <v>3341</v>
      </c>
      <c r="Y119" s="511">
        <v>44543</v>
      </c>
      <c r="Z119" s="510" t="s">
        <v>3252</v>
      </c>
      <c r="AA119" s="510" t="s">
        <v>3982</v>
      </c>
      <c r="AB119" s="510" t="s">
        <v>4810</v>
      </c>
      <c r="AC119" s="510" t="s">
        <v>2146</v>
      </c>
      <c r="AD119" s="511">
        <v>44550</v>
      </c>
      <c r="AE119" s="515">
        <v>5889.8</v>
      </c>
      <c r="AF119" s="507" t="s">
        <v>4631</v>
      </c>
      <c r="AG119" s="510" t="s">
        <v>3108</v>
      </c>
      <c r="AH119" s="517">
        <v>229009.07</v>
      </c>
      <c r="AI119" s="517">
        <v>3429</v>
      </c>
      <c r="AJ119" s="517">
        <v>9</v>
      </c>
      <c r="AK119" s="517">
        <f t="shared" si="86"/>
        <v>232447.07</v>
      </c>
      <c r="AL119" s="518">
        <v>5.6959</v>
      </c>
      <c r="AM119" s="519">
        <f t="shared" si="79"/>
        <v>1323995.2660129999</v>
      </c>
      <c r="AN119" s="519">
        <v>0</v>
      </c>
      <c r="AO119" s="510">
        <v>4</v>
      </c>
      <c r="AP119" s="519">
        <v>3351.52</v>
      </c>
      <c r="AQ119" s="519">
        <v>132863.74</v>
      </c>
      <c r="AR119" s="519">
        <v>27803.9</v>
      </c>
      <c r="AS119" s="519">
        <v>127765.57</v>
      </c>
      <c r="AT119" s="519">
        <v>354739.32</v>
      </c>
      <c r="AU119" s="519">
        <v>4815.88</v>
      </c>
      <c r="AV119" s="519">
        <v>254.49</v>
      </c>
      <c r="AW119" s="510" t="s">
        <v>3139</v>
      </c>
      <c r="AX119" s="520">
        <f t="shared" si="52"/>
        <v>44552</v>
      </c>
      <c r="AY119" s="519">
        <v>2752.99</v>
      </c>
      <c r="AZ119" s="519">
        <f t="shared" si="81"/>
        <v>1985992.8990194998</v>
      </c>
      <c r="BA119" s="521">
        <f t="shared" si="85"/>
        <v>1</v>
      </c>
      <c r="BB119" s="519">
        <f t="shared" si="80"/>
        <v>1985992.8990194998</v>
      </c>
      <c r="BC119" s="519">
        <v>5341.01</v>
      </c>
      <c r="BD119" s="519">
        <f t="shared" si="55"/>
        <v>-60</v>
      </c>
      <c r="BE119" s="519">
        <f t="shared" si="63"/>
        <v>5281.01</v>
      </c>
      <c r="BF119" s="513" t="s">
        <v>1771</v>
      </c>
      <c r="BG119" s="514" t="s">
        <v>1771</v>
      </c>
      <c r="BH119" s="510" t="s">
        <v>1771</v>
      </c>
      <c r="BI119" s="522"/>
    </row>
  </sheetData>
  <sheetProtection selectLockedCells="1" autoFilter="0" selectUnlockedCells="1"/>
  <autoFilter ref="A1:BH119">
    <filterColumn colId="29"/>
  </autoFilter>
  <conditionalFormatting sqref="V1:V42">
    <cfRule type="cellIs" dxfId="367" priority="191" stopIfTrue="1" operator="equal">
      <formula>0</formula>
    </cfRule>
  </conditionalFormatting>
  <conditionalFormatting sqref="V43">
    <cfRule type="cellIs" dxfId="366" priority="60" stopIfTrue="1" operator="equal">
      <formula>0</formula>
    </cfRule>
  </conditionalFormatting>
  <conditionalFormatting sqref="V44">
    <cfRule type="cellIs" dxfId="365" priority="59" stopIfTrue="1" operator="equal">
      <formula>0</formula>
    </cfRule>
  </conditionalFormatting>
  <conditionalFormatting sqref="V45">
    <cfRule type="cellIs" dxfId="364" priority="58" stopIfTrue="1" operator="equal">
      <formula>0</formula>
    </cfRule>
  </conditionalFormatting>
  <conditionalFormatting sqref="V46">
    <cfRule type="cellIs" dxfId="363" priority="57" stopIfTrue="1" operator="equal">
      <formula>0</formula>
    </cfRule>
  </conditionalFormatting>
  <conditionalFormatting sqref="V47">
    <cfRule type="cellIs" dxfId="362" priority="56" stopIfTrue="1" operator="equal">
      <formula>0</formula>
    </cfRule>
  </conditionalFormatting>
  <conditionalFormatting sqref="V48">
    <cfRule type="cellIs" dxfId="361" priority="55" stopIfTrue="1" operator="equal">
      <formula>0</formula>
    </cfRule>
  </conditionalFormatting>
  <conditionalFormatting sqref="V49">
    <cfRule type="cellIs" dxfId="360" priority="54" stopIfTrue="1" operator="equal">
      <formula>0</formula>
    </cfRule>
  </conditionalFormatting>
  <conditionalFormatting sqref="V50">
    <cfRule type="cellIs" dxfId="359" priority="53" stopIfTrue="1" operator="equal">
      <formula>0</formula>
    </cfRule>
  </conditionalFormatting>
  <conditionalFormatting sqref="V51">
    <cfRule type="cellIs" dxfId="358" priority="52" stopIfTrue="1" operator="equal">
      <formula>0</formula>
    </cfRule>
  </conditionalFormatting>
  <conditionalFormatting sqref="V52">
    <cfRule type="cellIs" dxfId="357" priority="51" stopIfTrue="1" operator="equal">
      <formula>0</formula>
    </cfRule>
  </conditionalFormatting>
  <conditionalFormatting sqref="V53">
    <cfRule type="cellIs" dxfId="356" priority="50" stopIfTrue="1" operator="equal">
      <formula>0</formula>
    </cfRule>
  </conditionalFormatting>
  <conditionalFormatting sqref="V54">
    <cfRule type="cellIs" dxfId="355" priority="49" stopIfTrue="1" operator="equal">
      <formula>0</formula>
    </cfRule>
  </conditionalFormatting>
  <conditionalFormatting sqref="V55">
    <cfRule type="cellIs" dxfId="354" priority="48" stopIfTrue="1" operator="equal">
      <formula>0</formula>
    </cfRule>
  </conditionalFormatting>
  <conditionalFormatting sqref="V56">
    <cfRule type="cellIs" dxfId="353" priority="47" stopIfTrue="1" operator="equal">
      <formula>0</formula>
    </cfRule>
  </conditionalFormatting>
  <conditionalFormatting sqref="V57">
    <cfRule type="cellIs" dxfId="352" priority="46" stopIfTrue="1" operator="equal">
      <formula>0</formula>
    </cfRule>
  </conditionalFormatting>
  <conditionalFormatting sqref="V58">
    <cfRule type="cellIs" dxfId="351" priority="45" stopIfTrue="1" operator="equal">
      <formula>0</formula>
    </cfRule>
  </conditionalFormatting>
  <conditionalFormatting sqref="V59">
    <cfRule type="cellIs" dxfId="350" priority="44" stopIfTrue="1" operator="equal">
      <formula>0</formula>
    </cfRule>
  </conditionalFormatting>
  <conditionalFormatting sqref="V60">
    <cfRule type="cellIs" dxfId="349" priority="43" stopIfTrue="1" operator="equal">
      <formula>0</formula>
    </cfRule>
  </conditionalFormatting>
  <conditionalFormatting sqref="V61">
    <cfRule type="cellIs" dxfId="348" priority="42" stopIfTrue="1" operator="equal">
      <formula>0</formula>
    </cfRule>
  </conditionalFormatting>
  <conditionalFormatting sqref="V62">
    <cfRule type="cellIs" dxfId="347" priority="41" stopIfTrue="1" operator="equal">
      <formula>0</formula>
    </cfRule>
  </conditionalFormatting>
  <conditionalFormatting sqref="V63:V64">
    <cfRule type="cellIs" dxfId="346" priority="40" stopIfTrue="1" operator="equal">
      <formula>0</formula>
    </cfRule>
  </conditionalFormatting>
  <conditionalFormatting sqref="V65">
    <cfRule type="cellIs" dxfId="345" priority="39" stopIfTrue="1" operator="equal">
      <formula>0</formula>
    </cfRule>
  </conditionalFormatting>
  <conditionalFormatting sqref="V66">
    <cfRule type="cellIs" dxfId="344" priority="38" stopIfTrue="1" operator="equal">
      <formula>0</formula>
    </cfRule>
  </conditionalFormatting>
  <conditionalFormatting sqref="V67">
    <cfRule type="cellIs" dxfId="343" priority="37" stopIfTrue="1" operator="equal">
      <formula>0</formula>
    </cfRule>
  </conditionalFormatting>
  <conditionalFormatting sqref="V68">
    <cfRule type="cellIs" dxfId="342" priority="36" stopIfTrue="1" operator="equal">
      <formula>0</formula>
    </cfRule>
  </conditionalFormatting>
  <conditionalFormatting sqref="V69">
    <cfRule type="cellIs" dxfId="341" priority="35" stopIfTrue="1" operator="equal">
      <formula>0</formula>
    </cfRule>
  </conditionalFormatting>
  <conditionalFormatting sqref="V70">
    <cfRule type="cellIs" dxfId="340" priority="34" stopIfTrue="1" operator="equal">
      <formula>0</formula>
    </cfRule>
  </conditionalFormatting>
  <conditionalFormatting sqref="V71">
    <cfRule type="cellIs" dxfId="339" priority="33" stopIfTrue="1" operator="equal">
      <formula>0</formula>
    </cfRule>
  </conditionalFormatting>
  <conditionalFormatting sqref="V72">
    <cfRule type="cellIs" dxfId="338" priority="32" stopIfTrue="1" operator="equal">
      <formula>0</formula>
    </cfRule>
  </conditionalFormatting>
  <conditionalFormatting sqref="V73:V74">
    <cfRule type="cellIs" dxfId="337" priority="31" stopIfTrue="1" operator="equal">
      <formula>0</formula>
    </cfRule>
  </conditionalFormatting>
  <conditionalFormatting sqref="V75:V77">
    <cfRule type="cellIs" dxfId="336" priority="30" stopIfTrue="1" operator="equal">
      <formula>0</formula>
    </cfRule>
  </conditionalFormatting>
  <conditionalFormatting sqref="V78">
    <cfRule type="cellIs" dxfId="335" priority="29" stopIfTrue="1" operator="equal">
      <formula>0</formula>
    </cfRule>
  </conditionalFormatting>
  <conditionalFormatting sqref="V79:V82">
    <cfRule type="cellIs" dxfId="334" priority="28" stopIfTrue="1" operator="equal">
      <formula>0</formula>
    </cfRule>
  </conditionalFormatting>
  <conditionalFormatting sqref="V83:V84">
    <cfRule type="cellIs" dxfId="333" priority="27" stopIfTrue="1" operator="equal">
      <formula>0</formula>
    </cfRule>
  </conditionalFormatting>
  <conditionalFormatting sqref="V85">
    <cfRule type="cellIs" dxfId="332" priority="26" stopIfTrue="1" operator="equal">
      <formula>0</formula>
    </cfRule>
  </conditionalFormatting>
  <conditionalFormatting sqref="V86:V88">
    <cfRule type="cellIs" dxfId="331" priority="25" stopIfTrue="1" operator="equal">
      <formula>0</formula>
    </cfRule>
  </conditionalFormatting>
  <conditionalFormatting sqref="V89">
    <cfRule type="cellIs" dxfId="330" priority="24" stopIfTrue="1" operator="equal">
      <formula>0</formula>
    </cfRule>
  </conditionalFormatting>
  <conditionalFormatting sqref="V90">
    <cfRule type="cellIs" dxfId="329" priority="23" stopIfTrue="1" operator="equal">
      <formula>0</formula>
    </cfRule>
  </conditionalFormatting>
  <conditionalFormatting sqref="V91">
    <cfRule type="cellIs" dxfId="328" priority="22" stopIfTrue="1" operator="equal">
      <formula>0</formula>
    </cfRule>
  </conditionalFormatting>
  <conditionalFormatting sqref="V92">
    <cfRule type="cellIs" dxfId="327" priority="21" stopIfTrue="1" operator="equal">
      <formula>0</formula>
    </cfRule>
  </conditionalFormatting>
  <conditionalFormatting sqref="V93">
    <cfRule type="cellIs" dxfId="326" priority="20" stopIfTrue="1" operator="equal">
      <formula>0</formula>
    </cfRule>
  </conditionalFormatting>
  <conditionalFormatting sqref="V94">
    <cfRule type="cellIs" dxfId="325" priority="19" stopIfTrue="1" operator="equal">
      <formula>0</formula>
    </cfRule>
  </conditionalFormatting>
  <conditionalFormatting sqref="V95">
    <cfRule type="cellIs" dxfId="324" priority="18" stopIfTrue="1" operator="equal">
      <formula>0</formula>
    </cfRule>
  </conditionalFormatting>
  <conditionalFormatting sqref="V96">
    <cfRule type="cellIs" dxfId="323" priority="17" stopIfTrue="1" operator="equal">
      <formula>0</formula>
    </cfRule>
  </conditionalFormatting>
  <conditionalFormatting sqref="V97">
    <cfRule type="cellIs" dxfId="322" priority="16" stopIfTrue="1" operator="equal">
      <formula>0</formula>
    </cfRule>
  </conditionalFormatting>
  <conditionalFormatting sqref="V98">
    <cfRule type="cellIs" dxfId="321" priority="15" stopIfTrue="1" operator="equal">
      <formula>0</formula>
    </cfRule>
  </conditionalFormatting>
  <conditionalFormatting sqref="V99">
    <cfRule type="cellIs" dxfId="320" priority="14" stopIfTrue="1" operator="equal">
      <formula>0</formula>
    </cfRule>
  </conditionalFormatting>
  <conditionalFormatting sqref="V100">
    <cfRule type="cellIs" dxfId="319" priority="13" stopIfTrue="1" operator="equal">
      <formula>0</formula>
    </cfRule>
  </conditionalFormatting>
  <conditionalFormatting sqref="V101">
    <cfRule type="cellIs" dxfId="318" priority="12" stopIfTrue="1" operator="equal">
      <formula>0</formula>
    </cfRule>
  </conditionalFormatting>
  <conditionalFormatting sqref="V102">
    <cfRule type="cellIs" dxfId="317" priority="11" stopIfTrue="1" operator="equal">
      <formula>0</formula>
    </cfRule>
  </conditionalFormatting>
  <conditionalFormatting sqref="V103:V105">
    <cfRule type="cellIs" dxfId="316" priority="10" stopIfTrue="1" operator="equal">
      <formula>0</formula>
    </cfRule>
  </conditionalFormatting>
  <conditionalFormatting sqref="V106">
    <cfRule type="cellIs" dxfId="315" priority="9" stopIfTrue="1" operator="equal">
      <formula>0</formula>
    </cfRule>
  </conditionalFormatting>
  <conditionalFormatting sqref="V107">
    <cfRule type="cellIs" dxfId="314" priority="8" stopIfTrue="1" operator="equal">
      <formula>0</formula>
    </cfRule>
  </conditionalFormatting>
  <conditionalFormatting sqref="V108">
    <cfRule type="cellIs" dxfId="313" priority="7" stopIfTrue="1" operator="equal">
      <formula>0</formula>
    </cfRule>
  </conditionalFormatting>
  <conditionalFormatting sqref="V109">
    <cfRule type="cellIs" dxfId="312" priority="6" stopIfTrue="1" operator="equal">
      <formula>0</formula>
    </cfRule>
  </conditionalFormatting>
  <conditionalFormatting sqref="V109">
    <cfRule type="cellIs" dxfId="311" priority="5" stopIfTrue="1" operator="equal">
      <formula>0</formula>
    </cfRule>
  </conditionalFormatting>
  <conditionalFormatting sqref="V110:V111">
    <cfRule type="cellIs" dxfId="310" priority="4" stopIfTrue="1" operator="equal">
      <formula>0</formula>
    </cfRule>
  </conditionalFormatting>
  <conditionalFormatting sqref="V112">
    <cfRule type="cellIs" dxfId="309" priority="3" stopIfTrue="1" operator="equal">
      <formula>0</formula>
    </cfRule>
  </conditionalFormatting>
  <conditionalFormatting sqref="V113">
    <cfRule type="cellIs" dxfId="308" priority="2" stopIfTrue="1" operator="equal">
      <formula>0</formula>
    </cfRule>
  </conditionalFormatting>
  <conditionalFormatting sqref="V114:V119">
    <cfRule type="cellIs" dxfId="307" priority="1" stopIfTrue="1" operator="equal">
      <formula>0</formula>
    </cfRule>
  </conditionalFormatting>
  <pageMargins left="0.78740157480314965" right="0.78740157480314965" top="0.98425196850393704" bottom="0.98425196850393704" header="0.51181102362204722" footer="0.51181102362204722"/>
  <pageSetup paperSize="9" scale="10" fitToHeight="4" orientation="portrait" r:id="rId1"/>
  <headerFooter alignWithMargins="0"/>
</worksheet>
</file>

<file path=xl/worksheets/sheet12.xml><?xml version="1.0" encoding="utf-8"?>
<worksheet xmlns="http://schemas.openxmlformats.org/spreadsheetml/2006/main" xmlns:r="http://schemas.openxmlformats.org/officeDocument/2006/relationships">
  <sheetPr>
    <tabColor theme="0" tint="-0.499984740745262"/>
    <pageSetUpPr fitToPage="1"/>
  </sheetPr>
  <dimension ref="A1:BJ88"/>
  <sheetViews>
    <sheetView showGridLines="0" zoomScale="90" zoomScaleNormal="90" workbookViewId="0">
      <pane xSplit="1" ySplit="1" topLeftCell="B69" activePane="bottomRight" state="frozen"/>
      <selection pane="topRight" activeCell="B1" sqref="B1"/>
      <selection pane="bottomLeft" activeCell="A2" sqref="A2"/>
      <selection pane="bottomRight" activeCell="A71" sqref="A71"/>
    </sheetView>
  </sheetViews>
  <sheetFormatPr defaultColWidth="36.140625" defaultRowHeight="12"/>
  <cols>
    <col min="1" max="1" width="13.42578125" style="368" bestFit="1" customWidth="1"/>
    <col min="2" max="2" width="12.42578125" style="369" bestFit="1" customWidth="1"/>
    <col min="3" max="3" width="11.140625" style="369" bestFit="1" customWidth="1"/>
    <col min="4" max="4" width="11.28515625" style="369" bestFit="1" customWidth="1"/>
    <col min="5" max="5" width="18.42578125" style="369" bestFit="1" customWidth="1"/>
    <col min="6" max="6" width="25.5703125" style="369" bestFit="1" customWidth="1"/>
    <col min="7" max="7" width="19.140625" style="370" customWidth="1"/>
    <col min="8" max="8" width="20.85546875" style="369" customWidth="1"/>
    <col min="9" max="10" width="11.85546875" style="377" customWidth="1"/>
    <col min="11" max="11" width="15.5703125" style="371" customWidth="1"/>
    <col min="12" max="12" width="15.7109375" style="371" customWidth="1"/>
    <col min="13" max="14" width="14.140625" style="374" customWidth="1"/>
    <col min="15" max="15" width="14.140625" style="371" customWidth="1"/>
    <col min="16" max="17" width="14.140625" style="372" customWidth="1"/>
    <col min="18" max="18" width="78.85546875" style="373" customWidth="1"/>
    <col min="19" max="19" width="16.85546875" style="371" bestFit="1" customWidth="1"/>
    <col min="20" max="20" width="15.42578125" style="378" bestFit="1" customWidth="1"/>
    <col min="21" max="21" width="11.140625" style="373" customWidth="1"/>
    <col min="22" max="22" width="20.85546875" style="373" bestFit="1" customWidth="1"/>
    <col min="23" max="23" width="10.85546875" style="369" bestFit="1" customWidth="1"/>
    <col min="24" max="24" width="14.140625" style="369" bestFit="1" customWidth="1"/>
    <col min="25" max="25" width="20.5703125" style="369" bestFit="1" customWidth="1"/>
    <col min="26" max="26" width="19.85546875" style="371" bestFit="1" customWidth="1"/>
    <col min="27" max="27" width="19.5703125" style="369" bestFit="1" customWidth="1"/>
    <col min="28" max="28" width="10.7109375" style="369" bestFit="1" customWidth="1"/>
    <col min="29" max="29" width="17.7109375" style="369" bestFit="1" customWidth="1"/>
    <col min="30" max="30" width="12.28515625" style="369" bestFit="1" customWidth="1"/>
    <col min="31" max="31" width="11.85546875" style="375" bestFit="1" customWidth="1"/>
    <col min="32" max="32" width="17.85546875" style="375" bestFit="1" customWidth="1"/>
    <col min="33" max="33" width="9.28515625" style="376" bestFit="1" customWidth="1"/>
    <col min="34" max="34" width="12.85546875" style="377" bestFit="1" customWidth="1"/>
    <col min="35" max="35" width="12.7109375" style="377" bestFit="1" customWidth="1"/>
    <col min="36" max="36" width="12.28515625" style="377" bestFit="1" customWidth="1"/>
    <col min="37" max="37" width="13.42578125" style="377" bestFit="1" customWidth="1"/>
    <col min="38" max="38" width="14.5703125" style="377" bestFit="1" customWidth="1"/>
    <col min="39" max="39" width="11.85546875" style="377" bestFit="1" customWidth="1"/>
    <col min="40" max="40" width="11.7109375" style="377" bestFit="1" customWidth="1"/>
    <col min="41" max="41" width="15.28515625" style="377" bestFit="1" customWidth="1"/>
    <col min="42" max="43" width="13.85546875" style="377" bestFit="1" customWidth="1"/>
    <col min="44" max="44" width="12.7109375" style="377" bestFit="1" customWidth="1"/>
    <col min="45" max="45" width="13.85546875" style="377" bestFit="1" customWidth="1"/>
    <col min="46" max="46" width="15" style="377" bestFit="1" customWidth="1"/>
    <col min="47" max="47" width="10.140625" style="377" bestFit="1" customWidth="1"/>
    <col min="48" max="48" width="11.5703125" style="377" bestFit="1" customWidth="1"/>
    <col min="49" max="49" width="14.42578125" style="377" customWidth="1"/>
    <col min="50" max="50" width="19.85546875" style="377" customWidth="1"/>
    <col min="51" max="51" width="15.42578125" style="377" bestFit="1" customWidth="1"/>
    <col min="52" max="52" width="13.5703125" style="377" customWidth="1"/>
    <col min="53" max="53" width="16.85546875" style="377" customWidth="1"/>
    <col min="54" max="55" width="15.28515625" style="377" bestFit="1" customWidth="1"/>
    <col min="56" max="56" width="13.28515625" style="377" bestFit="1" customWidth="1"/>
    <col min="57" max="57" width="15.28515625" style="377" bestFit="1" customWidth="1"/>
    <col min="58" max="58" width="13" style="377" bestFit="1" customWidth="1"/>
    <col min="59" max="60" width="13" style="377" customWidth="1"/>
    <col min="61" max="61" width="17.140625" style="377" customWidth="1"/>
    <col min="62" max="16384" width="36.140625" style="377"/>
  </cols>
  <sheetData>
    <row r="1" spans="1:62" s="506" customFormat="1" ht="36">
      <c r="A1" s="544" t="s">
        <v>3291</v>
      </c>
      <c r="B1" s="545" t="s">
        <v>3022</v>
      </c>
      <c r="C1" s="545" t="s">
        <v>1470</v>
      </c>
      <c r="D1" s="545" t="s">
        <v>508</v>
      </c>
      <c r="E1" s="545" t="s">
        <v>1577</v>
      </c>
      <c r="F1" s="545" t="s">
        <v>3961</v>
      </c>
      <c r="G1" s="546" t="s">
        <v>59</v>
      </c>
      <c r="H1" s="546" t="s">
        <v>423</v>
      </c>
      <c r="I1" s="546" t="s">
        <v>3114</v>
      </c>
      <c r="J1" s="546" t="s">
        <v>3115</v>
      </c>
      <c r="K1" s="545" t="s">
        <v>3034</v>
      </c>
      <c r="L1" s="545" t="s">
        <v>3025</v>
      </c>
      <c r="M1" s="545" t="s">
        <v>3026</v>
      </c>
      <c r="N1" s="545" t="s">
        <v>3027</v>
      </c>
      <c r="O1" s="547" t="s">
        <v>2969</v>
      </c>
      <c r="P1" s="547" t="s">
        <v>2973</v>
      </c>
      <c r="Q1" s="548" t="s">
        <v>2974</v>
      </c>
      <c r="R1" s="548" t="s">
        <v>1205</v>
      </c>
      <c r="S1" s="548" t="s">
        <v>747</v>
      </c>
      <c r="T1" s="549" t="s">
        <v>3041</v>
      </c>
      <c r="U1" s="550" t="s">
        <v>2928</v>
      </c>
      <c r="V1" s="550" t="s">
        <v>3024</v>
      </c>
      <c r="W1" s="550" t="s">
        <v>1185</v>
      </c>
      <c r="X1" s="550" t="s">
        <v>3039</v>
      </c>
      <c r="Y1" s="550" t="s">
        <v>3035</v>
      </c>
      <c r="Z1" s="550" t="s">
        <v>3137</v>
      </c>
      <c r="AA1" s="550" t="s">
        <v>3032</v>
      </c>
      <c r="AB1" s="550" t="s">
        <v>3033</v>
      </c>
      <c r="AC1" s="550" t="s">
        <v>3162</v>
      </c>
      <c r="AD1" s="551" t="s">
        <v>2970</v>
      </c>
      <c r="AE1" s="551" t="s">
        <v>2930</v>
      </c>
      <c r="AF1" s="551" t="s">
        <v>3028</v>
      </c>
      <c r="AG1" s="551" t="s">
        <v>3080</v>
      </c>
      <c r="AH1" s="552" t="s">
        <v>3113</v>
      </c>
      <c r="AI1" s="552" t="s">
        <v>3023</v>
      </c>
      <c r="AJ1" s="553" t="s">
        <v>3116</v>
      </c>
      <c r="AK1" s="553" t="s">
        <v>3117</v>
      </c>
      <c r="AL1" s="553" t="s">
        <v>3118</v>
      </c>
      <c r="AM1" s="553" t="s">
        <v>3119</v>
      </c>
      <c r="AN1" s="554" t="s">
        <v>3120</v>
      </c>
      <c r="AO1" s="553" t="s">
        <v>3121</v>
      </c>
      <c r="AP1" s="553" t="s">
        <v>3156</v>
      </c>
      <c r="AQ1" s="553" t="s">
        <v>3187</v>
      </c>
      <c r="AR1" s="553" t="s">
        <v>3188</v>
      </c>
      <c r="AS1" s="553" t="s">
        <v>3189</v>
      </c>
      <c r="AT1" s="553" t="s">
        <v>3191</v>
      </c>
      <c r="AU1" s="553" t="s">
        <v>3190</v>
      </c>
      <c r="AV1" s="555" t="s">
        <v>3029</v>
      </c>
      <c r="AW1" s="553" t="s">
        <v>3122</v>
      </c>
      <c r="AX1" s="556" t="s">
        <v>3157</v>
      </c>
      <c r="AY1" s="552" t="s">
        <v>3123</v>
      </c>
      <c r="AZ1" s="552" t="s">
        <v>3124</v>
      </c>
      <c r="BA1" s="553" t="s">
        <v>3186</v>
      </c>
      <c r="BB1" s="553" t="s">
        <v>3121</v>
      </c>
      <c r="BC1" s="553" t="s">
        <v>3125</v>
      </c>
      <c r="BD1" s="557" t="s">
        <v>3126</v>
      </c>
      <c r="BE1" s="557" t="s">
        <v>3185</v>
      </c>
      <c r="BF1" s="553" t="s">
        <v>3182</v>
      </c>
      <c r="BG1" s="558" t="s">
        <v>3183</v>
      </c>
      <c r="BH1" s="558" t="s">
        <v>3184</v>
      </c>
      <c r="BI1" s="559" t="s">
        <v>3127</v>
      </c>
    </row>
    <row r="2" spans="1:62" s="523" customFormat="1" ht="120">
      <c r="A2" s="560" t="s">
        <v>5126</v>
      </c>
      <c r="B2" s="561" t="s">
        <v>3042</v>
      </c>
      <c r="C2" s="561" t="s">
        <v>3043</v>
      </c>
      <c r="D2" s="562" t="s">
        <v>3323</v>
      </c>
      <c r="E2" s="540" t="s">
        <v>3324</v>
      </c>
      <c r="F2" s="540" t="s">
        <v>4092</v>
      </c>
      <c r="G2" s="563" t="s">
        <v>3326</v>
      </c>
      <c r="H2" s="561" t="s">
        <v>3325</v>
      </c>
      <c r="I2" s="564">
        <v>1</v>
      </c>
      <c r="J2" s="564" t="s">
        <v>1771</v>
      </c>
      <c r="K2" s="561">
        <v>11</v>
      </c>
      <c r="L2" s="561">
        <v>793.85</v>
      </c>
      <c r="M2" s="565">
        <v>43788</v>
      </c>
      <c r="N2" s="566">
        <v>43788</v>
      </c>
      <c r="O2" s="566">
        <v>43788</v>
      </c>
      <c r="P2" s="565">
        <v>43819</v>
      </c>
      <c r="Q2" s="565">
        <v>43837</v>
      </c>
      <c r="R2" s="567" t="s">
        <v>4091</v>
      </c>
      <c r="S2" s="568" t="s">
        <v>1771</v>
      </c>
      <c r="T2" s="569" t="s">
        <v>1771</v>
      </c>
      <c r="U2" s="570" t="s">
        <v>3218</v>
      </c>
      <c r="V2" s="564" t="s">
        <v>3146</v>
      </c>
      <c r="W2" s="571" t="s">
        <v>3031</v>
      </c>
      <c r="X2" s="425">
        <v>43819</v>
      </c>
      <c r="Y2" s="564" t="s">
        <v>3147</v>
      </c>
      <c r="Z2" s="564" t="s">
        <v>3147</v>
      </c>
      <c r="AA2" s="565">
        <v>43822</v>
      </c>
      <c r="AB2" s="564" t="s">
        <v>3298</v>
      </c>
      <c r="AC2" s="564" t="s">
        <v>3096</v>
      </c>
      <c r="AD2" s="564" t="s">
        <v>3365</v>
      </c>
      <c r="AE2" s="564" t="s">
        <v>2146</v>
      </c>
      <c r="AF2" s="572">
        <v>43836</v>
      </c>
      <c r="AG2" s="564">
        <v>388.7</v>
      </c>
      <c r="AH2" s="561" t="s">
        <v>3296</v>
      </c>
      <c r="AI2" s="564" t="s">
        <v>3108</v>
      </c>
      <c r="AJ2" s="573">
        <v>8134.76</v>
      </c>
      <c r="AK2" s="573">
        <v>1420</v>
      </c>
      <c r="AL2" s="573">
        <v>1</v>
      </c>
      <c r="AM2" s="573">
        <f t="shared" ref="AM2:AM15" si="0">SUM(AJ2:AL2)</f>
        <v>9555.76</v>
      </c>
      <c r="AN2" s="574">
        <v>4.0522</v>
      </c>
      <c r="AO2" s="575">
        <f t="shared" ref="AO2:AO15" si="1">AM2*AN2</f>
        <v>38721.850672</v>
      </c>
      <c r="AP2" s="575">
        <v>3849.15</v>
      </c>
      <c r="AQ2" s="575">
        <v>4194.8900000000003</v>
      </c>
      <c r="AR2" s="575">
        <v>813.16</v>
      </c>
      <c r="AS2" s="575">
        <v>3736.66</v>
      </c>
      <c r="AT2" s="575">
        <v>10646.77</v>
      </c>
      <c r="AU2" s="575">
        <v>0</v>
      </c>
      <c r="AV2" s="564">
        <v>2</v>
      </c>
      <c r="AW2" s="575">
        <v>244</v>
      </c>
      <c r="AX2" s="564" t="s">
        <v>3139</v>
      </c>
      <c r="AY2" s="434">
        <f t="shared" ref="AY2:AY15" si="2">Q2</f>
        <v>43837</v>
      </c>
      <c r="AZ2" s="564" t="s">
        <v>1771</v>
      </c>
      <c r="BA2" s="575">
        <v>2752.68</v>
      </c>
      <c r="BB2" s="575">
        <f t="shared" ref="BB2:BB15" si="3">AO2</f>
        <v>38721.850672</v>
      </c>
      <c r="BC2" s="575">
        <f t="shared" ref="BC2:BC15" si="4">(BB2*50%)+BB2</f>
        <v>58082.776008000001</v>
      </c>
      <c r="BD2" s="576">
        <f t="shared" ref="BD2:BD15" si="5">SUM(I2:J2)</f>
        <v>1</v>
      </c>
      <c r="BE2" s="575">
        <f t="shared" ref="BE2:BE15" si="6">BC2/BD2</f>
        <v>58082.776008000001</v>
      </c>
      <c r="BF2" s="575">
        <v>506.47</v>
      </c>
      <c r="BG2" s="575">
        <f t="shared" ref="BG2:BG15" si="7">(AV2-10)*10</f>
        <v>-80</v>
      </c>
      <c r="BH2" s="575">
        <f t="shared" ref="BH2:BH15" si="8">SUM(BF2:BG2)</f>
        <v>426.47</v>
      </c>
      <c r="BI2" s="577">
        <v>1681.28</v>
      </c>
      <c r="BJ2" s="522"/>
    </row>
    <row r="3" spans="1:62" s="523" customFormat="1" ht="132">
      <c r="A3" s="560" t="s">
        <v>5127</v>
      </c>
      <c r="B3" s="561" t="s">
        <v>3042</v>
      </c>
      <c r="C3" s="561" t="s">
        <v>3043</v>
      </c>
      <c r="D3" s="562" t="s">
        <v>3320</v>
      </c>
      <c r="E3" s="540" t="s">
        <v>3321</v>
      </c>
      <c r="F3" s="540" t="s">
        <v>4094</v>
      </c>
      <c r="G3" s="563" t="s">
        <v>3328</v>
      </c>
      <c r="H3" s="561" t="s">
        <v>3327</v>
      </c>
      <c r="I3" s="564" t="s">
        <v>1771</v>
      </c>
      <c r="J3" s="564">
        <v>1</v>
      </c>
      <c r="K3" s="561">
        <f>6+10+3+8+5</f>
        <v>32</v>
      </c>
      <c r="L3" s="561">
        <f>406.5+722.5+196.76+766.84+581.3</f>
        <v>2673.8999999999996</v>
      </c>
      <c r="M3" s="565">
        <v>43787</v>
      </c>
      <c r="N3" s="566">
        <v>43785</v>
      </c>
      <c r="O3" s="566">
        <v>43785</v>
      </c>
      <c r="P3" s="565">
        <v>43818</v>
      </c>
      <c r="Q3" s="565">
        <v>43837</v>
      </c>
      <c r="R3" s="567" t="s">
        <v>4093</v>
      </c>
      <c r="S3" s="568" t="s">
        <v>1771</v>
      </c>
      <c r="T3" s="569" t="s">
        <v>1771</v>
      </c>
      <c r="U3" s="570" t="s">
        <v>3218</v>
      </c>
      <c r="V3" s="564" t="s">
        <v>3154</v>
      </c>
      <c r="W3" s="571" t="s">
        <v>3031</v>
      </c>
      <c r="X3" s="425">
        <v>43819</v>
      </c>
      <c r="Y3" s="564" t="s">
        <v>3337</v>
      </c>
      <c r="Z3" s="564" t="s">
        <v>3354</v>
      </c>
      <c r="AA3" s="565">
        <v>43819</v>
      </c>
      <c r="AB3" s="564" t="s">
        <v>3252</v>
      </c>
      <c r="AC3" s="564" t="s">
        <v>3096</v>
      </c>
      <c r="AD3" s="564" t="s">
        <v>3366</v>
      </c>
      <c r="AE3" s="564" t="s">
        <v>2146</v>
      </c>
      <c r="AF3" s="572">
        <v>43836</v>
      </c>
      <c r="AG3" s="570">
        <v>1600.49604</v>
      </c>
      <c r="AH3" s="561" t="s">
        <v>3322</v>
      </c>
      <c r="AI3" s="564" t="s">
        <v>3108</v>
      </c>
      <c r="AJ3" s="573">
        <v>13915.18</v>
      </c>
      <c r="AK3" s="573">
        <v>1640</v>
      </c>
      <c r="AL3" s="573">
        <v>5</v>
      </c>
      <c r="AM3" s="573">
        <f t="shared" si="0"/>
        <v>15560.18</v>
      </c>
      <c r="AN3" s="574">
        <v>4.0522</v>
      </c>
      <c r="AO3" s="575">
        <f t="shared" si="1"/>
        <v>63052.961395999999</v>
      </c>
      <c r="AP3" s="575">
        <v>6180.04</v>
      </c>
      <c r="AQ3" s="575">
        <v>7746.72</v>
      </c>
      <c r="AR3" s="575">
        <v>1324.11</v>
      </c>
      <c r="AS3" s="575">
        <v>6084.63</v>
      </c>
      <c r="AT3" s="575">
        <v>17321.55</v>
      </c>
      <c r="AU3" s="575">
        <v>0</v>
      </c>
      <c r="AV3" s="564">
        <v>8</v>
      </c>
      <c r="AW3" s="575">
        <v>367.9</v>
      </c>
      <c r="AX3" s="564" t="s">
        <v>3139</v>
      </c>
      <c r="AY3" s="434">
        <f t="shared" si="2"/>
        <v>43837</v>
      </c>
      <c r="AZ3" s="564" t="s">
        <v>1771</v>
      </c>
      <c r="BA3" s="575">
        <v>2085.14</v>
      </c>
      <c r="BB3" s="575">
        <f t="shared" si="3"/>
        <v>63052.961395999999</v>
      </c>
      <c r="BC3" s="575">
        <f t="shared" si="4"/>
        <v>94579.442093999998</v>
      </c>
      <c r="BD3" s="576">
        <f t="shared" si="5"/>
        <v>1</v>
      </c>
      <c r="BE3" s="575">
        <f t="shared" si="6"/>
        <v>94579.442093999998</v>
      </c>
      <c r="BF3" s="575">
        <v>506.47</v>
      </c>
      <c r="BG3" s="575">
        <f t="shared" si="7"/>
        <v>-20</v>
      </c>
      <c r="BH3" s="575">
        <f t="shared" si="8"/>
        <v>486.47</v>
      </c>
      <c r="BI3" s="577">
        <v>1899.65</v>
      </c>
      <c r="BJ3" s="522"/>
    </row>
    <row r="4" spans="1:62" s="523" customFormat="1" ht="180">
      <c r="A4" s="560" t="s">
        <v>5128</v>
      </c>
      <c r="B4" s="561" t="s">
        <v>3042</v>
      </c>
      <c r="C4" s="561" t="s">
        <v>3043</v>
      </c>
      <c r="D4" s="562" t="s">
        <v>3330</v>
      </c>
      <c r="E4" s="541" t="s">
        <v>3331</v>
      </c>
      <c r="F4" s="541" t="s">
        <v>4096</v>
      </c>
      <c r="G4" s="563" t="s">
        <v>3334</v>
      </c>
      <c r="H4" s="561" t="s">
        <v>3333</v>
      </c>
      <c r="I4" s="564" t="s">
        <v>1771</v>
      </c>
      <c r="J4" s="564">
        <v>2</v>
      </c>
      <c r="K4" s="561">
        <f>2+7+2+4+7+9+4+14+9+5+7+5+4+6+5</f>
        <v>90</v>
      </c>
      <c r="L4" s="561">
        <f>107+566.8+145+244.5+944+1608.5+259.06+1878+1602+585.8+1171.5+691.4+555.4+734.5+665.06</f>
        <v>11758.519999999999</v>
      </c>
      <c r="M4" s="565">
        <v>43795</v>
      </c>
      <c r="N4" s="566">
        <v>43795</v>
      </c>
      <c r="O4" s="566">
        <v>43795</v>
      </c>
      <c r="P4" s="565">
        <v>44193</v>
      </c>
      <c r="Q4" s="565">
        <v>43837</v>
      </c>
      <c r="R4" s="567" t="s">
        <v>4095</v>
      </c>
      <c r="S4" s="568" t="s">
        <v>1771</v>
      </c>
      <c r="T4" s="569" t="s">
        <v>1771</v>
      </c>
      <c r="U4" s="570" t="s">
        <v>3218</v>
      </c>
      <c r="V4" s="564" t="s">
        <v>3146</v>
      </c>
      <c r="W4" s="571" t="s">
        <v>3031</v>
      </c>
      <c r="X4" s="425">
        <v>43819</v>
      </c>
      <c r="Y4" s="564" t="s">
        <v>3147</v>
      </c>
      <c r="Z4" s="564" t="s">
        <v>3147</v>
      </c>
      <c r="AA4" s="565">
        <v>43829</v>
      </c>
      <c r="AB4" s="564" t="s">
        <v>3252</v>
      </c>
      <c r="AC4" s="564" t="s">
        <v>3096</v>
      </c>
      <c r="AD4" s="564" t="s">
        <v>3364</v>
      </c>
      <c r="AE4" s="564" t="s">
        <v>2146</v>
      </c>
      <c r="AF4" s="572">
        <v>43836</v>
      </c>
      <c r="AG4" s="570">
        <v>8261.4168599999994</v>
      </c>
      <c r="AH4" s="561" t="s">
        <v>3332</v>
      </c>
      <c r="AI4" s="564" t="s">
        <v>3108</v>
      </c>
      <c r="AJ4" s="573">
        <v>203396.59</v>
      </c>
      <c r="AK4" s="573">
        <v>3280</v>
      </c>
      <c r="AL4" s="573">
        <v>15</v>
      </c>
      <c r="AM4" s="573">
        <f t="shared" si="0"/>
        <v>206691.59</v>
      </c>
      <c r="AN4" s="574">
        <v>4.0522</v>
      </c>
      <c r="AO4" s="575">
        <f t="shared" si="1"/>
        <v>837555.66099799995</v>
      </c>
      <c r="AP4" s="575">
        <v>25037.78</v>
      </c>
      <c r="AQ4" s="575">
        <v>87576.41</v>
      </c>
      <c r="AR4" s="575">
        <v>17588.68</v>
      </c>
      <c r="AS4" s="575">
        <v>80824.17</v>
      </c>
      <c r="AT4" s="575">
        <v>209449.4</v>
      </c>
      <c r="AU4" s="575">
        <v>0</v>
      </c>
      <c r="AV4" s="564">
        <v>14</v>
      </c>
      <c r="AW4" s="575">
        <v>450.5</v>
      </c>
      <c r="AX4" s="564" t="s">
        <v>3139</v>
      </c>
      <c r="AY4" s="434">
        <f t="shared" si="2"/>
        <v>43837</v>
      </c>
      <c r="AZ4" s="564" t="s">
        <v>1771</v>
      </c>
      <c r="BA4" s="575">
        <v>4285.8599999999997</v>
      </c>
      <c r="BB4" s="575">
        <f t="shared" si="3"/>
        <v>837555.66099799995</v>
      </c>
      <c r="BC4" s="575">
        <f t="shared" si="4"/>
        <v>1256333.491497</v>
      </c>
      <c r="BD4" s="576">
        <f t="shared" si="5"/>
        <v>2</v>
      </c>
      <c r="BE4" s="575">
        <f t="shared" si="6"/>
        <v>628166.74574849999</v>
      </c>
      <c r="BF4" s="575">
        <v>551.11</v>
      </c>
      <c r="BG4" s="575">
        <f t="shared" si="7"/>
        <v>40</v>
      </c>
      <c r="BH4" s="575">
        <f t="shared" si="8"/>
        <v>591.11</v>
      </c>
      <c r="BI4" s="577">
        <v>3770.88</v>
      </c>
      <c r="BJ4" s="522"/>
    </row>
    <row r="5" spans="1:62" s="523" customFormat="1" ht="144">
      <c r="A5" s="560" t="s">
        <v>5129</v>
      </c>
      <c r="B5" s="561" t="s">
        <v>3042</v>
      </c>
      <c r="C5" s="561" t="s">
        <v>3043</v>
      </c>
      <c r="D5" s="562" t="s">
        <v>3335</v>
      </c>
      <c r="E5" s="540" t="s">
        <v>3336</v>
      </c>
      <c r="F5" s="540" t="s">
        <v>4098</v>
      </c>
      <c r="G5" s="563" t="s">
        <v>3339</v>
      </c>
      <c r="H5" s="561" t="s">
        <v>3340</v>
      </c>
      <c r="I5" s="564" t="s">
        <v>1771</v>
      </c>
      <c r="J5" s="564">
        <v>1</v>
      </c>
      <c r="K5" s="561">
        <f>7+7+7+3+7+5+3+5</f>
        <v>44</v>
      </c>
      <c r="L5" s="561">
        <f>926.5+1030.8+930+144.94+927+778+144.36+781</f>
        <v>5662.5999999999995</v>
      </c>
      <c r="M5" s="565">
        <v>43801</v>
      </c>
      <c r="N5" s="566">
        <v>43800</v>
      </c>
      <c r="O5" s="566">
        <v>43800</v>
      </c>
      <c r="P5" s="565">
        <v>43833</v>
      </c>
      <c r="Q5" s="565">
        <v>43840</v>
      </c>
      <c r="R5" s="567" t="s">
        <v>4097</v>
      </c>
      <c r="S5" s="568" t="s">
        <v>1771</v>
      </c>
      <c r="T5" s="569" t="s">
        <v>1771</v>
      </c>
      <c r="U5" s="570" t="s">
        <v>3218</v>
      </c>
      <c r="V5" s="564" t="s">
        <v>3154</v>
      </c>
      <c r="W5" s="571" t="s">
        <v>3031</v>
      </c>
      <c r="X5" s="425">
        <v>43819</v>
      </c>
      <c r="Y5" s="564" t="s">
        <v>3337</v>
      </c>
      <c r="Z5" s="564" t="s">
        <v>3262</v>
      </c>
      <c r="AA5" s="565">
        <v>43836</v>
      </c>
      <c r="AB5" s="564" t="s">
        <v>3252</v>
      </c>
      <c r="AC5" s="564" t="s">
        <v>3096</v>
      </c>
      <c r="AD5" s="564" t="s">
        <v>3369</v>
      </c>
      <c r="AE5" s="564" t="s">
        <v>2146</v>
      </c>
      <c r="AF5" s="565">
        <v>43839</v>
      </c>
      <c r="AG5" s="570">
        <v>3893.5245399999999</v>
      </c>
      <c r="AH5" s="561" t="s">
        <v>3131</v>
      </c>
      <c r="AI5" s="564" t="s">
        <v>3108</v>
      </c>
      <c r="AJ5" s="573">
        <v>56057.47</v>
      </c>
      <c r="AK5" s="573">
        <v>1640</v>
      </c>
      <c r="AL5" s="573">
        <v>8</v>
      </c>
      <c r="AM5" s="573">
        <f t="shared" si="0"/>
        <v>57705.47</v>
      </c>
      <c r="AN5" s="574">
        <v>4.0671999999999997</v>
      </c>
      <c r="AO5" s="575">
        <f t="shared" si="1"/>
        <v>234699.687584</v>
      </c>
      <c r="AP5" s="575">
        <v>18775.98</v>
      </c>
      <c r="AQ5" s="575">
        <v>25347.55</v>
      </c>
      <c r="AR5" s="575">
        <v>4928.7</v>
      </c>
      <c r="AS5" s="575">
        <v>22648.52</v>
      </c>
      <c r="AT5" s="575">
        <v>62179.64</v>
      </c>
      <c r="AU5" s="575">
        <v>0</v>
      </c>
      <c r="AV5" s="564">
        <v>5</v>
      </c>
      <c r="AW5" s="575">
        <v>314.8</v>
      </c>
      <c r="AX5" s="564" t="s">
        <v>3139</v>
      </c>
      <c r="AY5" s="434">
        <f t="shared" si="2"/>
        <v>43840</v>
      </c>
      <c r="AZ5" s="564" t="s">
        <v>1771</v>
      </c>
      <c r="BA5" s="575">
        <v>1210.5</v>
      </c>
      <c r="BB5" s="575">
        <f t="shared" si="3"/>
        <v>234699.687584</v>
      </c>
      <c r="BC5" s="575">
        <f t="shared" si="4"/>
        <v>352049.53137600003</v>
      </c>
      <c r="BD5" s="576">
        <f t="shared" si="5"/>
        <v>1</v>
      </c>
      <c r="BE5" s="575">
        <f t="shared" si="6"/>
        <v>352049.53137600003</v>
      </c>
      <c r="BF5" s="575">
        <v>506.47</v>
      </c>
      <c r="BG5" s="575">
        <f t="shared" si="7"/>
        <v>-50</v>
      </c>
      <c r="BH5" s="575">
        <f t="shared" si="8"/>
        <v>456.47</v>
      </c>
      <c r="BI5" s="577">
        <v>1895.1</v>
      </c>
      <c r="BJ5" s="522"/>
    </row>
    <row r="6" spans="1:62" s="523" customFormat="1" ht="168">
      <c r="A6" s="560" t="s">
        <v>5130</v>
      </c>
      <c r="B6" s="561" t="s">
        <v>3042</v>
      </c>
      <c r="C6" s="561" t="s">
        <v>3043</v>
      </c>
      <c r="D6" s="562" t="s">
        <v>3342</v>
      </c>
      <c r="E6" s="540" t="s">
        <v>3343</v>
      </c>
      <c r="F6" s="540" t="s">
        <v>4100</v>
      </c>
      <c r="G6" s="563" t="s">
        <v>3346</v>
      </c>
      <c r="H6" s="561" t="s">
        <v>3345</v>
      </c>
      <c r="I6" s="564" t="s">
        <v>1771</v>
      </c>
      <c r="J6" s="564">
        <v>2</v>
      </c>
      <c r="K6" s="561">
        <f>10+10+6+2+1+2+2+11+14+9+7+5+9+5</f>
        <v>93</v>
      </c>
      <c r="L6" s="561">
        <f>838+844+176.4+129.5+65.5+130+129+1321.8+1836+1895+946+274.42+1463+876.5</f>
        <v>10925.12</v>
      </c>
      <c r="M6" s="565">
        <v>43808</v>
      </c>
      <c r="N6" s="566">
        <v>43809</v>
      </c>
      <c r="O6" s="566">
        <v>43809</v>
      </c>
      <c r="P6" s="565">
        <v>43840</v>
      </c>
      <c r="Q6" s="565">
        <v>43844</v>
      </c>
      <c r="R6" s="567" t="s">
        <v>4099</v>
      </c>
      <c r="S6" s="568" t="s">
        <v>1771</v>
      </c>
      <c r="T6" s="569" t="s">
        <v>1771</v>
      </c>
      <c r="U6" s="570" t="s">
        <v>3218</v>
      </c>
      <c r="V6" s="564" t="s">
        <v>3146</v>
      </c>
      <c r="W6" s="571" t="s">
        <v>3031</v>
      </c>
      <c r="X6" s="425">
        <v>43837</v>
      </c>
      <c r="Y6" s="564" t="s">
        <v>3147</v>
      </c>
      <c r="Z6" s="564" t="s">
        <v>3147</v>
      </c>
      <c r="AA6" s="565">
        <v>43843</v>
      </c>
      <c r="AB6" s="564" t="s">
        <v>3252</v>
      </c>
      <c r="AC6" s="564" t="s">
        <v>3096</v>
      </c>
      <c r="AD6" s="564" t="s">
        <v>3379</v>
      </c>
      <c r="AE6" s="564" t="s">
        <v>2146</v>
      </c>
      <c r="AF6" s="565">
        <v>43843</v>
      </c>
      <c r="AG6" s="570">
        <v>7243.9045400000005</v>
      </c>
      <c r="AH6" s="561" t="s">
        <v>3344</v>
      </c>
      <c r="AI6" s="564" t="s">
        <v>3108</v>
      </c>
      <c r="AJ6" s="573">
        <v>167215.91</v>
      </c>
      <c r="AK6" s="573">
        <v>3280</v>
      </c>
      <c r="AL6" s="573">
        <v>14</v>
      </c>
      <c r="AM6" s="573">
        <f t="shared" si="0"/>
        <v>170509.91</v>
      </c>
      <c r="AN6" s="574">
        <v>4.0744999999999996</v>
      </c>
      <c r="AO6" s="575">
        <f t="shared" si="1"/>
        <v>694742.62829499994</v>
      </c>
      <c r="AP6" s="575">
        <v>50439.68</v>
      </c>
      <c r="AQ6" s="575">
        <v>74919.929999999993</v>
      </c>
      <c r="AR6" s="575">
        <v>14589.58</v>
      </c>
      <c r="AS6" s="575">
        <v>67042.66</v>
      </c>
      <c r="AT6" s="575">
        <v>182423.56</v>
      </c>
      <c r="AU6" s="575">
        <v>0</v>
      </c>
      <c r="AV6" s="564">
        <v>13</v>
      </c>
      <c r="AW6" s="575">
        <v>438.7</v>
      </c>
      <c r="AX6" s="564" t="s">
        <v>3139</v>
      </c>
      <c r="AY6" s="434">
        <f t="shared" si="2"/>
        <v>43844</v>
      </c>
      <c r="AZ6" s="564" t="s">
        <v>1771</v>
      </c>
      <c r="BA6" s="575">
        <v>3952.76</v>
      </c>
      <c r="BB6" s="575">
        <f t="shared" si="3"/>
        <v>694742.62829499994</v>
      </c>
      <c r="BC6" s="575">
        <f t="shared" si="4"/>
        <v>1042113.9424424999</v>
      </c>
      <c r="BD6" s="576">
        <f t="shared" si="5"/>
        <v>2</v>
      </c>
      <c r="BE6" s="575">
        <f t="shared" si="6"/>
        <v>521056.97122124996</v>
      </c>
      <c r="BF6" s="575">
        <v>542.20000000000005</v>
      </c>
      <c r="BG6" s="575">
        <f t="shared" si="7"/>
        <v>30</v>
      </c>
      <c r="BH6" s="575">
        <f t="shared" si="8"/>
        <v>572.20000000000005</v>
      </c>
      <c r="BI6" s="577">
        <v>3787.28</v>
      </c>
      <c r="BJ6" s="522"/>
    </row>
    <row r="7" spans="1:62" s="523" customFormat="1" ht="156">
      <c r="A7" s="560" t="s">
        <v>5131</v>
      </c>
      <c r="B7" s="561" t="s">
        <v>3042</v>
      </c>
      <c r="C7" s="561" t="s">
        <v>3043</v>
      </c>
      <c r="D7" s="562" t="s">
        <v>3348</v>
      </c>
      <c r="E7" s="540" t="s">
        <v>3349</v>
      </c>
      <c r="F7" s="540"/>
      <c r="G7" s="563" t="s">
        <v>3356</v>
      </c>
      <c r="H7" s="561" t="s">
        <v>3355</v>
      </c>
      <c r="I7" s="564" t="s">
        <v>1771</v>
      </c>
      <c r="J7" s="564">
        <v>2</v>
      </c>
      <c r="K7" s="561">
        <f>5+9+10+5+9+5+5+9+5+5+9+5</f>
        <v>81</v>
      </c>
      <c r="L7" s="561">
        <f>346.5+1881+1290.2+283.5+1480.5+916+268.8+1473.5+890+267.74+1473.5+860</f>
        <v>11431.24</v>
      </c>
      <c r="M7" s="565">
        <v>43815</v>
      </c>
      <c r="N7" s="566">
        <v>44180</v>
      </c>
      <c r="O7" s="566">
        <v>43816</v>
      </c>
      <c r="P7" s="565">
        <v>43847</v>
      </c>
      <c r="Q7" s="565">
        <v>43852</v>
      </c>
      <c r="R7" s="567" t="s">
        <v>3395</v>
      </c>
      <c r="S7" s="568" t="s">
        <v>1771</v>
      </c>
      <c r="T7" s="569" t="s">
        <v>1771</v>
      </c>
      <c r="U7" s="570" t="s">
        <v>3218</v>
      </c>
      <c r="V7" s="564" t="s">
        <v>3154</v>
      </c>
      <c r="W7" s="571" t="s">
        <v>3031</v>
      </c>
      <c r="X7" s="425">
        <v>43847</v>
      </c>
      <c r="Y7" s="564" t="s">
        <v>3337</v>
      </c>
      <c r="Z7" s="564" t="s">
        <v>3341</v>
      </c>
      <c r="AA7" s="565">
        <v>43850</v>
      </c>
      <c r="AB7" s="564" t="s">
        <v>3252</v>
      </c>
      <c r="AC7" s="564" t="s">
        <v>3096</v>
      </c>
      <c r="AD7" s="564" t="s">
        <v>3394</v>
      </c>
      <c r="AE7" s="564" t="s">
        <v>2146</v>
      </c>
      <c r="AF7" s="565">
        <v>43851</v>
      </c>
      <c r="AG7" s="570">
        <v>8089.7245400000002</v>
      </c>
      <c r="AH7" s="561" t="s">
        <v>3350</v>
      </c>
      <c r="AI7" s="564" t="s">
        <v>3108</v>
      </c>
      <c r="AJ7" s="573">
        <v>209914.09</v>
      </c>
      <c r="AK7" s="573">
        <v>3280</v>
      </c>
      <c r="AL7" s="573">
        <v>12</v>
      </c>
      <c r="AM7" s="573">
        <f t="shared" si="0"/>
        <v>213206.09</v>
      </c>
      <c r="AN7" s="574">
        <v>4.1829000000000001</v>
      </c>
      <c r="AO7" s="575">
        <f t="shared" si="1"/>
        <v>891819.75386099995</v>
      </c>
      <c r="AP7" s="575">
        <v>51300.76</v>
      </c>
      <c r="AQ7" s="575">
        <v>94579.77</v>
      </c>
      <c r="AR7" s="575">
        <v>18728.23</v>
      </c>
      <c r="AS7" s="575">
        <v>86060.6</v>
      </c>
      <c r="AT7" s="575">
        <v>230968.44</v>
      </c>
      <c r="AU7" s="575">
        <v>0</v>
      </c>
      <c r="AV7" s="564">
        <v>10</v>
      </c>
      <c r="AW7" s="575">
        <v>403.3</v>
      </c>
      <c r="AX7" s="564" t="s">
        <v>3139</v>
      </c>
      <c r="AY7" s="434">
        <f t="shared" si="2"/>
        <v>43852</v>
      </c>
      <c r="AZ7" s="564" t="s">
        <v>1771</v>
      </c>
      <c r="BA7" s="575">
        <v>2421</v>
      </c>
      <c r="BB7" s="575">
        <f t="shared" si="3"/>
        <v>891819.75386099995</v>
      </c>
      <c r="BC7" s="575">
        <f t="shared" si="4"/>
        <v>1337729.6307915</v>
      </c>
      <c r="BD7" s="576">
        <f t="shared" si="5"/>
        <v>2</v>
      </c>
      <c r="BE7" s="575">
        <f t="shared" si="6"/>
        <v>668864.81539574999</v>
      </c>
      <c r="BF7" s="575">
        <v>506.47</v>
      </c>
      <c r="BG7" s="575">
        <f t="shared" si="7"/>
        <v>0</v>
      </c>
      <c r="BH7" s="575">
        <f t="shared" si="8"/>
        <v>506.47</v>
      </c>
      <c r="BI7" s="577">
        <v>3876.83</v>
      </c>
      <c r="BJ7" s="522"/>
    </row>
    <row r="8" spans="1:62" s="523" customFormat="1" ht="144">
      <c r="A8" s="560" t="s">
        <v>5132</v>
      </c>
      <c r="B8" s="561" t="s">
        <v>3042</v>
      </c>
      <c r="C8" s="561" t="s">
        <v>3043</v>
      </c>
      <c r="D8" s="562" t="s">
        <v>3362</v>
      </c>
      <c r="E8" s="540" t="s">
        <v>3363</v>
      </c>
      <c r="F8" s="540" t="s">
        <v>4102</v>
      </c>
      <c r="G8" s="563" t="s">
        <v>3368</v>
      </c>
      <c r="H8" s="561" t="s">
        <v>3367</v>
      </c>
      <c r="I8" s="564" t="s">
        <v>1771</v>
      </c>
      <c r="J8" s="564">
        <v>1</v>
      </c>
      <c r="K8" s="561">
        <f>5+9+5+2+5+4+9+3+5+1+2+5</f>
        <v>55</v>
      </c>
      <c r="L8" s="561">
        <f>283.5+1485+858+117.28+785.5+233.74+1573+139.44+793.5+20.7+118.86+787.5</f>
        <v>7196.0199999999995</v>
      </c>
      <c r="M8" s="565">
        <v>43836</v>
      </c>
      <c r="N8" s="566">
        <v>43821</v>
      </c>
      <c r="O8" s="566">
        <v>43821</v>
      </c>
      <c r="P8" s="565">
        <v>43854</v>
      </c>
      <c r="Q8" s="565">
        <v>43859</v>
      </c>
      <c r="R8" s="567" t="s">
        <v>4101</v>
      </c>
      <c r="S8" s="568" t="s">
        <v>1771</v>
      </c>
      <c r="T8" s="569" t="s">
        <v>1771</v>
      </c>
      <c r="U8" s="570" t="s">
        <v>3218</v>
      </c>
      <c r="V8" s="564" t="s">
        <v>3154</v>
      </c>
      <c r="W8" s="571" t="s">
        <v>3031</v>
      </c>
      <c r="X8" s="425">
        <v>43854</v>
      </c>
      <c r="Y8" s="564" t="s">
        <v>3337</v>
      </c>
      <c r="Z8" s="564" t="s">
        <v>3341</v>
      </c>
      <c r="AA8" s="565">
        <v>43854</v>
      </c>
      <c r="AB8" s="564" t="s">
        <v>3252</v>
      </c>
      <c r="AC8" s="564" t="s">
        <v>3096</v>
      </c>
      <c r="AD8" s="564" t="s">
        <v>3396</v>
      </c>
      <c r="AE8" s="564" t="s">
        <v>2146</v>
      </c>
      <c r="AF8" s="565">
        <v>43857</v>
      </c>
      <c r="AG8" s="570">
        <v>5289.0393999999997</v>
      </c>
      <c r="AH8" s="561" t="s">
        <v>3131</v>
      </c>
      <c r="AI8" s="564" t="s">
        <v>3108</v>
      </c>
      <c r="AJ8" s="573">
        <v>191888.13</v>
      </c>
      <c r="AK8" s="573">
        <v>1640</v>
      </c>
      <c r="AL8" s="573">
        <v>12</v>
      </c>
      <c r="AM8" s="573">
        <f t="shared" si="0"/>
        <v>193540.13</v>
      </c>
      <c r="AN8" s="574">
        <v>4.1768999999999998</v>
      </c>
      <c r="AO8" s="575">
        <f t="shared" si="1"/>
        <v>808397.76899699995</v>
      </c>
      <c r="AP8" s="575">
        <v>8906.23</v>
      </c>
      <c r="AQ8" s="575">
        <v>81723.259999999995</v>
      </c>
      <c r="AR8" s="575">
        <v>16976.37</v>
      </c>
      <c r="AS8" s="575">
        <v>78010.39</v>
      </c>
      <c r="AT8" s="575">
        <v>200769.87</v>
      </c>
      <c r="AU8" s="575">
        <v>0</v>
      </c>
      <c r="AV8" s="564">
        <v>9</v>
      </c>
      <c r="AW8" s="575">
        <v>385.6</v>
      </c>
      <c r="AX8" s="564" t="s">
        <v>3139</v>
      </c>
      <c r="AY8" s="434">
        <f t="shared" si="2"/>
        <v>43859</v>
      </c>
      <c r="AZ8" s="564" t="s">
        <v>1771</v>
      </c>
      <c r="BA8" s="575">
        <v>1210.5</v>
      </c>
      <c r="BB8" s="575">
        <f t="shared" si="3"/>
        <v>808397.76899699995</v>
      </c>
      <c r="BC8" s="575">
        <f t="shared" si="4"/>
        <v>1212596.6534954999</v>
      </c>
      <c r="BD8" s="576">
        <f t="shared" si="5"/>
        <v>1</v>
      </c>
      <c r="BE8" s="575">
        <f t="shared" si="6"/>
        <v>1212596.6534954999</v>
      </c>
      <c r="BF8" s="575">
        <v>506.47</v>
      </c>
      <c r="BG8" s="575">
        <f t="shared" si="7"/>
        <v>-10</v>
      </c>
      <c r="BH8" s="575">
        <f t="shared" si="8"/>
        <v>496.47</v>
      </c>
      <c r="BI8" s="577">
        <v>1941.84</v>
      </c>
      <c r="BJ8" s="522"/>
    </row>
    <row r="9" spans="1:62" s="523" customFormat="1" ht="144">
      <c r="A9" s="560" t="s">
        <v>5133</v>
      </c>
      <c r="B9" s="561" t="s">
        <v>3042</v>
      </c>
      <c r="C9" s="561" t="s">
        <v>3043</v>
      </c>
      <c r="D9" s="562" t="s">
        <v>3357</v>
      </c>
      <c r="E9" s="540" t="s">
        <v>3358</v>
      </c>
      <c r="F9" s="540" t="s">
        <v>4104</v>
      </c>
      <c r="G9" s="563" t="s">
        <v>3381</v>
      </c>
      <c r="H9" s="561" t="s">
        <v>3380</v>
      </c>
      <c r="I9" s="564" t="s">
        <v>1771</v>
      </c>
      <c r="J9" s="564">
        <v>1</v>
      </c>
      <c r="K9" s="561">
        <f>7+14+4+8+12+5</f>
        <v>50</v>
      </c>
      <c r="L9" s="561">
        <f>1017.3+1835+527.8+910.5+1339.6+322.5</f>
        <v>5952.7000000000007</v>
      </c>
      <c r="M9" s="565">
        <v>43836</v>
      </c>
      <c r="N9" s="566">
        <v>43834</v>
      </c>
      <c r="O9" s="566">
        <v>43834</v>
      </c>
      <c r="P9" s="565">
        <v>43867</v>
      </c>
      <c r="Q9" s="565">
        <v>43873</v>
      </c>
      <c r="R9" s="567" t="s">
        <v>4103</v>
      </c>
      <c r="S9" s="568" t="s">
        <v>1771</v>
      </c>
      <c r="T9" s="569" t="s">
        <v>1771</v>
      </c>
      <c r="U9" s="570" t="s">
        <v>3218</v>
      </c>
      <c r="V9" s="564" t="s">
        <v>3154</v>
      </c>
      <c r="W9" s="571" t="s">
        <v>3031</v>
      </c>
      <c r="X9" s="425">
        <v>43868</v>
      </c>
      <c r="Y9" s="564" t="s">
        <v>3337</v>
      </c>
      <c r="Z9" s="564" t="s">
        <v>3341</v>
      </c>
      <c r="AA9" s="565">
        <v>43871</v>
      </c>
      <c r="AB9" s="564" t="s">
        <v>3252</v>
      </c>
      <c r="AC9" s="564" t="s">
        <v>3096</v>
      </c>
      <c r="AD9" s="564" t="s">
        <v>3403</v>
      </c>
      <c r="AE9" s="564" t="s">
        <v>2146</v>
      </c>
      <c r="AF9" s="565">
        <v>43871</v>
      </c>
      <c r="AG9" s="570">
        <v>4011.3113499999999</v>
      </c>
      <c r="AH9" s="561" t="s">
        <v>3359</v>
      </c>
      <c r="AI9" s="564" t="s">
        <v>3108</v>
      </c>
      <c r="AJ9" s="573">
        <v>41094.29</v>
      </c>
      <c r="AK9" s="573">
        <v>1846</v>
      </c>
      <c r="AL9" s="573">
        <v>6</v>
      </c>
      <c r="AM9" s="573">
        <f t="shared" si="0"/>
        <v>42946.29</v>
      </c>
      <c r="AN9" s="574">
        <v>4.3075999999999999</v>
      </c>
      <c r="AO9" s="575">
        <f t="shared" si="1"/>
        <v>184995.438804</v>
      </c>
      <c r="AP9" s="575">
        <v>15179.91</v>
      </c>
      <c r="AQ9" s="575">
        <v>20293.21</v>
      </c>
      <c r="AR9" s="575">
        <v>3884.91</v>
      </c>
      <c r="AS9" s="575">
        <v>17852.060000000001</v>
      </c>
      <c r="AT9" s="575">
        <v>49277.02</v>
      </c>
      <c r="AU9" s="575">
        <v>0</v>
      </c>
      <c r="AV9" s="564">
        <v>7</v>
      </c>
      <c r="AW9" s="575">
        <v>350.2</v>
      </c>
      <c r="AX9" s="564" t="s">
        <v>3139</v>
      </c>
      <c r="AY9" s="434">
        <f t="shared" si="2"/>
        <v>43873</v>
      </c>
      <c r="AZ9" s="564" t="s">
        <v>1771</v>
      </c>
      <c r="BA9" s="575">
        <v>1210.5</v>
      </c>
      <c r="BB9" s="575">
        <f t="shared" si="3"/>
        <v>184995.438804</v>
      </c>
      <c r="BC9" s="575">
        <f t="shared" si="4"/>
        <v>277493.15820599999</v>
      </c>
      <c r="BD9" s="576">
        <f t="shared" si="5"/>
        <v>1</v>
      </c>
      <c r="BE9" s="575">
        <f t="shared" si="6"/>
        <v>277493.15820599999</v>
      </c>
      <c r="BF9" s="575">
        <v>506.47</v>
      </c>
      <c r="BG9" s="575">
        <f t="shared" si="7"/>
        <v>-30</v>
      </c>
      <c r="BH9" s="575">
        <f t="shared" si="8"/>
        <v>476.47</v>
      </c>
      <c r="BI9" s="577">
        <v>2221.65</v>
      </c>
      <c r="BJ9" s="522"/>
    </row>
    <row r="10" spans="1:62" s="523" customFormat="1" ht="180">
      <c r="A10" s="560" t="s">
        <v>5134</v>
      </c>
      <c r="B10" s="561" t="s">
        <v>3042</v>
      </c>
      <c r="C10" s="561" t="s">
        <v>3043</v>
      </c>
      <c r="D10" s="562" t="s">
        <v>3376</v>
      </c>
      <c r="E10" s="540" t="s">
        <v>3377</v>
      </c>
      <c r="F10" s="540" t="s">
        <v>4106</v>
      </c>
      <c r="G10" s="563" t="s">
        <v>3391</v>
      </c>
      <c r="H10" s="561" t="s">
        <v>3388</v>
      </c>
      <c r="I10" s="564" t="s">
        <v>1771</v>
      </c>
      <c r="J10" s="564">
        <v>2</v>
      </c>
      <c r="K10" s="561">
        <f>7+7+5+5+14+7+5+8+17+5</f>
        <v>80</v>
      </c>
      <c r="L10" s="561">
        <f>890+882+316+316.5+1792+1020+980.5+670.8+2932.5+890.5</f>
        <v>10690.8</v>
      </c>
      <c r="M10" s="565">
        <v>43843</v>
      </c>
      <c r="N10" s="566">
        <v>43842</v>
      </c>
      <c r="O10" s="566">
        <v>43842</v>
      </c>
      <c r="P10" s="565">
        <v>43876</v>
      </c>
      <c r="Q10" s="565">
        <v>43880</v>
      </c>
      <c r="R10" s="567" t="s">
        <v>4105</v>
      </c>
      <c r="S10" s="568" t="s">
        <v>1771</v>
      </c>
      <c r="T10" s="569" t="s">
        <v>1771</v>
      </c>
      <c r="U10" s="570" t="s">
        <v>3218</v>
      </c>
      <c r="V10" s="564" t="s">
        <v>3154</v>
      </c>
      <c r="W10" s="571" t="s">
        <v>3031</v>
      </c>
      <c r="X10" s="425">
        <v>43873</v>
      </c>
      <c r="Y10" s="564" t="s">
        <v>3337</v>
      </c>
      <c r="Z10" s="564" t="s">
        <v>3406</v>
      </c>
      <c r="AA10" s="565">
        <v>43879</v>
      </c>
      <c r="AB10" s="564" t="s">
        <v>3252</v>
      </c>
      <c r="AC10" s="564" t="s">
        <v>3096</v>
      </c>
      <c r="AD10" s="564" t="s">
        <v>3407</v>
      </c>
      <c r="AE10" s="564" t="s">
        <v>2146</v>
      </c>
      <c r="AF10" s="565">
        <v>43879</v>
      </c>
      <c r="AG10" s="570">
        <v>7475.0778700000001</v>
      </c>
      <c r="AH10" s="561" t="s">
        <v>3378</v>
      </c>
      <c r="AI10" s="564" t="s">
        <v>3108</v>
      </c>
      <c r="AJ10" s="573">
        <v>131839.29</v>
      </c>
      <c r="AK10" s="573">
        <v>3692</v>
      </c>
      <c r="AL10" s="573">
        <v>10</v>
      </c>
      <c r="AM10" s="573">
        <f t="shared" si="0"/>
        <v>135541.29</v>
      </c>
      <c r="AN10" s="574">
        <v>4.3156999999999996</v>
      </c>
      <c r="AO10" s="575">
        <f t="shared" si="1"/>
        <v>584955.54525299999</v>
      </c>
      <c r="AP10" s="575">
        <v>40537.5</v>
      </c>
      <c r="AQ10" s="575">
        <v>63101.99</v>
      </c>
      <c r="AR10" s="575">
        <v>12284.06</v>
      </c>
      <c r="AS10" s="575">
        <v>56448.22</v>
      </c>
      <c r="AT10" s="575">
        <v>153447.93</v>
      </c>
      <c r="AU10" s="575">
        <v>0</v>
      </c>
      <c r="AV10" s="564">
        <v>9</v>
      </c>
      <c r="AW10" s="575">
        <v>385.6</v>
      </c>
      <c r="AX10" s="564" t="s">
        <v>3139</v>
      </c>
      <c r="AY10" s="434">
        <f t="shared" si="2"/>
        <v>43880</v>
      </c>
      <c r="AZ10" s="564" t="s">
        <v>1771</v>
      </c>
      <c r="BA10" s="575">
        <v>2421</v>
      </c>
      <c r="BB10" s="575">
        <f t="shared" si="3"/>
        <v>584955.54525299999</v>
      </c>
      <c r="BC10" s="575">
        <f t="shared" si="4"/>
        <v>877433.31787949998</v>
      </c>
      <c r="BD10" s="576">
        <f t="shared" si="5"/>
        <v>2</v>
      </c>
      <c r="BE10" s="575">
        <f t="shared" si="6"/>
        <v>438716.65893974999</v>
      </c>
      <c r="BF10" s="575">
        <v>506.47</v>
      </c>
      <c r="BG10" s="575">
        <f t="shared" si="7"/>
        <v>-10</v>
      </c>
      <c r="BH10" s="575">
        <f t="shared" si="8"/>
        <v>496.47</v>
      </c>
      <c r="BI10" s="577">
        <v>4429.59</v>
      </c>
      <c r="BJ10" s="522"/>
    </row>
    <row r="11" spans="1:62" s="523" customFormat="1" ht="156">
      <c r="A11" s="560" t="s">
        <v>5135</v>
      </c>
      <c r="B11" s="561" t="s">
        <v>3042</v>
      </c>
      <c r="C11" s="561" t="s">
        <v>3043</v>
      </c>
      <c r="D11" s="562" t="s">
        <v>3360</v>
      </c>
      <c r="E11" s="540" t="s">
        <v>3361</v>
      </c>
      <c r="F11" s="540" t="s">
        <v>4108</v>
      </c>
      <c r="G11" s="563" t="s">
        <v>3387</v>
      </c>
      <c r="H11" s="561" t="s">
        <v>3388</v>
      </c>
      <c r="I11" s="564" t="s">
        <v>1771</v>
      </c>
      <c r="J11" s="564">
        <v>1</v>
      </c>
      <c r="K11" s="561">
        <f>13+3+7+5+5</f>
        <v>33</v>
      </c>
      <c r="L11" s="561">
        <f>1674+582.5+894.5+323+323</f>
        <v>3797</v>
      </c>
      <c r="M11" s="565">
        <v>43836</v>
      </c>
      <c r="N11" s="566">
        <v>43836</v>
      </c>
      <c r="O11" s="566">
        <v>43836</v>
      </c>
      <c r="P11" s="565">
        <v>43876</v>
      </c>
      <c r="Q11" s="565">
        <v>43880</v>
      </c>
      <c r="R11" s="567" t="s">
        <v>4107</v>
      </c>
      <c r="S11" s="568" t="s">
        <v>1771</v>
      </c>
      <c r="T11" s="569" t="s">
        <v>1771</v>
      </c>
      <c r="U11" s="570" t="s">
        <v>3218</v>
      </c>
      <c r="V11" s="564" t="s">
        <v>3154</v>
      </c>
      <c r="W11" s="571" t="s">
        <v>3031</v>
      </c>
      <c r="X11" s="425">
        <v>43871</v>
      </c>
      <c r="Y11" s="564" t="s">
        <v>3337</v>
      </c>
      <c r="Z11" s="564" t="s">
        <v>3406</v>
      </c>
      <c r="AA11" s="565">
        <v>43879</v>
      </c>
      <c r="AB11" s="564" t="s">
        <v>3252</v>
      </c>
      <c r="AC11" s="564" t="s">
        <v>3096</v>
      </c>
      <c r="AD11" s="564" t="s">
        <v>3408</v>
      </c>
      <c r="AE11" s="564" t="s">
        <v>2146</v>
      </c>
      <c r="AF11" s="565">
        <v>43879</v>
      </c>
      <c r="AG11" s="570">
        <v>2336.6999999999998</v>
      </c>
      <c r="AH11" s="561" t="s">
        <v>3359</v>
      </c>
      <c r="AI11" s="564" t="s">
        <v>3108</v>
      </c>
      <c r="AJ11" s="573">
        <v>46249.919999999998</v>
      </c>
      <c r="AK11" s="573">
        <v>1846</v>
      </c>
      <c r="AL11" s="573">
        <v>5</v>
      </c>
      <c r="AM11" s="573">
        <f t="shared" si="0"/>
        <v>48100.92</v>
      </c>
      <c r="AN11" s="574">
        <v>4.3156999999999996</v>
      </c>
      <c r="AO11" s="575">
        <f t="shared" si="1"/>
        <v>207589.14044399999</v>
      </c>
      <c r="AP11" s="575">
        <v>17372.79</v>
      </c>
      <c r="AQ11" s="575">
        <v>23051.279999999999</v>
      </c>
      <c r="AR11" s="575">
        <v>4359.38</v>
      </c>
      <c r="AS11" s="575">
        <v>20032.349999999999</v>
      </c>
      <c r="AT11" s="575">
        <v>55288.61</v>
      </c>
      <c r="AU11" s="575">
        <v>0</v>
      </c>
      <c r="AV11" s="564">
        <v>4</v>
      </c>
      <c r="AW11" s="575">
        <v>291.2</v>
      </c>
      <c r="AX11" s="564" t="s">
        <v>3139</v>
      </c>
      <c r="AY11" s="434">
        <f t="shared" si="2"/>
        <v>43880</v>
      </c>
      <c r="AZ11" s="564" t="s">
        <v>1771</v>
      </c>
      <c r="BA11" s="575">
        <v>1210.5</v>
      </c>
      <c r="BB11" s="575">
        <f t="shared" si="3"/>
        <v>207589.14044399999</v>
      </c>
      <c r="BC11" s="575">
        <f t="shared" si="4"/>
        <v>311383.71066599997</v>
      </c>
      <c r="BD11" s="576">
        <f t="shared" si="5"/>
        <v>1</v>
      </c>
      <c r="BE11" s="575">
        <f t="shared" si="6"/>
        <v>311383.71066599997</v>
      </c>
      <c r="BF11" s="575">
        <v>506.47</v>
      </c>
      <c r="BG11" s="575">
        <f t="shared" si="7"/>
        <v>-60</v>
      </c>
      <c r="BH11" s="575">
        <f t="shared" si="8"/>
        <v>446.47</v>
      </c>
      <c r="BI11" s="577">
        <v>2225.39</v>
      </c>
      <c r="BJ11" s="522"/>
    </row>
    <row r="12" spans="1:62" s="523" customFormat="1" ht="156">
      <c r="A12" s="560" t="s">
        <v>5136</v>
      </c>
      <c r="B12" s="561" t="s">
        <v>3042</v>
      </c>
      <c r="C12" s="561" t="s">
        <v>3043</v>
      </c>
      <c r="D12" s="562" t="s">
        <v>3370</v>
      </c>
      <c r="E12" s="540" t="s">
        <v>3371</v>
      </c>
      <c r="F12" s="540" t="s">
        <v>4110</v>
      </c>
      <c r="G12" s="563" t="s">
        <v>3389</v>
      </c>
      <c r="H12" s="561" t="s">
        <v>3388</v>
      </c>
      <c r="I12" s="564" t="s">
        <v>1771</v>
      </c>
      <c r="J12" s="564">
        <v>1</v>
      </c>
      <c r="K12" s="561">
        <f>7+4+9+5+1+4+9+5+1+4+4+9</f>
        <v>62</v>
      </c>
      <c r="L12" s="561">
        <f>987.18+247.6+1465+872+25.5+248.72+1466.5+876+25+553+502.38+1920.5</f>
        <v>9189.380000000001</v>
      </c>
      <c r="M12" s="565">
        <v>43839</v>
      </c>
      <c r="N12" s="566">
        <v>43840</v>
      </c>
      <c r="O12" s="566">
        <v>43840</v>
      </c>
      <c r="P12" s="565">
        <v>43876</v>
      </c>
      <c r="Q12" s="565">
        <v>43880</v>
      </c>
      <c r="R12" s="567" t="s">
        <v>4109</v>
      </c>
      <c r="S12" s="568" t="s">
        <v>1771</v>
      </c>
      <c r="T12" s="569" t="s">
        <v>1771</v>
      </c>
      <c r="U12" s="570" t="s">
        <v>3218</v>
      </c>
      <c r="V12" s="564" t="s">
        <v>3154</v>
      </c>
      <c r="W12" s="571" t="s">
        <v>3031</v>
      </c>
      <c r="X12" s="425">
        <v>43875</v>
      </c>
      <c r="Y12" s="564" t="s">
        <v>3337</v>
      </c>
      <c r="Z12" s="564" t="s">
        <v>3406</v>
      </c>
      <c r="AA12" s="565">
        <v>43879</v>
      </c>
      <c r="AB12" s="564" t="s">
        <v>3252</v>
      </c>
      <c r="AC12" s="564" t="s">
        <v>3096</v>
      </c>
      <c r="AD12" s="564" t="s">
        <v>3409</v>
      </c>
      <c r="AE12" s="564" t="s">
        <v>2146</v>
      </c>
      <c r="AF12" s="565">
        <v>43879</v>
      </c>
      <c r="AG12" s="570">
        <v>6787.4554099999996</v>
      </c>
      <c r="AH12" s="561" t="s">
        <v>3131</v>
      </c>
      <c r="AI12" s="564" t="s">
        <v>3108</v>
      </c>
      <c r="AJ12" s="573">
        <v>174596.17</v>
      </c>
      <c r="AK12" s="573">
        <v>1846</v>
      </c>
      <c r="AL12" s="573">
        <v>12</v>
      </c>
      <c r="AM12" s="573">
        <f t="shared" si="0"/>
        <v>176454.17</v>
      </c>
      <c r="AN12" s="574">
        <v>4.3156999999999996</v>
      </c>
      <c r="AO12" s="575">
        <f t="shared" si="1"/>
        <v>761523.26146900002</v>
      </c>
      <c r="AP12" s="575">
        <v>46889.86</v>
      </c>
      <c r="AQ12" s="575">
        <v>80841.279999999999</v>
      </c>
      <c r="AR12" s="575">
        <v>15992</v>
      </c>
      <c r="AS12" s="575">
        <v>73487.02</v>
      </c>
      <c r="AT12" s="575">
        <v>197675.33</v>
      </c>
      <c r="AU12" s="575">
        <v>0</v>
      </c>
      <c r="AV12" s="564">
        <v>10</v>
      </c>
      <c r="AW12" s="575">
        <v>403.3</v>
      </c>
      <c r="AX12" s="564" t="s">
        <v>3139</v>
      </c>
      <c r="AY12" s="434">
        <f t="shared" si="2"/>
        <v>43880</v>
      </c>
      <c r="AZ12" s="564" t="s">
        <v>1771</v>
      </c>
      <c r="BA12" s="575">
        <v>1210.5</v>
      </c>
      <c r="BB12" s="575">
        <f t="shared" si="3"/>
        <v>761523.26146900002</v>
      </c>
      <c r="BC12" s="575">
        <f t="shared" si="4"/>
        <v>1142284.8922035</v>
      </c>
      <c r="BD12" s="576">
        <f t="shared" si="5"/>
        <v>1</v>
      </c>
      <c r="BE12" s="575">
        <f t="shared" si="6"/>
        <v>1142284.8922035</v>
      </c>
      <c r="BF12" s="575">
        <v>506.47</v>
      </c>
      <c r="BG12" s="575">
        <f t="shared" si="7"/>
        <v>0</v>
      </c>
      <c r="BH12" s="575">
        <f t="shared" si="8"/>
        <v>506.47</v>
      </c>
      <c r="BI12" s="577">
        <v>2225.39</v>
      </c>
      <c r="BJ12" s="522"/>
    </row>
    <row r="13" spans="1:62" s="523" customFormat="1" ht="156">
      <c r="A13" s="560" t="s">
        <v>5137</v>
      </c>
      <c r="B13" s="561" t="s">
        <v>3042</v>
      </c>
      <c r="C13" s="561" t="s">
        <v>3043</v>
      </c>
      <c r="D13" s="562" t="s">
        <v>3372</v>
      </c>
      <c r="E13" s="540" t="s">
        <v>3373</v>
      </c>
      <c r="F13" s="540" t="s">
        <v>4112</v>
      </c>
      <c r="G13" s="563" t="s">
        <v>3390</v>
      </c>
      <c r="H13" s="561" t="s">
        <v>3388</v>
      </c>
      <c r="I13" s="564" t="s">
        <v>1771</v>
      </c>
      <c r="J13" s="564">
        <v>1</v>
      </c>
      <c r="K13" s="561">
        <f>14+2+6+1+2+10+9+10+5</f>
        <v>59</v>
      </c>
      <c r="L13" s="561">
        <f>1816+158.5+979.67+54+151+1106.92+1895+1149.04+888</f>
        <v>8198.130000000001</v>
      </c>
      <c r="M13" s="565">
        <v>43840</v>
      </c>
      <c r="N13" s="566">
        <v>43840</v>
      </c>
      <c r="O13" s="566">
        <v>43840</v>
      </c>
      <c r="P13" s="565">
        <v>43876</v>
      </c>
      <c r="Q13" s="565">
        <v>43881</v>
      </c>
      <c r="R13" s="567" t="s">
        <v>4111</v>
      </c>
      <c r="S13" s="568" t="s">
        <v>1771</v>
      </c>
      <c r="T13" s="569" t="s">
        <v>1771</v>
      </c>
      <c r="U13" s="570" t="s">
        <v>3218</v>
      </c>
      <c r="V13" s="564" t="s">
        <v>3154</v>
      </c>
      <c r="W13" s="571" t="s">
        <v>3031</v>
      </c>
      <c r="X13" s="425">
        <v>43871</v>
      </c>
      <c r="Y13" s="564" t="s">
        <v>3337</v>
      </c>
      <c r="Z13" s="564" t="s">
        <v>3406</v>
      </c>
      <c r="AA13" s="565">
        <v>43879</v>
      </c>
      <c r="AB13" s="564" t="s">
        <v>3252</v>
      </c>
      <c r="AC13" s="564" t="s">
        <v>3096</v>
      </c>
      <c r="AD13" s="564" t="s">
        <v>3410</v>
      </c>
      <c r="AE13" s="564" t="s">
        <v>2146</v>
      </c>
      <c r="AF13" s="565">
        <v>43879</v>
      </c>
      <c r="AG13" s="570">
        <v>5665.8255099999997</v>
      </c>
      <c r="AH13" s="561" t="s">
        <v>3131</v>
      </c>
      <c r="AI13" s="564" t="s">
        <v>3108</v>
      </c>
      <c r="AJ13" s="573">
        <v>182511.9</v>
      </c>
      <c r="AK13" s="573">
        <v>1846</v>
      </c>
      <c r="AL13" s="573">
        <v>9</v>
      </c>
      <c r="AM13" s="573">
        <f t="shared" si="0"/>
        <v>184366.9</v>
      </c>
      <c r="AN13" s="574">
        <v>4.3156999999999996</v>
      </c>
      <c r="AO13" s="575">
        <f t="shared" si="1"/>
        <v>795672.23032999993</v>
      </c>
      <c r="AP13" s="575">
        <v>56636.5</v>
      </c>
      <c r="AQ13" s="575">
        <v>85230.85</v>
      </c>
      <c r="AR13" s="575">
        <v>16709.13</v>
      </c>
      <c r="AS13" s="575">
        <v>76782.38</v>
      </c>
      <c r="AT13" s="575">
        <v>208172.29</v>
      </c>
      <c r="AU13" s="575">
        <v>0</v>
      </c>
      <c r="AV13" s="564">
        <v>5</v>
      </c>
      <c r="AW13" s="575">
        <v>314.8</v>
      </c>
      <c r="AX13" s="564" t="s">
        <v>3139</v>
      </c>
      <c r="AY13" s="434">
        <f t="shared" si="2"/>
        <v>43881</v>
      </c>
      <c r="AZ13" s="564" t="s">
        <v>1771</v>
      </c>
      <c r="BA13" s="575">
        <v>1210.5</v>
      </c>
      <c r="BB13" s="575">
        <f t="shared" si="3"/>
        <v>795672.23032999993</v>
      </c>
      <c r="BC13" s="575">
        <f t="shared" si="4"/>
        <v>1193508.345495</v>
      </c>
      <c r="BD13" s="576">
        <f t="shared" si="5"/>
        <v>1</v>
      </c>
      <c r="BE13" s="575">
        <f t="shared" si="6"/>
        <v>1193508.345495</v>
      </c>
      <c r="BF13" s="575">
        <v>506.47</v>
      </c>
      <c r="BG13" s="575">
        <f t="shared" si="7"/>
        <v>-50</v>
      </c>
      <c r="BH13" s="575">
        <f t="shared" si="8"/>
        <v>456.47</v>
      </c>
      <c r="BI13" s="577">
        <v>2225.39</v>
      </c>
      <c r="BJ13" s="522"/>
    </row>
    <row r="14" spans="1:62" s="523" customFormat="1" ht="180">
      <c r="A14" s="560" t="s">
        <v>5138</v>
      </c>
      <c r="B14" s="561" t="s">
        <v>3042</v>
      </c>
      <c r="C14" s="561" t="s">
        <v>3043</v>
      </c>
      <c r="D14" s="562" t="s">
        <v>3374</v>
      </c>
      <c r="E14" s="540" t="s">
        <v>3375</v>
      </c>
      <c r="F14" s="540" t="s">
        <v>4114</v>
      </c>
      <c r="G14" s="563" t="s">
        <v>3397</v>
      </c>
      <c r="H14" s="561" t="s">
        <v>3386</v>
      </c>
      <c r="I14" s="564" t="s">
        <v>1771</v>
      </c>
      <c r="J14" s="564">
        <v>1</v>
      </c>
      <c r="K14" s="561">
        <f>9+4+13+4+1+4+4+12</f>
        <v>51</v>
      </c>
      <c r="L14" s="561">
        <f>1591+266+1706.5+264.5+100+262+264.5+1687.5</f>
        <v>6142</v>
      </c>
      <c r="M14" s="565">
        <v>43843</v>
      </c>
      <c r="N14" s="566">
        <v>43843</v>
      </c>
      <c r="O14" s="566">
        <v>43843</v>
      </c>
      <c r="P14" s="565">
        <v>43875</v>
      </c>
      <c r="Q14" s="565">
        <v>43881</v>
      </c>
      <c r="R14" s="567" t="s">
        <v>4113</v>
      </c>
      <c r="S14" s="568" t="s">
        <v>1771</v>
      </c>
      <c r="T14" s="569" t="s">
        <v>1771</v>
      </c>
      <c r="U14" s="570" t="s">
        <v>3218</v>
      </c>
      <c r="V14" s="564" t="s">
        <v>3146</v>
      </c>
      <c r="W14" s="571" t="s">
        <v>3031</v>
      </c>
      <c r="X14" s="425">
        <v>43871</v>
      </c>
      <c r="Y14" s="564" t="s">
        <v>3147</v>
      </c>
      <c r="Z14" s="564" t="s">
        <v>3147</v>
      </c>
      <c r="AA14" s="565">
        <v>43878</v>
      </c>
      <c r="AB14" s="564" t="s">
        <v>3252</v>
      </c>
      <c r="AC14" s="564" t="s">
        <v>3096</v>
      </c>
      <c r="AD14" s="564" t="s">
        <v>3411</v>
      </c>
      <c r="AE14" s="564" t="s">
        <v>2146</v>
      </c>
      <c r="AF14" s="565">
        <v>43879</v>
      </c>
      <c r="AG14" s="564">
        <v>3966</v>
      </c>
      <c r="AH14" s="561" t="s">
        <v>3131</v>
      </c>
      <c r="AI14" s="564" t="s">
        <v>3108</v>
      </c>
      <c r="AJ14" s="573">
        <v>90822.71</v>
      </c>
      <c r="AK14" s="573">
        <v>1846</v>
      </c>
      <c r="AL14" s="573">
        <v>8</v>
      </c>
      <c r="AM14" s="573">
        <f t="shared" si="0"/>
        <v>92676.71</v>
      </c>
      <c r="AN14" s="574">
        <v>4.3156999999999996</v>
      </c>
      <c r="AO14" s="575">
        <f t="shared" si="1"/>
        <v>399964.877347</v>
      </c>
      <c r="AP14" s="575">
        <v>11760.62</v>
      </c>
      <c r="AQ14" s="575">
        <v>41172.54</v>
      </c>
      <c r="AR14" s="575">
        <v>8399.26</v>
      </c>
      <c r="AS14" s="575">
        <v>38596.61</v>
      </c>
      <c r="AT14" s="575">
        <v>101237.05</v>
      </c>
      <c r="AU14" s="575">
        <v>0</v>
      </c>
      <c r="AV14" s="564">
        <v>2</v>
      </c>
      <c r="AW14" s="575">
        <v>244</v>
      </c>
      <c r="AX14" s="564" t="s">
        <v>3139</v>
      </c>
      <c r="AY14" s="434">
        <f t="shared" si="2"/>
        <v>43881</v>
      </c>
      <c r="AZ14" s="564" t="s">
        <v>1771</v>
      </c>
      <c r="BA14" s="575">
        <v>2099.0500000000002</v>
      </c>
      <c r="BB14" s="575">
        <f t="shared" si="3"/>
        <v>399964.877347</v>
      </c>
      <c r="BC14" s="575">
        <f t="shared" si="4"/>
        <v>599947.31602050003</v>
      </c>
      <c r="BD14" s="576">
        <f t="shared" si="5"/>
        <v>1</v>
      </c>
      <c r="BE14" s="575">
        <f t="shared" si="6"/>
        <v>599947.31602050003</v>
      </c>
      <c r="BF14" s="575">
        <v>506.47</v>
      </c>
      <c r="BG14" s="575">
        <f t="shared" si="7"/>
        <v>-80</v>
      </c>
      <c r="BH14" s="575">
        <f t="shared" si="8"/>
        <v>426.47</v>
      </c>
      <c r="BI14" s="577">
        <v>2225.67</v>
      </c>
      <c r="BJ14" s="522"/>
    </row>
    <row r="15" spans="1:62" s="523" customFormat="1" ht="156">
      <c r="A15" s="560" t="s">
        <v>5139</v>
      </c>
      <c r="B15" s="561" t="s">
        <v>3042</v>
      </c>
      <c r="C15" s="561" t="s">
        <v>3043</v>
      </c>
      <c r="D15" s="562" t="s">
        <v>3382</v>
      </c>
      <c r="E15" s="540" t="s">
        <v>3383</v>
      </c>
      <c r="F15" s="540" t="s">
        <v>4116</v>
      </c>
      <c r="G15" s="563" t="s">
        <v>3401</v>
      </c>
      <c r="H15" s="561" t="s">
        <v>3398</v>
      </c>
      <c r="I15" s="564" t="s">
        <v>1771</v>
      </c>
      <c r="J15" s="564">
        <v>1</v>
      </c>
      <c r="K15" s="561">
        <f>1+1+9+7+9+3+9+9</f>
        <v>48</v>
      </c>
      <c r="L15" s="561">
        <f>22.5+31+1599.5+903.5+1618+472+1580+1594.5</f>
        <v>7821</v>
      </c>
      <c r="M15" s="565">
        <v>43847</v>
      </c>
      <c r="N15" s="566">
        <v>43849</v>
      </c>
      <c r="O15" s="566">
        <v>43849</v>
      </c>
      <c r="P15" s="565">
        <v>43881</v>
      </c>
      <c r="Q15" s="565">
        <v>43888</v>
      </c>
      <c r="R15" s="567" t="s">
        <v>4115</v>
      </c>
      <c r="S15" s="568" t="s">
        <v>1771</v>
      </c>
      <c r="T15" s="569" t="s">
        <v>1771</v>
      </c>
      <c r="U15" s="570" t="s">
        <v>3218</v>
      </c>
      <c r="V15" s="564" t="s">
        <v>3154</v>
      </c>
      <c r="W15" s="571" t="s">
        <v>3031</v>
      </c>
      <c r="X15" s="425"/>
      <c r="Y15" s="564" t="s">
        <v>3337</v>
      </c>
      <c r="Z15" s="564" t="s">
        <v>3406</v>
      </c>
      <c r="AA15" s="565">
        <v>43887</v>
      </c>
      <c r="AB15" s="564" t="s">
        <v>3252</v>
      </c>
      <c r="AC15" s="564" t="s">
        <v>3096</v>
      </c>
      <c r="AD15" s="564" t="s">
        <v>3416</v>
      </c>
      <c r="AE15" s="564" t="s">
        <v>2146</v>
      </c>
      <c r="AF15" s="565">
        <v>43887</v>
      </c>
      <c r="AG15" s="570">
        <v>5827.58</v>
      </c>
      <c r="AH15" s="561" t="s">
        <v>3238</v>
      </c>
      <c r="AI15" s="564" t="s">
        <v>3108</v>
      </c>
      <c r="AJ15" s="573">
        <v>257065.18</v>
      </c>
      <c r="AK15" s="573">
        <f>7.71+8.86+351.21+311.32+351.21+113.28+351.21+351.2</f>
        <v>1846</v>
      </c>
      <c r="AL15" s="573">
        <v>8</v>
      </c>
      <c r="AM15" s="573">
        <f t="shared" si="0"/>
        <v>258919.18</v>
      </c>
      <c r="AN15" s="574">
        <v>4.3924000000000003</v>
      </c>
      <c r="AO15" s="575">
        <f t="shared" si="1"/>
        <v>1137276.606232</v>
      </c>
      <c r="AP15" s="575">
        <v>2211.8000000000002</v>
      </c>
      <c r="AQ15" s="575">
        <v>113948.83</v>
      </c>
      <c r="AR15" s="575">
        <v>23882.82</v>
      </c>
      <c r="AS15" s="575">
        <v>109747.19</v>
      </c>
      <c r="AT15" s="575">
        <v>280020.03999999998</v>
      </c>
      <c r="AU15" s="575">
        <v>0</v>
      </c>
      <c r="AV15" s="564">
        <v>3</v>
      </c>
      <c r="AW15" s="575">
        <v>267.60000000000002</v>
      </c>
      <c r="AX15" s="564" t="s">
        <v>3139</v>
      </c>
      <c r="AY15" s="434">
        <f t="shared" si="2"/>
        <v>43888</v>
      </c>
      <c r="AZ15" s="564" t="s">
        <v>1771</v>
      </c>
      <c r="BA15" s="575">
        <v>1210.5</v>
      </c>
      <c r="BB15" s="575">
        <f t="shared" si="3"/>
        <v>1137276.606232</v>
      </c>
      <c r="BC15" s="575">
        <f t="shared" si="4"/>
        <v>1705914.9093480001</v>
      </c>
      <c r="BD15" s="576">
        <f t="shared" si="5"/>
        <v>1</v>
      </c>
      <c r="BE15" s="575">
        <f t="shared" si="6"/>
        <v>1705914.9093480001</v>
      </c>
      <c r="BF15" s="575">
        <v>506.47</v>
      </c>
      <c r="BG15" s="575">
        <f t="shared" si="7"/>
        <v>-70</v>
      </c>
      <c r="BH15" s="575">
        <f t="shared" si="8"/>
        <v>436.47</v>
      </c>
      <c r="BI15" s="577">
        <v>2260.79</v>
      </c>
      <c r="BJ15" s="522"/>
    </row>
    <row r="16" spans="1:62" s="523" customFormat="1" ht="96">
      <c r="A16" s="560" t="s">
        <v>5140</v>
      </c>
      <c r="B16" s="561" t="s">
        <v>3042</v>
      </c>
      <c r="C16" s="561" t="s">
        <v>3043</v>
      </c>
      <c r="D16" s="562" t="s">
        <v>3392</v>
      </c>
      <c r="E16" s="540" t="s">
        <v>3393</v>
      </c>
      <c r="F16" s="540" t="s">
        <v>4118</v>
      </c>
      <c r="G16" s="563" t="s">
        <v>3400</v>
      </c>
      <c r="H16" s="561" t="s">
        <v>3399</v>
      </c>
      <c r="I16" s="564">
        <v>1</v>
      </c>
      <c r="J16" s="564" t="s">
        <v>1771</v>
      </c>
      <c r="K16" s="561">
        <f>10+10+1+4+1+5</f>
        <v>31</v>
      </c>
      <c r="L16" s="561">
        <f>1228.5+1258.8+109+333.8+60.5+258.06</f>
        <v>3248.6600000000003</v>
      </c>
      <c r="M16" s="565">
        <v>43851</v>
      </c>
      <c r="N16" s="566">
        <v>43852</v>
      </c>
      <c r="O16" s="566">
        <v>43852</v>
      </c>
      <c r="P16" s="565">
        <v>43887</v>
      </c>
      <c r="Q16" s="565">
        <v>43892</v>
      </c>
      <c r="R16" s="567" t="s">
        <v>4117</v>
      </c>
      <c r="S16" s="568" t="s">
        <v>1771</v>
      </c>
      <c r="T16" s="569" t="s">
        <v>1771</v>
      </c>
      <c r="U16" s="570" t="s">
        <v>3218</v>
      </c>
      <c r="V16" s="564" t="s">
        <v>3146</v>
      </c>
      <c r="W16" s="571" t="s">
        <v>3031</v>
      </c>
      <c r="X16" s="425">
        <v>43882</v>
      </c>
      <c r="Y16" s="564" t="s">
        <v>3147</v>
      </c>
      <c r="Z16" s="564" t="s">
        <v>3147</v>
      </c>
      <c r="AA16" s="565">
        <v>43888</v>
      </c>
      <c r="AB16" s="564" t="s">
        <v>3252</v>
      </c>
      <c r="AC16" s="564" t="s">
        <v>3096</v>
      </c>
      <c r="AD16" s="564" t="s">
        <v>3420</v>
      </c>
      <c r="AE16" s="564" t="s">
        <v>2146</v>
      </c>
      <c r="AF16" s="565">
        <v>43889</v>
      </c>
      <c r="AG16" s="570">
        <v>2325.8452600000001</v>
      </c>
      <c r="AH16" s="561" t="s">
        <v>3131</v>
      </c>
      <c r="AI16" s="564" t="s">
        <v>3108</v>
      </c>
      <c r="AJ16" s="573">
        <v>22029.88</v>
      </c>
      <c r="AK16" s="573">
        <f>518.27+506.5+54.86+167.99+30.45+244.93</f>
        <v>1523</v>
      </c>
      <c r="AL16" s="573">
        <v>6</v>
      </c>
      <c r="AM16" s="573">
        <f t="shared" ref="AM16:AM31" si="9">SUM(AJ16:AL16)</f>
        <v>23558.880000000001</v>
      </c>
      <c r="AN16" s="574">
        <v>4.4763999999999999</v>
      </c>
      <c r="AO16" s="575">
        <f t="shared" ref="AO16:AO31" si="10">AM16*AN16</f>
        <v>105458.970432</v>
      </c>
      <c r="AP16" s="575">
        <v>8436.74</v>
      </c>
      <c r="AQ16" s="575">
        <v>11389.55</v>
      </c>
      <c r="AR16" s="575">
        <v>2214.63</v>
      </c>
      <c r="AS16" s="575">
        <v>10176.81</v>
      </c>
      <c r="AT16" s="575">
        <v>28220.52</v>
      </c>
      <c r="AU16" s="575">
        <v>0</v>
      </c>
      <c r="AV16" s="564">
        <v>7</v>
      </c>
      <c r="AW16" s="575">
        <v>350.2</v>
      </c>
      <c r="AX16" s="564" t="s">
        <v>3139</v>
      </c>
      <c r="AY16" s="434">
        <f t="shared" ref="AY16:AY23" si="11">Q16</f>
        <v>43892</v>
      </c>
      <c r="AZ16" s="564" t="s">
        <v>1771</v>
      </c>
      <c r="BA16" s="575">
        <v>1412.16</v>
      </c>
      <c r="BB16" s="575">
        <f t="shared" ref="BB16:BB23" si="12">AO16</f>
        <v>105458.970432</v>
      </c>
      <c r="BC16" s="575">
        <f t="shared" ref="BC16:BC26" si="13">(BB16*50%)+BB16</f>
        <v>158188.455648</v>
      </c>
      <c r="BD16" s="576">
        <f t="shared" ref="BD16:BD23" si="14">SUM(I16:J16)</f>
        <v>1</v>
      </c>
      <c r="BE16" s="575">
        <f t="shared" ref="BE16:BE23" si="15">BC16/BD16</f>
        <v>158188.455648</v>
      </c>
      <c r="BF16" s="575">
        <v>506.47</v>
      </c>
      <c r="BG16" s="575">
        <f t="shared" ref="BG16:BG23" si="16">(AV16-10)*10</f>
        <v>-30</v>
      </c>
      <c r="BH16" s="575">
        <f t="shared" ref="BH16:BH23" si="17">SUM(BF16:BG16)</f>
        <v>476.47</v>
      </c>
      <c r="BI16" s="577">
        <v>1922.66</v>
      </c>
      <c r="BJ16" s="522"/>
    </row>
    <row r="17" spans="1:62" s="523" customFormat="1" ht="144">
      <c r="A17" s="560" t="s">
        <v>5141</v>
      </c>
      <c r="B17" s="561" t="s">
        <v>3042</v>
      </c>
      <c r="C17" s="561" t="s">
        <v>3043</v>
      </c>
      <c r="D17" s="562" t="s">
        <v>3384</v>
      </c>
      <c r="E17" s="540" t="s">
        <v>3385</v>
      </c>
      <c r="F17" s="540" t="s">
        <v>4120</v>
      </c>
      <c r="G17" s="563" t="s">
        <v>3402</v>
      </c>
      <c r="H17" s="561" t="s">
        <v>3398</v>
      </c>
      <c r="I17" s="564" t="s">
        <v>1771</v>
      </c>
      <c r="J17" s="564">
        <v>1</v>
      </c>
      <c r="K17" s="561">
        <f>4+7+7+6+7+14+14</f>
        <v>59</v>
      </c>
      <c r="L17" s="561">
        <f>439.76+1024.4+1019.3+1114.5+1020.9+1777.5+1858</f>
        <v>8254.36</v>
      </c>
      <c r="M17" s="565">
        <v>43847</v>
      </c>
      <c r="N17" s="566">
        <v>43847</v>
      </c>
      <c r="O17" s="566">
        <v>43847</v>
      </c>
      <c r="P17" s="565">
        <v>43881</v>
      </c>
      <c r="Q17" s="565">
        <v>43892</v>
      </c>
      <c r="R17" s="567" t="s">
        <v>4119</v>
      </c>
      <c r="S17" s="568" t="s">
        <v>1771</v>
      </c>
      <c r="T17" s="569" t="s">
        <v>1771</v>
      </c>
      <c r="U17" s="570" t="s">
        <v>3218</v>
      </c>
      <c r="V17" s="564" t="s">
        <v>3154</v>
      </c>
      <c r="W17" s="571" t="s">
        <v>3031</v>
      </c>
      <c r="X17" s="425">
        <v>43882</v>
      </c>
      <c r="Y17" s="564" t="s">
        <v>3337</v>
      </c>
      <c r="Z17" s="564" t="s">
        <v>3406</v>
      </c>
      <c r="AA17" s="565">
        <v>43887</v>
      </c>
      <c r="AB17" s="564" t="s">
        <v>3252</v>
      </c>
      <c r="AC17" s="564" t="s">
        <v>3096</v>
      </c>
      <c r="AD17" s="564" t="s">
        <v>3417</v>
      </c>
      <c r="AE17" s="564" t="s">
        <v>2146</v>
      </c>
      <c r="AF17" s="565">
        <v>43887</v>
      </c>
      <c r="AG17" s="570">
        <v>6214.2787500000004</v>
      </c>
      <c r="AH17" s="561" t="s">
        <v>3131</v>
      </c>
      <c r="AI17" s="564" t="s">
        <v>3108</v>
      </c>
      <c r="AJ17" s="573">
        <v>86740.02</v>
      </c>
      <c r="AK17" s="573">
        <f>86.97+202.6+201.59+230.07+201.9+402.07+520.8</f>
        <v>1846</v>
      </c>
      <c r="AL17" s="573">
        <v>7</v>
      </c>
      <c r="AM17" s="573">
        <f t="shared" si="9"/>
        <v>88593.02</v>
      </c>
      <c r="AN17" s="574">
        <v>4.3924000000000003</v>
      </c>
      <c r="AO17" s="575">
        <f t="shared" si="10"/>
        <v>389135.98104800005</v>
      </c>
      <c r="AP17" s="575">
        <v>16718.990000000002</v>
      </c>
      <c r="AQ17" s="575">
        <v>40585.480000000003</v>
      </c>
      <c r="AR17" s="575">
        <v>8171.86</v>
      </c>
      <c r="AS17" s="575">
        <v>37551.620000000003</v>
      </c>
      <c r="AT17" s="575">
        <v>99692.35</v>
      </c>
      <c r="AU17" s="575">
        <v>0</v>
      </c>
      <c r="AV17" s="564">
        <v>5</v>
      </c>
      <c r="AW17" s="575">
        <v>314.8</v>
      </c>
      <c r="AX17" s="564" t="s">
        <v>3139</v>
      </c>
      <c r="AY17" s="434">
        <f t="shared" si="11"/>
        <v>43892</v>
      </c>
      <c r="AZ17" s="564" t="s">
        <v>1771</v>
      </c>
      <c r="BA17" s="575">
        <v>1210.5</v>
      </c>
      <c r="BB17" s="575">
        <f t="shared" si="12"/>
        <v>389135.98104800005</v>
      </c>
      <c r="BC17" s="575">
        <f t="shared" si="13"/>
        <v>583703.97157200007</v>
      </c>
      <c r="BD17" s="576">
        <f t="shared" si="14"/>
        <v>1</v>
      </c>
      <c r="BE17" s="575">
        <f t="shared" si="15"/>
        <v>583703.97157200007</v>
      </c>
      <c r="BF17" s="575">
        <v>506.47</v>
      </c>
      <c r="BG17" s="575">
        <f t="shared" si="16"/>
        <v>-50</v>
      </c>
      <c r="BH17" s="575">
        <f t="shared" si="17"/>
        <v>456.47</v>
      </c>
      <c r="BI17" s="577">
        <v>2260.79</v>
      </c>
      <c r="BJ17" s="522"/>
    </row>
    <row r="18" spans="1:62" s="523" customFormat="1" ht="132">
      <c r="A18" s="560" t="s">
        <v>5142</v>
      </c>
      <c r="B18" s="561" t="s">
        <v>3042</v>
      </c>
      <c r="C18" s="561" t="s">
        <v>3043</v>
      </c>
      <c r="D18" s="562" t="s">
        <v>3404</v>
      </c>
      <c r="E18" s="540" t="s">
        <v>3405</v>
      </c>
      <c r="F18" s="540" t="s">
        <v>4122</v>
      </c>
      <c r="G18" s="563" t="s">
        <v>3415</v>
      </c>
      <c r="H18" s="561" t="s">
        <v>3414</v>
      </c>
      <c r="I18" s="564" t="s">
        <v>1771</v>
      </c>
      <c r="J18" s="564">
        <v>1</v>
      </c>
      <c r="K18" s="561">
        <f>1+7+5+9+1+9+7+2+5+1+5</f>
        <v>52</v>
      </c>
      <c r="L18" s="561">
        <f>66+894+799.5+1586+10.4+1623.5+985.6+134.6+842.5+98.2+853.5</f>
        <v>7893.8</v>
      </c>
      <c r="M18" s="565">
        <v>43875</v>
      </c>
      <c r="N18" s="566">
        <v>43875</v>
      </c>
      <c r="O18" s="566">
        <v>43875</v>
      </c>
      <c r="P18" s="565">
        <v>43909</v>
      </c>
      <c r="Q18" s="565">
        <v>43916</v>
      </c>
      <c r="R18" s="567" t="s">
        <v>4121</v>
      </c>
      <c r="S18" s="568" t="s">
        <v>1771</v>
      </c>
      <c r="T18" s="569" t="s">
        <v>1771</v>
      </c>
      <c r="U18" s="570" t="s">
        <v>3218</v>
      </c>
      <c r="V18" s="564" t="s">
        <v>3154</v>
      </c>
      <c r="W18" s="571" t="s">
        <v>3031</v>
      </c>
      <c r="X18" s="425">
        <v>43906</v>
      </c>
      <c r="Y18" s="564" t="s">
        <v>3337</v>
      </c>
      <c r="Z18" s="564" t="s">
        <v>3406</v>
      </c>
      <c r="AA18" s="565">
        <v>43910</v>
      </c>
      <c r="AB18" s="564" t="s">
        <v>3252</v>
      </c>
      <c r="AC18" s="564" t="s">
        <v>3096</v>
      </c>
      <c r="AD18" s="564" t="s">
        <v>3448</v>
      </c>
      <c r="AE18" s="564" t="s">
        <v>2146</v>
      </c>
      <c r="AF18" s="565">
        <v>43917</v>
      </c>
      <c r="AG18" s="570">
        <v>5892.1005400000004</v>
      </c>
      <c r="AH18" s="561" t="s">
        <v>3378</v>
      </c>
      <c r="AI18" s="564" t="s">
        <v>3108</v>
      </c>
      <c r="AJ18" s="573">
        <v>192318.4</v>
      </c>
      <c r="AK18" s="573">
        <f>54.47+335.96+207.49+247.49+2.59+247.49+245.89+55.72+210.19+25.78+212.93</f>
        <v>1846.0000000000002</v>
      </c>
      <c r="AL18" s="573">
        <v>11</v>
      </c>
      <c r="AM18" s="573">
        <f t="shared" si="9"/>
        <v>194175.4</v>
      </c>
      <c r="AN18" s="574">
        <v>5.0010000000000003</v>
      </c>
      <c r="AO18" s="575">
        <f t="shared" si="10"/>
        <v>971071.17540000007</v>
      </c>
      <c r="AP18" s="575">
        <v>5723.04</v>
      </c>
      <c r="AQ18" s="575">
        <v>97748.25</v>
      </c>
      <c r="AR18" s="575">
        <v>20392.490000000002</v>
      </c>
      <c r="AS18" s="575">
        <v>93708.37</v>
      </c>
      <c r="AT18" s="575">
        <v>240117.98</v>
      </c>
      <c r="AU18" s="575">
        <v>0</v>
      </c>
      <c r="AV18" s="564">
        <v>8</v>
      </c>
      <c r="AW18" s="575">
        <v>367.9</v>
      </c>
      <c r="AX18" s="564" t="s">
        <v>3139</v>
      </c>
      <c r="AY18" s="434">
        <f t="shared" si="11"/>
        <v>43916</v>
      </c>
      <c r="AZ18" s="564" t="s">
        <v>1771</v>
      </c>
      <c r="BA18" s="575">
        <v>1210.5</v>
      </c>
      <c r="BB18" s="575">
        <f t="shared" si="12"/>
        <v>971071.17540000007</v>
      </c>
      <c r="BC18" s="575">
        <f t="shared" si="13"/>
        <v>1456606.7631000001</v>
      </c>
      <c r="BD18" s="576">
        <f t="shared" si="14"/>
        <v>1</v>
      </c>
      <c r="BE18" s="575">
        <f t="shared" si="15"/>
        <v>1456606.7631000001</v>
      </c>
      <c r="BF18" s="575">
        <v>506.47</v>
      </c>
      <c r="BG18" s="575">
        <f t="shared" si="16"/>
        <v>-20</v>
      </c>
      <c r="BH18" s="575">
        <f t="shared" si="17"/>
        <v>486.47</v>
      </c>
      <c r="BI18" s="577">
        <v>2607.84</v>
      </c>
      <c r="BJ18" s="522"/>
    </row>
    <row r="19" spans="1:62" s="523" customFormat="1" ht="276">
      <c r="A19" s="560" t="s">
        <v>5143</v>
      </c>
      <c r="B19" s="561" t="s">
        <v>3042</v>
      </c>
      <c r="C19" s="561" t="s">
        <v>3043</v>
      </c>
      <c r="D19" s="562" t="s">
        <v>3418</v>
      </c>
      <c r="E19" s="540" t="s">
        <v>3419</v>
      </c>
      <c r="F19" s="540" t="s">
        <v>4124</v>
      </c>
      <c r="G19" s="563">
        <v>592021367</v>
      </c>
      <c r="H19" s="561" t="s">
        <v>3430</v>
      </c>
      <c r="I19" s="564" t="s">
        <v>1771</v>
      </c>
      <c r="J19" s="564">
        <v>3</v>
      </c>
      <c r="K19" s="561">
        <f>5+10+4+1+3+6+14+2+6+2+14+11+11+14+2+7+15+7+7+2+1+1+1</f>
        <v>146</v>
      </c>
      <c r="L19" s="561">
        <f>352.5+687.5+526.3+90.8+147.38+984.3+1842+186.8+932.4+188.4+1865.5+1280.6+1283.2+1871.5+184.6+981.8+1389.44+932+935+15.24+65.5+108+103.5</f>
        <v>16954.260000000002</v>
      </c>
      <c r="M19" s="565">
        <v>43887</v>
      </c>
      <c r="N19" s="566">
        <v>43885</v>
      </c>
      <c r="O19" s="566">
        <v>43885</v>
      </c>
      <c r="P19" s="565">
        <v>43919</v>
      </c>
      <c r="Q19" s="565">
        <v>43924</v>
      </c>
      <c r="R19" s="567" t="s">
        <v>4123</v>
      </c>
      <c r="S19" s="568" t="s">
        <v>1771</v>
      </c>
      <c r="T19" s="569" t="s">
        <v>1771</v>
      </c>
      <c r="U19" s="570" t="s">
        <v>3218</v>
      </c>
      <c r="V19" s="564" t="s">
        <v>3146</v>
      </c>
      <c r="W19" s="571" t="s">
        <v>3031</v>
      </c>
      <c r="X19" s="425">
        <v>43914</v>
      </c>
      <c r="Y19" s="564" t="s">
        <v>3147</v>
      </c>
      <c r="Z19" s="564" t="s">
        <v>3147</v>
      </c>
      <c r="AA19" s="565">
        <v>43920</v>
      </c>
      <c r="AB19" s="564" t="s">
        <v>3252</v>
      </c>
      <c r="AC19" s="564" t="s">
        <v>3096</v>
      </c>
      <c r="AD19" s="564" t="s">
        <v>3454</v>
      </c>
      <c r="AE19" s="564" t="s">
        <v>2146</v>
      </c>
      <c r="AF19" s="565">
        <v>43920</v>
      </c>
      <c r="AG19" s="570">
        <v>11646.98049</v>
      </c>
      <c r="AH19" s="561" t="s">
        <v>3378</v>
      </c>
      <c r="AI19" s="564" t="s">
        <v>3108</v>
      </c>
      <c r="AJ19" s="573">
        <v>107890.04</v>
      </c>
      <c r="AK19" s="573">
        <f>396.52+570.05+154.39+30.31+67.47+288.75+550+70.89+273.52+70.89+550+375.67+376.43+550+70.89+288.01+481.1+395.54+395.54+4.47+64.54+31.68+30.36</f>
        <v>6087.02</v>
      </c>
      <c r="AL19" s="573">
        <v>23</v>
      </c>
      <c r="AM19" s="573">
        <f t="shared" si="9"/>
        <v>114000.06</v>
      </c>
      <c r="AN19" s="574">
        <v>5.1109</v>
      </c>
      <c r="AO19" s="575">
        <f t="shared" si="10"/>
        <v>582642.90665399993</v>
      </c>
      <c r="AP19" s="575">
        <v>47910.42</v>
      </c>
      <c r="AQ19" s="575">
        <v>64107.91</v>
      </c>
      <c r="AR19" s="575">
        <v>12235.51</v>
      </c>
      <c r="AS19" s="575">
        <v>56225.07</v>
      </c>
      <c r="AT19" s="575">
        <v>155423.5</v>
      </c>
      <c r="AU19" s="575">
        <v>0</v>
      </c>
      <c r="AV19" s="564">
        <v>13</v>
      </c>
      <c r="AW19" s="575">
        <v>438.7</v>
      </c>
      <c r="AX19" s="564" t="s">
        <v>3139</v>
      </c>
      <c r="AY19" s="434">
        <f t="shared" si="11"/>
        <v>43924</v>
      </c>
      <c r="AZ19" s="564" t="s">
        <v>1771</v>
      </c>
      <c r="BA19" s="575">
        <v>4857.4799999999996</v>
      </c>
      <c r="BB19" s="575">
        <f t="shared" si="12"/>
        <v>582642.90665399993</v>
      </c>
      <c r="BC19" s="575">
        <f t="shared" si="13"/>
        <v>873964.35998099996</v>
      </c>
      <c r="BD19" s="576">
        <f t="shared" si="14"/>
        <v>3</v>
      </c>
      <c r="BE19" s="575">
        <f t="shared" si="15"/>
        <v>291321.45332699997</v>
      </c>
      <c r="BF19" s="575">
        <v>542.20000000000005</v>
      </c>
      <c r="BG19" s="575">
        <f t="shared" si="16"/>
        <v>30</v>
      </c>
      <c r="BH19" s="575">
        <f t="shared" si="17"/>
        <v>572.20000000000005</v>
      </c>
      <c r="BI19" s="577">
        <v>8587.4599999999991</v>
      </c>
      <c r="BJ19" s="522"/>
    </row>
    <row r="20" spans="1:62" s="523" customFormat="1" ht="120">
      <c r="A20" s="560" t="s">
        <v>5144</v>
      </c>
      <c r="B20" s="561" t="s">
        <v>3042</v>
      </c>
      <c r="C20" s="561" t="s">
        <v>3043</v>
      </c>
      <c r="D20" s="562" t="s">
        <v>3412</v>
      </c>
      <c r="E20" s="540" t="s">
        <v>3413</v>
      </c>
      <c r="F20" s="540" t="s">
        <v>4126</v>
      </c>
      <c r="G20" s="563" t="s">
        <v>3424</v>
      </c>
      <c r="H20" s="561" t="s">
        <v>3423</v>
      </c>
      <c r="I20" s="564">
        <v>1</v>
      </c>
      <c r="J20" s="564">
        <v>2</v>
      </c>
      <c r="K20" s="561">
        <f>10+10+10+5+7+14+7+8+1+7</f>
        <v>79</v>
      </c>
      <c r="L20" s="561">
        <f>682.5+720+719+359+925+1862+1172+1208.4+42.44+979.4</f>
        <v>8669.74</v>
      </c>
      <c r="M20" s="565">
        <v>43887</v>
      </c>
      <c r="N20" s="566">
        <v>43888</v>
      </c>
      <c r="O20" s="566">
        <v>43888</v>
      </c>
      <c r="P20" s="565">
        <v>43923</v>
      </c>
      <c r="Q20" s="565">
        <v>43928</v>
      </c>
      <c r="R20" s="567" t="s">
        <v>4125</v>
      </c>
      <c r="S20" s="568" t="s">
        <v>1771</v>
      </c>
      <c r="T20" s="569" t="s">
        <v>1771</v>
      </c>
      <c r="U20" s="570" t="s">
        <v>3218</v>
      </c>
      <c r="V20" s="564" t="s">
        <v>3154</v>
      </c>
      <c r="W20" s="571" t="s">
        <v>3031</v>
      </c>
      <c r="X20" s="425">
        <v>43920</v>
      </c>
      <c r="Y20" s="564" t="s">
        <v>3337</v>
      </c>
      <c r="Z20" s="564" t="s">
        <v>3406</v>
      </c>
      <c r="AA20" s="565">
        <v>43927</v>
      </c>
      <c r="AB20" s="564" t="s">
        <v>3252</v>
      </c>
      <c r="AC20" s="564" t="s">
        <v>3096</v>
      </c>
      <c r="AD20" s="564" t="s">
        <v>3470</v>
      </c>
      <c r="AE20" s="564" t="s">
        <v>2146</v>
      </c>
      <c r="AF20" s="565">
        <v>43928</v>
      </c>
      <c r="AG20" s="570">
        <v>5628.2466199999999</v>
      </c>
      <c r="AH20" s="561" t="s">
        <v>3378</v>
      </c>
      <c r="AI20" s="564" t="s">
        <v>3108</v>
      </c>
      <c r="AJ20" s="573">
        <v>44493.64</v>
      </c>
      <c r="AK20" s="573">
        <f>757.6+757.6+757.6+490.1+487.68+730.81+424.95+438.15+15.39+355.12</f>
        <v>5215</v>
      </c>
      <c r="AL20" s="573">
        <v>10</v>
      </c>
      <c r="AM20" s="573">
        <f t="shared" si="9"/>
        <v>49718.64</v>
      </c>
      <c r="AN20" s="574">
        <v>5.2470999999999997</v>
      </c>
      <c r="AO20" s="575">
        <f t="shared" si="10"/>
        <v>260878.67594399999</v>
      </c>
      <c r="AP20" s="575">
        <v>24129.32</v>
      </c>
      <c r="AQ20" s="575">
        <v>30863.55</v>
      </c>
      <c r="AR20" s="575">
        <v>5478.45</v>
      </c>
      <c r="AS20" s="575">
        <v>25174.81</v>
      </c>
      <c r="AT20" s="575">
        <v>71029.7</v>
      </c>
      <c r="AU20" s="575">
        <v>0</v>
      </c>
      <c r="AV20" s="564">
        <v>7</v>
      </c>
      <c r="AW20" s="575">
        <v>350.2</v>
      </c>
      <c r="AX20" s="564" t="s">
        <v>3139</v>
      </c>
      <c r="AY20" s="434">
        <f t="shared" si="11"/>
        <v>43928</v>
      </c>
      <c r="AZ20" s="564" t="s">
        <v>1771</v>
      </c>
      <c r="BA20" s="575">
        <v>3631.5</v>
      </c>
      <c r="BB20" s="575">
        <f t="shared" si="12"/>
        <v>260878.67594399999</v>
      </c>
      <c r="BC20" s="575">
        <f t="shared" si="13"/>
        <v>391318.01391599997</v>
      </c>
      <c r="BD20" s="576">
        <f t="shared" si="14"/>
        <v>3</v>
      </c>
      <c r="BE20" s="575">
        <f t="shared" si="15"/>
        <v>130439.33797199999</v>
      </c>
      <c r="BF20" s="575">
        <v>506.47</v>
      </c>
      <c r="BG20" s="575">
        <f t="shared" si="16"/>
        <v>-30</v>
      </c>
      <c r="BH20" s="575">
        <f t="shared" si="17"/>
        <v>476.47</v>
      </c>
      <c r="BI20" s="577">
        <v>7568.18</v>
      </c>
      <c r="BJ20" s="522"/>
    </row>
    <row r="21" spans="1:62" s="523" customFormat="1" ht="84">
      <c r="A21" s="560" t="s">
        <v>5145</v>
      </c>
      <c r="B21" s="561" t="s">
        <v>3042</v>
      </c>
      <c r="C21" s="561" t="s">
        <v>3043</v>
      </c>
      <c r="D21" s="562" t="s">
        <v>3422</v>
      </c>
      <c r="E21" s="540" t="s">
        <v>3421</v>
      </c>
      <c r="F21" s="540" t="s">
        <v>4128</v>
      </c>
      <c r="G21" s="563" t="s">
        <v>3425</v>
      </c>
      <c r="H21" s="561" t="s">
        <v>3423</v>
      </c>
      <c r="I21" s="564">
        <v>1</v>
      </c>
      <c r="J21" s="564">
        <v>2</v>
      </c>
      <c r="K21" s="561">
        <f>10+10+10+16+9+14+10</f>
        <v>79</v>
      </c>
      <c r="L21" s="561">
        <f>694+711.5+699+1296.06+1163.7+1819.5+722</f>
        <v>7105.76</v>
      </c>
      <c r="M21" s="565">
        <v>43892</v>
      </c>
      <c r="N21" s="566">
        <v>43892</v>
      </c>
      <c r="O21" s="566">
        <v>43892</v>
      </c>
      <c r="P21" s="565">
        <v>43923</v>
      </c>
      <c r="Q21" s="565">
        <v>43928</v>
      </c>
      <c r="R21" s="567" t="s">
        <v>4127</v>
      </c>
      <c r="S21" s="568" t="s">
        <v>1771</v>
      </c>
      <c r="T21" s="569" t="s">
        <v>1771</v>
      </c>
      <c r="U21" s="570" t="s">
        <v>3218</v>
      </c>
      <c r="V21" s="564" t="s">
        <v>3154</v>
      </c>
      <c r="W21" s="571" t="s">
        <v>3031</v>
      </c>
      <c r="X21" s="425">
        <v>43920</v>
      </c>
      <c r="Y21" s="564" t="s">
        <v>3337</v>
      </c>
      <c r="Z21" s="564" t="s">
        <v>3406</v>
      </c>
      <c r="AA21" s="565">
        <v>43927</v>
      </c>
      <c r="AB21" s="564" t="s">
        <v>3252</v>
      </c>
      <c r="AC21" s="564" t="s">
        <v>3096</v>
      </c>
      <c r="AD21" s="564" t="s">
        <v>3469</v>
      </c>
      <c r="AE21" s="564" t="s">
        <v>2146</v>
      </c>
      <c r="AF21" s="565">
        <v>43928</v>
      </c>
      <c r="AG21" s="570">
        <v>4019.3400200000001</v>
      </c>
      <c r="AH21" s="561" t="s">
        <v>3274</v>
      </c>
      <c r="AI21" s="564" t="s">
        <v>3108</v>
      </c>
      <c r="AJ21" s="573">
        <v>39050.199999999997</v>
      </c>
      <c r="AK21" s="573">
        <f>850.85+846.98+861.48+502.38+451.08+840.75+861.48</f>
        <v>5215</v>
      </c>
      <c r="AL21" s="573">
        <v>7</v>
      </c>
      <c r="AM21" s="573">
        <f t="shared" si="9"/>
        <v>44272.2</v>
      </c>
      <c r="AN21" s="574">
        <v>5.2470999999999997</v>
      </c>
      <c r="AO21" s="575">
        <f t="shared" si="10"/>
        <v>232300.66061999998</v>
      </c>
      <c r="AP21" s="575">
        <v>22307.35</v>
      </c>
      <c r="AQ21" s="575">
        <v>28160.15</v>
      </c>
      <c r="AR21" s="575">
        <v>4878.3</v>
      </c>
      <c r="AS21" s="575">
        <v>22417</v>
      </c>
      <c r="AT21" s="575">
        <v>63623.3</v>
      </c>
      <c r="AU21" s="575">
        <v>0</v>
      </c>
      <c r="AV21" s="564">
        <v>8</v>
      </c>
      <c r="AW21" s="575">
        <v>367.9</v>
      </c>
      <c r="AX21" s="564" t="s">
        <v>3139</v>
      </c>
      <c r="AY21" s="434">
        <f t="shared" si="11"/>
        <v>43928</v>
      </c>
      <c r="AZ21" s="564" t="s">
        <v>1771</v>
      </c>
      <c r="BA21" s="575">
        <v>3631.5</v>
      </c>
      <c r="BB21" s="575">
        <f t="shared" si="12"/>
        <v>232300.66061999998</v>
      </c>
      <c r="BC21" s="575">
        <f t="shared" si="13"/>
        <v>348450.99092999997</v>
      </c>
      <c r="BD21" s="576">
        <f t="shared" si="14"/>
        <v>3</v>
      </c>
      <c r="BE21" s="575">
        <f t="shared" si="15"/>
        <v>116150.33030999999</v>
      </c>
      <c r="BF21" s="575">
        <v>506.47</v>
      </c>
      <c r="BG21" s="575">
        <f t="shared" si="16"/>
        <v>-20</v>
      </c>
      <c r="BH21" s="575">
        <f t="shared" si="17"/>
        <v>486.47</v>
      </c>
      <c r="BI21" s="577">
        <v>7568.18</v>
      </c>
      <c r="BJ21" s="522"/>
    </row>
    <row r="22" spans="1:62" s="523" customFormat="1" ht="108">
      <c r="A22" s="560" t="s">
        <v>5146</v>
      </c>
      <c r="B22" s="561" t="s">
        <v>3042</v>
      </c>
      <c r="C22" s="561" t="s">
        <v>3043</v>
      </c>
      <c r="D22" s="562" t="s">
        <v>3427</v>
      </c>
      <c r="E22" s="540" t="s">
        <v>3426</v>
      </c>
      <c r="F22" s="540" t="s">
        <v>4130</v>
      </c>
      <c r="G22" s="563" t="s">
        <v>3432</v>
      </c>
      <c r="H22" s="561" t="s">
        <v>3431</v>
      </c>
      <c r="I22" s="564" t="s">
        <v>1771</v>
      </c>
      <c r="J22" s="564">
        <v>1</v>
      </c>
      <c r="K22" s="561">
        <f>14+14+7+1+8+8</f>
        <v>52</v>
      </c>
      <c r="L22" s="561">
        <f>1843.5+1850.5+928.5+84.6+1030.1+1048.8</f>
        <v>6786.0000000000009</v>
      </c>
      <c r="M22" s="565">
        <v>43895</v>
      </c>
      <c r="N22" s="566">
        <v>43896</v>
      </c>
      <c r="O22" s="566">
        <v>43896</v>
      </c>
      <c r="P22" s="565">
        <v>43930</v>
      </c>
      <c r="Q22" s="565">
        <v>43935</v>
      </c>
      <c r="R22" s="567" t="s">
        <v>4129</v>
      </c>
      <c r="S22" s="568" t="s">
        <v>1771</v>
      </c>
      <c r="T22" s="569" t="s">
        <v>1771</v>
      </c>
      <c r="U22" s="570" t="s">
        <v>3218</v>
      </c>
      <c r="V22" s="564" t="s">
        <v>3154</v>
      </c>
      <c r="W22" s="571" t="s">
        <v>3031</v>
      </c>
      <c r="X22" s="425">
        <v>43928</v>
      </c>
      <c r="Y22" s="564" t="s">
        <v>3337</v>
      </c>
      <c r="Z22" s="564" t="s">
        <v>3406</v>
      </c>
      <c r="AA22" s="565">
        <v>43934</v>
      </c>
      <c r="AB22" s="564" t="s">
        <v>3252</v>
      </c>
      <c r="AC22" s="564" t="s">
        <v>3096</v>
      </c>
      <c r="AD22" s="564" t="s">
        <v>3474</v>
      </c>
      <c r="AE22" s="564" t="s">
        <v>2146</v>
      </c>
      <c r="AF22" s="565">
        <v>43934</v>
      </c>
      <c r="AG22" s="570">
        <v>4867.7633699999997</v>
      </c>
      <c r="AH22" s="561" t="s">
        <v>3238</v>
      </c>
      <c r="AI22" s="564" t="s">
        <v>3108</v>
      </c>
      <c r="AJ22" s="573">
        <v>41666.870000000003</v>
      </c>
      <c r="AK22" s="573">
        <f>487.88+487.88+333.87+20.97+255.39+260.01</f>
        <v>1846.0000000000002</v>
      </c>
      <c r="AL22" s="573">
        <v>6</v>
      </c>
      <c r="AM22" s="573">
        <f t="shared" si="9"/>
        <v>43518.87</v>
      </c>
      <c r="AN22" s="574">
        <v>5.0778999999999996</v>
      </c>
      <c r="AO22" s="575">
        <f t="shared" si="10"/>
        <v>220984.469973</v>
      </c>
      <c r="AP22" s="575">
        <v>17678.759999999998</v>
      </c>
      <c r="AQ22" s="575">
        <v>23866.28</v>
      </c>
      <c r="AR22" s="575">
        <v>4640.67</v>
      </c>
      <c r="AS22" s="575">
        <v>21325</v>
      </c>
      <c r="AT22" s="575">
        <v>58727.99</v>
      </c>
      <c r="AU22" s="575">
        <v>0</v>
      </c>
      <c r="AV22" s="564">
        <v>6</v>
      </c>
      <c r="AW22" s="575">
        <v>332.5</v>
      </c>
      <c r="AX22" s="564" t="s">
        <v>3139</v>
      </c>
      <c r="AY22" s="434">
        <f t="shared" si="11"/>
        <v>43935</v>
      </c>
      <c r="AZ22" s="564" t="s">
        <v>1771</v>
      </c>
      <c r="BA22" s="575">
        <v>1210.5</v>
      </c>
      <c r="BB22" s="575">
        <f t="shared" si="12"/>
        <v>220984.469973</v>
      </c>
      <c r="BC22" s="575">
        <f t="shared" si="13"/>
        <v>331476.7049595</v>
      </c>
      <c r="BD22" s="576">
        <f t="shared" si="14"/>
        <v>1</v>
      </c>
      <c r="BE22" s="575">
        <f t="shared" si="15"/>
        <v>331476.7049595</v>
      </c>
      <c r="BF22" s="575">
        <v>506.47</v>
      </c>
      <c r="BG22" s="575">
        <f t="shared" si="16"/>
        <v>-40</v>
      </c>
      <c r="BH22" s="575">
        <f t="shared" si="17"/>
        <v>466.47</v>
      </c>
      <c r="BI22" s="577">
        <v>2577.15</v>
      </c>
      <c r="BJ22" s="522"/>
    </row>
    <row r="23" spans="1:62" s="523" customFormat="1" ht="108">
      <c r="A23" s="560" t="s">
        <v>5147</v>
      </c>
      <c r="B23" s="561" t="s">
        <v>3042</v>
      </c>
      <c r="C23" s="561" t="s">
        <v>3043</v>
      </c>
      <c r="D23" s="562" t="s">
        <v>3428</v>
      </c>
      <c r="E23" s="540" t="s">
        <v>3429</v>
      </c>
      <c r="F23" s="540" t="s">
        <v>4132</v>
      </c>
      <c r="G23" s="563" t="s">
        <v>3433</v>
      </c>
      <c r="H23" s="561" t="s">
        <v>3431</v>
      </c>
      <c r="I23" s="564" t="s">
        <v>1771</v>
      </c>
      <c r="J23" s="564">
        <v>1</v>
      </c>
      <c r="K23" s="561">
        <f>14+7+25</f>
        <v>46</v>
      </c>
      <c r="L23" s="561">
        <f>1847+928+3609</f>
        <v>6384</v>
      </c>
      <c r="M23" s="565">
        <v>43899</v>
      </c>
      <c r="N23" s="566">
        <v>43896</v>
      </c>
      <c r="O23" s="566">
        <v>43896</v>
      </c>
      <c r="P23" s="565">
        <v>43930</v>
      </c>
      <c r="Q23" s="565">
        <v>43935</v>
      </c>
      <c r="R23" s="567" t="s">
        <v>4131</v>
      </c>
      <c r="S23" s="568" t="s">
        <v>1771</v>
      </c>
      <c r="T23" s="569" t="s">
        <v>1771</v>
      </c>
      <c r="U23" s="570" t="s">
        <v>3218</v>
      </c>
      <c r="V23" s="564" t="s">
        <v>3154</v>
      </c>
      <c r="W23" s="571" t="s">
        <v>3031</v>
      </c>
      <c r="X23" s="425">
        <v>43928</v>
      </c>
      <c r="Y23" s="564" t="s">
        <v>3337</v>
      </c>
      <c r="Z23" s="564" t="s">
        <v>3406</v>
      </c>
      <c r="AA23" s="565">
        <v>43934</v>
      </c>
      <c r="AB23" s="564" t="s">
        <v>3252</v>
      </c>
      <c r="AC23" s="564" t="s">
        <v>3096</v>
      </c>
      <c r="AD23" s="564" t="s">
        <v>3473</v>
      </c>
      <c r="AE23" s="564" t="s">
        <v>2146</v>
      </c>
      <c r="AF23" s="565">
        <v>43934</v>
      </c>
      <c r="AG23" s="570">
        <v>4087</v>
      </c>
      <c r="AH23" s="561" t="s">
        <v>3238</v>
      </c>
      <c r="AI23" s="564" t="s">
        <v>3108</v>
      </c>
      <c r="AJ23" s="573">
        <v>48779.21</v>
      </c>
      <c r="AK23" s="573">
        <f>649.67+332.24+864.09</f>
        <v>1846</v>
      </c>
      <c r="AL23" s="573">
        <v>3</v>
      </c>
      <c r="AM23" s="573">
        <f t="shared" si="9"/>
        <v>50628.21</v>
      </c>
      <c r="AN23" s="574">
        <v>5.0778999999999996</v>
      </c>
      <c r="AO23" s="575">
        <f t="shared" si="10"/>
        <v>257084.98755899997</v>
      </c>
      <c r="AP23" s="575">
        <v>20566.8</v>
      </c>
      <c r="AQ23" s="575">
        <v>27765.17</v>
      </c>
      <c r="AR23" s="575">
        <v>5398.79</v>
      </c>
      <c r="AS23" s="575">
        <v>24808.7</v>
      </c>
      <c r="AT23" s="575">
        <v>68198.14</v>
      </c>
      <c r="AU23" s="575">
        <v>0</v>
      </c>
      <c r="AV23" s="564">
        <v>2</v>
      </c>
      <c r="AW23" s="575">
        <v>244</v>
      </c>
      <c r="AX23" s="564" t="s">
        <v>3139</v>
      </c>
      <c r="AY23" s="434">
        <f t="shared" si="11"/>
        <v>43935</v>
      </c>
      <c r="AZ23" s="564" t="s">
        <v>1771</v>
      </c>
      <c r="BA23" s="575">
        <v>1210.5</v>
      </c>
      <c r="BB23" s="575">
        <f t="shared" si="12"/>
        <v>257084.98755899997</v>
      </c>
      <c r="BC23" s="575">
        <f t="shared" si="13"/>
        <v>385627.48133849993</v>
      </c>
      <c r="BD23" s="576">
        <f t="shared" si="14"/>
        <v>1</v>
      </c>
      <c r="BE23" s="575">
        <f t="shared" si="15"/>
        <v>385627.48133849993</v>
      </c>
      <c r="BF23" s="575">
        <v>506.47</v>
      </c>
      <c r="BG23" s="575">
        <f t="shared" si="16"/>
        <v>-80</v>
      </c>
      <c r="BH23" s="575">
        <f t="shared" si="17"/>
        <v>426.47</v>
      </c>
      <c r="BI23" s="577">
        <v>2577.15</v>
      </c>
      <c r="BJ23" s="522"/>
    </row>
    <row r="24" spans="1:62" s="523" customFormat="1" ht="204">
      <c r="A24" s="560" t="s">
        <v>5148</v>
      </c>
      <c r="B24" s="561" t="s">
        <v>3042</v>
      </c>
      <c r="C24" s="561" t="s">
        <v>3043</v>
      </c>
      <c r="D24" s="562" t="s">
        <v>3435</v>
      </c>
      <c r="E24" s="540" t="s">
        <v>3434</v>
      </c>
      <c r="F24" s="540" t="s">
        <v>4134</v>
      </c>
      <c r="G24" s="563">
        <v>592145606</v>
      </c>
      <c r="H24" s="561" t="s">
        <v>3441</v>
      </c>
      <c r="I24" s="564">
        <v>1</v>
      </c>
      <c r="J24" s="564">
        <v>1</v>
      </c>
      <c r="K24" s="561">
        <f>6+14+25+8+5+2+5+8+8+8+1+1+1+1+1+1+1</f>
        <v>96</v>
      </c>
      <c r="L24" s="561">
        <f>969.7+1847+3197+687.2+648.6+212.2+540+1043.2+1026.9+1031.7+53.8+58.2+0.7+95.6+109.8+36.84+25.42</f>
        <v>11583.86</v>
      </c>
      <c r="M24" s="565">
        <v>43901</v>
      </c>
      <c r="N24" s="566">
        <v>43902</v>
      </c>
      <c r="O24" s="566">
        <v>43902</v>
      </c>
      <c r="P24" s="565">
        <v>43936</v>
      </c>
      <c r="Q24" s="565">
        <v>43941</v>
      </c>
      <c r="R24" s="578" t="s">
        <v>4133</v>
      </c>
      <c r="S24" s="568" t="s">
        <v>1771</v>
      </c>
      <c r="T24" s="569" t="s">
        <v>1771</v>
      </c>
      <c r="U24" s="570" t="s">
        <v>3218</v>
      </c>
      <c r="V24" s="564" t="s">
        <v>3154</v>
      </c>
      <c r="W24" s="571" t="s">
        <v>3031</v>
      </c>
      <c r="X24" s="425">
        <v>43935</v>
      </c>
      <c r="Y24" s="564" t="s">
        <v>3261</v>
      </c>
      <c r="Z24" s="564" t="s">
        <v>3262</v>
      </c>
      <c r="AA24" s="565">
        <v>43938</v>
      </c>
      <c r="AB24" s="564" t="s">
        <v>3252</v>
      </c>
      <c r="AC24" s="564" t="s">
        <v>3096</v>
      </c>
      <c r="AD24" s="564" t="s">
        <v>3495</v>
      </c>
      <c r="AE24" s="564" t="s">
        <v>2146</v>
      </c>
      <c r="AF24" s="565">
        <v>43938</v>
      </c>
      <c r="AG24" s="570">
        <v>8220.1143499999998</v>
      </c>
      <c r="AH24" s="561" t="s">
        <v>3436</v>
      </c>
      <c r="AI24" s="564" t="s">
        <v>3108</v>
      </c>
      <c r="AJ24" s="573">
        <v>160355.07</v>
      </c>
      <c r="AK24" s="573">
        <v>3679</v>
      </c>
      <c r="AL24" s="573">
        <v>17</v>
      </c>
      <c r="AM24" s="573">
        <f t="shared" si="9"/>
        <v>164051.07</v>
      </c>
      <c r="AN24" s="574">
        <v>5.2377000000000002</v>
      </c>
      <c r="AO24" s="575">
        <f t="shared" si="10"/>
        <v>859250.28933900013</v>
      </c>
      <c r="AP24" s="575">
        <v>22950.83</v>
      </c>
      <c r="AQ24" s="575">
        <v>88246.5</v>
      </c>
      <c r="AR24" s="575">
        <v>18044.28</v>
      </c>
      <c r="AS24" s="575">
        <v>82917.69</v>
      </c>
      <c r="AT24" s="575">
        <v>217094.54</v>
      </c>
      <c r="AU24" s="575">
        <v>0</v>
      </c>
      <c r="AV24" s="564">
        <v>12</v>
      </c>
      <c r="AW24" s="575">
        <v>426.9</v>
      </c>
      <c r="AX24" s="564" t="s">
        <v>3139</v>
      </c>
      <c r="AY24" s="434">
        <f t="shared" ref="AY24:AY31" si="18">Q24</f>
        <v>43941</v>
      </c>
      <c r="AZ24" s="564" t="s">
        <v>1771</v>
      </c>
      <c r="BA24" s="575">
        <v>2600</v>
      </c>
      <c r="BB24" s="575">
        <f t="shared" ref="BB24:BB31" si="19">AO24</f>
        <v>859250.28933900013</v>
      </c>
      <c r="BC24" s="575">
        <f t="shared" si="13"/>
        <v>1288875.4340085001</v>
      </c>
      <c r="BD24" s="576">
        <f t="shared" ref="BD24:BD31" si="20">SUM(I24:J24)</f>
        <v>2</v>
      </c>
      <c r="BE24" s="575">
        <f t="shared" ref="BE24:BE31" si="21">BC24/BD24</f>
        <v>644437.71700425004</v>
      </c>
      <c r="BF24" s="575">
        <v>530.29</v>
      </c>
      <c r="BG24" s="575">
        <f t="shared" ref="BG24:BG31" si="22">(AV24-10)*10</f>
        <v>20</v>
      </c>
      <c r="BH24" s="575">
        <f t="shared" ref="BH24:BH31" si="23">SUM(BF24:BG24)</f>
        <v>550.29</v>
      </c>
      <c r="BI24" s="577">
        <v>5396.07</v>
      </c>
      <c r="BJ24" s="522"/>
    </row>
    <row r="25" spans="1:62" s="523" customFormat="1" ht="132">
      <c r="A25" s="560" t="s">
        <v>5149</v>
      </c>
      <c r="B25" s="561" t="s">
        <v>3042</v>
      </c>
      <c r="C25" s="561" t="s">
        <v>3043</v>
      </c>
      <c r="D25" s="562" t="s">
        <v>3438</v>
      </c>
      <c r="E25" s="540" t="s">
        <v>3437</v>
      </c>
      <c r="F25" s="540" t="s">
        <v>4136</v>
      </c>
      <c r="G25" s="563">
        <v>592848167</v>
      </c>
      <c r="H25" s="561" t="s">
        <v>3441</v>
      </c>
      <c r="I25" s="564" t="s">
        <v>1771</v>
      </c>
      <c r="J25" s="564">
        <v>2</v>
      </c>
      <c r="K25" s="561">
        <f>25+25+10+10+2</f>
        <v>72</v>
      </c>
      <c r="L25" s="561">
        <f>3554.5+3497.5+693+697+38.34</f>
        <v>8480.34</v>
      </c>
      <c r="M25" s="565">
        <v>43906</v>
      </c>
      <c r="N25" s="566">
        <v>43904</v>
      </c>
      <c r="O25" s="566">
        <v>43904</v>
      </c>
      <c r="P25" s="565">
        <v>43936</v>
      </c>
      <c r="Q25" s="565">
        <v>43943</v>
      </c>
      <c r="R25" s="567" t="s">
        <v>4135</v>
      </c>
      <c r="S25" s="568" t="s">
        <v>1771</v>
      </c>
      <c r="T25" s="569" t="s">
        <v>1771</v>
      </c>
      <c r="U25" s="570" t="s">
        <v>3218</v>
      </c>
      <c r="V25" s="564" t="s">
        <v>3154</v>
      </c>
      <c r="W25" s="571" t="s">
        <v>3031</v>
      </c>
      <c r="X25" s="425">
        <v>43935</v>
      </c>
      <c r="Y25" s="564" t="s">
        <v>3261</v>
      </c>
      <c r="Z25" s="564" t="s">
        <v>3262</v>
      </c>
      <c r="AA25" s="565">
        <v>43938</v>
      </c>
      <c r="AB25" s="564" t="s">
        <v>3252</v>
      </c>
      <c r="AC25" s="564" t="s">
        <v>3096</v>
      </c>
      <c r="AD25" s="564" t="s">
        <v>3498</v>
      </c>
      <c r="AE25" s="564" t="s">
        <v>2146</v>
      </c>
      <c r="AF25" s="565">
        <v>43941</v>
      </c>
      <c r="AG25" s="570">
        <v>5032.8571400000001</v>
      </c>
      <c r="AH25" s="561" t="s">
        <v>3274</v>
      </c>
      <c r="AI25" s="564" t="s">
        <v>3108</v>
      </c>
      <c r="AJ25" s="573">
        <v>65108.99</v>
      </c>
      <c r="AK25" s="573">
        <f>1191.89+1183.13+835.56+835.56+11.86</f>
        <v>4058.0000000000005</v>
      </c>
      <c r="AL25" s="573">
        <v>5</v>
      </c>
      <c r="AM25" s="573">
        <f t="shared" si="9"/>
        <v>69171.990000000005</v>
      </c>
      <c r="AN25" s="574">
        <v>5.2572999999999999</v>
      </c>
      <c r="AO25" s="575">
        <f t="shared" si="10"/>
        <v>363657.90302700002</v>
      </c>
      <c r="AP25" s="575">
        <v>30958.03</v>
      </c>
      <c r="AQ25" s="575">
        <v>40813.99</v>
      </c>
      <c r="AR25" s="575">
        <v>7636.83</v>
      </c>
      <c r="AS25" s="575">
        <v>35092.99</v>
      </c>
      <c r="AT25" s="575">
        <v>97354.92</v>
      </c>
      <c r="AU25" s="575">
        <v>0</v>
      </c>
      <c r="AV25" s="564">
        <v>3</v>
      </c>
      <c r="AW25" s="575">
        <v>267.60000000000002</v>
      </c>
      <c r="AX25" s="564" t="s">
        <v>3139</v>
      </c>
      <c r="AY25" s="434">
        <f t="shared" si="18"/>
        <v>43943</v>
      </c>
      <c r="AZ25" s="564" t="s">
        <v>1771</v>
      </c>
      <c r="BA25" s="575">
        <v>2600</v>
      </c>
      <c r="BB25" s="575">
        <f t="shared" si="19"/>
        <v>363657.90302700002</v>
      </c>
      <c r="BC25" s="575">
        <f t="shared" si="13"/>
        <v>545486.85454050009</v>
      </c>
      <c r="BD25" s="576">
        <f t="shared" si="20"/>
        <v>2</v>
      </c>
      <c r="BE25" s="575">
        <f t="shared" si="21"/>
        <v>272743.42727025005</v>
      </c>
      <c r="BF25" s="575">
        <v>506.47</v>
      </c>
      <c r="BG25" s="575">
        <f t="shared" si="22"/>
        <v>-70</v>
      </c>
      <c r="BH25" s="575">
        <f t="shared" si="23"/>
        <v>436.47</v>
      </c>
      <c r="BI25" s="577">
        <v>5892.34</v>
      </c>
      <c r="BJ25" s="522"/>
    </row>
    <row r="26" spans="1:62" s="523" customFormat="1" ht="108">
      <c r="A26" s="560" t="s">
        <v>5150</v>
      </c>
      <c r="B26" s="561" t="s">
        <v>3042</v>
      </c>
      <c r="C26" s="561" t="s">
        <v>3043</v>
      </c>
      <c r="D26" s="562" t="s">
        <v>3439</v>
      </c>
      <c r="E26" s="540" t="s">
        <v>3440</v>
      </c>
      <c r="F26" s="540" t="s">
        <v>4138</v>
      </c>
      <c r="G26" s="563" t="s">
        <v>3442</v>
      </c>
      <c r="H26" s="561" t="s">
        <v>3443</v>
      </c>
      <c r="I26" s="564" t="s">
        <v>1771</v>
      </c>
      <c r="J26" s="564">
        <v>1</v>
      </c>
      <c r="K26" s="561">
        <f>13+25+15</f>
        <v>53</v>
      </c>
      <c r="L26" s="561">
        <f>1867.5+3230.5+1235.26</f>
        <v>6333.26</v>
      </c>
      <c r="M26" s="565">
        <v>43907</v>
      </c>
      <c r="N26" s="566">
        <v>43906</v>
      </c>
      <c r="O26" s="566">
        <v>43906</v>
      </c>
      <c r="P26" s="565">
        <v>43937</v>
      </c>
      <c r="Q26" s="565">
        <v>43943</v>
      </c>
      <c r="R26" s="567" t="s">
        <v>4137</v>
      </c>
      <c r="S26" s="568" t="s">
        <v>1771</v>
      </c>
      <c r="T26" s="569" t="s">
        <v>1771</v>
      </c>
      <c r="U26" s="570" t="s">
        <v>3218</v>
      </c>
      <c r="V26" s="564" t="s">
        <v>3154</v>
      </c>
      <c r="W26" s="571" t="s">
        <v>3031</v>
      </c>
      <c r="X26" s="425">
        <v>43938</v>
      </c>
      <c r="Y26" s="564" t="s">
        <v>3337</v>
      </c>
      <c r="Z26" s="564" t="s">
        <v>3406</v>
      </c>
      <c r="AA26" s="565">
        <v>43938</v>
      </c>
      <c r="AB26" s="564" t="s">
        <v>3252</v>
      </c>
      <c r="AC26" s="564" t="s">
        <v>3096</v>
      </c>
      <c r="AD26" s="564" t="s">
        <v>3499</v>
      </c>
      <c r="AE26" s="564" t="s">
        <v>2146</v>
      </c>
      <c r="AF26" s="565">
        <v>43941</v>
      </c>
      <c r="AG26" s="570">
        <v>3897.2</v>
      </c>
      <c r="AH26" s="561" t="s">
        <v>3238</v>
      </c>
      <c r="AI26" s="564" t="s">
        <v>3108</v>
      </c>
      <c r="AJ26" s="573">
        <v>134028.68</v>
      </c>
      <c r="AK26" s="573">
        <f>659.88+815+371.12</f>
        <v>1846</v>
      </c>
      <c r="AL26" s="573">
        <v>3</v>
      </c>
      <c r="AM26" s="573">
        <f t="shared" si="9"/>
        <v>135877.68</v>
      </c>
      <c r="AN26" s="574">
        <v>5.2572999999999999</v>
      </c>
      <c r="AO26" s="575">
        <f t="shared" si="10"/>
        <v>714349.72706399998</v>
      </c>
      <c r="AP26" s="575">
        <v>11238.54</v>
      </c>
      <c r="AQ26" s="575">
        <v>72558.789999999994</v>
      </c>
      <c r="AR26" s="575">
        <v>15001.34</v>
      </c>
      <c r="AS26" s="575">
        <v>68934.75</v>
      </c>
      <c r="AT26" s="575">
        <v>178355.34</v>
      </c>
      <c r="AU26" s="575">
        <v>0</v>
      </c>
      <c r="AV26" s="564">
        <v>6</v>
      </c>
      <c r="AW26" s="575">
        <v>332.5</v>
      </c>
      <c r="AX26" s="564" t="s">
        <v>3139</v>
      </c>
      <c r="AY26" s="434">
        <f t="shared" si="18"/>
        <v>43943</v>
      </c>
      <c r="AZ26" s="564" t="s">
        <v>1771</v>
      </c>
      <c r="BA26" s="575">
        <v>1210.5</v>
      </c>
      <c r="BB26" s="575">
        <f t="shared" si="19"/>
        <v>714349.72706399998</v>
      </c>
      <c r="BC26" s="575">
        <f t="shared" si="13"/>
        <v>1071524.590596</v>
      </c>
      <c r="BD26" s="576">
        <f t="shared" si="20"/>
        <v>1</v>
      </c>
      <c r="BE26" s="575">
        <f t="shared" si="21"/>
        <v>1071524.590596</v>
      </c>
      <c r="BF26" s="575">
        <v>506.47</v>
      </c>
      <c r="BG26" s="575">
        <f t="shared" si="22"/>
        <v>-40</v>
      </c>
      <c r="BH26" s="575">
        <f t="shared" si="23"/>
        <v>466.47</v>
      </c>
      <c r="BI26" s="577">
        <v>2650.89</v>
      </c>
      <c r="BJ26" s="522"/>
    </row>
    <row r="27" spans="1:62" s="523" customFormat="1" ht="144">
      <c r="A27" s="560" t="s">
        <v>5151</v>
      </c>
      <c r="B27" s="561" t="s">
        <v>3042</v>
      </c>
      <c r="C27" s="561" t="s">
        <v>3043</v>
      </c>
      <c r="D27" s="562" t="s">
        <v>3444</v>
      </c>
      <c r="E27" s="540" t="s">
        <v>3445</v>
      </c>
      <c r="F27" s="540" t="s">
        <v>4140</v>
      </c>
      <c r="G27" s="563">
        <v>592145603</v>
      </c>
      <c r="H27" s="561" t="s">
        <v>3447</v>
      </c>
      <c r="I27" s="564" t="s">
        <v>1771</v>
      </c>
      <c r="J27" s="564">
        <v>1</v>
      </c>
      <c r="K27" s="561">
        <f>1+3+25+1+1+1+14+1+2+2+2+2</f>
        <v>55</v>
      </c>
      <c r="L27" s="561">
        <f>40.15+228+3207.5+111.4+110.6+111+1813+8.78+55.48+63.8+68.92+138.5</f>
        <v>5957.1299999999992</v>
      </c>
      <c r="M27" s="565">
        <v>43909</v>
      </c>
      <c r="N27" s="566">
        <v>43908</v>
      </c>
      <c r="O27" s="566">
        <v>43908</v>
      </c>
      <c r="P27" s="565">
        <v>43941</v>
      </c>
      <c r="Q27" s="565">
        <v>43949</v>
      </c>
      <c r="R27" s="567" t="s">
        <v>4139</v>
      </c>
      <c r="S27" s="568" t="s">
        <v>1771</v>
      </c>
      <c r="T27" s="569" t="s">
        <v>1771</v>
      </c>
      <c r="U27" s="570" t="s">
        <v>3218</v>
      </c>
      <c r="V27" s="564" t="s">
        <v>3154</v>
      </c>
      <c r="W27" s="571" t="s">
        <v>3031</v>
      </c>
      <c r="X27" s="425">
        <v>43938</v>
      </c>
      <c r="Y27" s="564" t="s">
        <v>3261</v>
      </c>
      <c r="Z27" s="564" t="s">
        <v>3262</v>
      </c>
      <c r="AA27" s="565">
        <v>43943</v>
      </c>
      <c r="AB27" s="564" t="s">
        <v>3252</v>
      </c>
      <c r="AC27" s="564" t="s">
        <v>3096</v>
      </c>
      <c r="AD27" s="564" t="s">
        <v>3507</v>
      </c>
      <c r="AE27" s="564" t="s">
        <v>2146</v>
      </c>
      <c r="AF27" s="565">
        <v>43943</v>
      </c>
      <c r="AG27" s="570">
        <v>3735.6016100000002</v>
      </c>
      <c r="AH27" s="561" t="s">
        <v>3446</v>
      </c>
      <c r="AI27" s="564" t="s">
        <v>3108</v>
      </c>
      <c r="AJ27" s="573">
        <v>143062.64000000001</v>
      </c>
      <c r="AK27" s="573">
        <f>11.14+106.36+890.9+37.46+37.46+37.46+730.68+3.7+15.39+17.7+19.12+121.63</f>
        <v>2029</v>
      </c>
      <c r="AL27" s="573">
        <v>12</v>
      </c>
      <c r="AM27" s="573">
        <f t="shared" si="9"/>
        <v>145103.64000000001</v>
      </c>
      <c r="AN27" s="574">
        <v>5.2836999999999996</v>
      </c>
      <c r="AO27" s="575">
        <f t="shared" si="10"/>
        <v>766684.10266800004</v>
      </c>
      <c r="AP27" s="575">
        <v>16902.830000000002</v>
      </c>
      <c r="AQ27" s="575">
        <v>81839.42</v>
      </c>
      <c r="AR27" s="575">
        <v>16100.36</v>
      </c>
      <c r="AS27" s="575">
        <v>73985.02</v>
      </c>
      <c r="AT27" s="575">
        <v>187775.31</v>
      </c>
      <c r="AU27" s="575">
        <v>0</v>
      </c>
      <c r="AV27" s="564">
        <v>8</v>
      </c>
      <c r="AW27" s="575">
        <v>367.9</v>
      </c>
      <c r="AX27" s="564" t="s">
        <v>3139</v>
      </c>
      <c r="AY27" s="434">
        <f t="shared" si="18"/>
        <v>43949</v>
      </c>
      <c r="AZ27" s="564" t="s">
        <v>1771</v>
      </c>
      <c r="BA27" s="575">
        <v>1300</v>
      </c>
      <c r="BB27" s="575">
        <f t="shared" si="19"/>
        <v>766684.10266800004</v>
      </c>
      <c r="BC27" s="575">
        <f t="shared" ref="BC27:BC32" si="24">(BB27*50%)+BB27</f>
        <v>1150026.1540020001</v>
      </c>
      <c r="BD27" s="576">
        <f t="shared" si="20"/>
        <v>1</v>
      </c>
      <c r="BE27" s="575">
        <f t="shared" si="21"/>
        <v>1150026.1540020001</v>
      </c>
      <c r="BF27" s="575">
        <v>506.47</v>
      </c>
      <c r="BG27" s="575">
        <f t="shared" si="22"/>
        <v>-20</v>
      </c>
      <c r="BH27" s="575">
        <f t="shared" si="23"/>
        <v>486.47</v>
      </c>
      <c r="BI27" s="577">
        <v>3027.6</v>
      </c>
      <c r="BJ27" s="522"/>
    </row>
    <row r="28" spans="1:62" s="523" customFormat="1" ht="409.5">
      <c r="A28" s="579" t="s">
        <v>5152</v>
      </c>
      <c r="B28" s="507" t="s">
        <v>3042</v>
      </c>
      <c r="C28" s="507" t="s">
        <v>3043</v>
      </c>
      <c r="D28" s="508" t="s">
        <v>3450</v>
      </c>
      <c r="E28" s="505" t="s">
        <v>3453</v>
      </c>
      <c r="F28" s="505" t="s">
        <v>4142</v>
      </c>
      <c r="G28" s="509" t="s">
        <v>3451</v>
      </c>
      <c r="H28" s="507" t="s">
        <v>3452</v>
      </c>
      <c r="I28" s="510" t="s">
        <v>1771</v>
      </c>
      <c r="J28" s="510">
        <v>3</v>
      </c>
      <c r="K28" s="507">
        <f>30+3+8+1+8+1+1+8+1+2+2+3+3+2+2+3+3+2+2+6+1+13+1+13+13+14+1+1+1+4+1+1+1+1+1+1+1+3+4+7+7+14+4+1+4+1+3+2+2+2</f>
        <v>214</v>
      </c>
      <c r="L28" s="507">
        <f>1657.3+220+196.93+80+50.93+77+76+51.11+70+168+166+166+165+166+167+168+167+78.89+139+189.3+65+1301.4+112.5+1655+1178.84+1855.5+68.5+113+110.8+502+110.2+111.5+112+112+111.6+69+55+75.36+533+1051+1054+1842+293.2+50.5+294.6+49.5+119.24+133+136+139</f>
        <v>17633.700000000004</v>
      </c>
      <c r="M28" s="511">
        <v>43914</v>
      </c>
      <c r="N28" s="580">
        <v>43912</v>
      </c>
      <c r="O28" s="580">
        <v>43912</v>
      </c>
      <c r="P28" s="511">
        <v>43944</v>
      </c>
      <c r="Q28" s="511">
        <v>43955</v>
      </c>
      <c r="R28" s="512" t="s">
        <v>4141</v>
      </c>
      <c r="S28" s="513" t="s">
        <v>1771</v>
      </c>
      <c r="T28" s="514" t="s">
        <v>1771</v>
      </c>
      <c r="U28" s="515" t="s">
        <v>3218</v>
      </c>
      <c r="V28" s="510" t="s">
        <v>3154</v>
      </c>
      <c r="W28" s="516" t="s">
        <v>3031</v>
      </c>
      <c r="X28" s="359">
        <v>43941</v>
      </c>
      <c r="Y28" s="564" t="s">
        <v>3337</v>
      </c>
      <c r="Z28" s="564" t="s">
        <v>3406</v>
      </c>
      <c r="AA28" s="511">
        <v>43948</v>
      </c>
      <c r="AB28" s="510" t="s">
        <v>3252</v>
      </c>
      <c r="AC28" s="510" t="s">
        <v>3096</v>
      </c>
      <c r="AD28" s="510" t="s">
        <v>3520</v>
      </c>
      <c r="AE28" s="510" t="s">
        <v>2146</v>
      </c>
      <c r="AF28" s="511">
        <v>43951</v>
      </c>
      <c r="AG28" s="515">
        <v>11351.048059999999</v>
      </c>
      <c r="AH28" s="507" t="s">
        <v>3449</v>
      </c>
      <c r="AI28" s="510" t="s">
        <v>3108</v>
      </c>
      <c r="AJ28" s="517">
        <v>540405.47</v>
      </c>
      <c r="AK28" s="517">
        <f>395.9+101.77+82.75+36.73+16.37+31.86+31.86+16.37+31.86+80.53+80.53+69.91+69.91+80.53+80.53+69.91+69.91+42.04+73.46+79.65+28.32+424.35+35.84+407.55+312.98+449.14+59.29+35.84+29.42+133.28+29.26+35.84+35.84+35.84+35.84+59.29+17.7+20.01+141.51+279.04+279.84+449.14+125.23+14.6+125.23+14.6+31.66+116.38+116.38+116.38</f>
        <v>5538.0000000000018</v>
      </c>
      <c r="AL28" s="517">
        <v>50</v>
      </c>
      <c r="AM28" s="517">
        <f t="shared" si="9"/>
        <v>545993.47</v>
      </c>
      <c r="AN28" s="518">
        <v>5.4291</v>
      </c>
      <c r="AO28" s="519">
        <f t="shared" si="10"/>
        <v>2964253.1479769996</v>
      </c>
      <c r="AP28" s="519">
        <v>356534.67</v>
      </c>
      <c r="AQ28" s="519">
        <v>450377.97</v>
      </c>
      <c r="AR28" s="519">
        <v>62249.34</v>
      </c>
      <c r="AS28" s="519">
        <v>288453.55</v>
      </c>
      <c r="AT28" s="519">
        <v>735285.41</v>
      </c>
      <c r="AU28" s="519">
        <v>0</v>
      </c>
      <c r="AV28" s="510">
        <v>20</v>
      </c>
      <c r="AW28" s="519">
        <v>521.29999999999995</v>
      </c>
      <c r="AX28" s="510" t="s">
        <v>3139</v>
      </c>
      <c r="AY28" s="520">
        <f t="shared" si="18"/>
        <v>43955</v>
      </c>
      <c r="AZ28" s="510" t="s">
        <v>1771</v>
      </c>
      <c r="BA28" s="519">
        <v>3631.5</v>
      </c>
      <c r="BB28" s="519">
        <f t="shared" si="19"/>
        <v>2964253.1479769996</v>
      </c>
      <c r="BC28" s="519">
        <f t="shared" si="24"/>
        <v>4446379.7219654992</v>
      </c>
      <c r="BD28" s="521">
        <f t="shared" si="20"/>
        <v>3</v>
      </c>
      <c r="BE28" s="519">
        <f t="shared" si="21"/>
        <v>1482126.5739884998</v>
      </c>
      <c r="BF28" s="519">
        <v>625.57000000000005</v>
      </c>
      <c r="BG28" s="519">
        <f t="shared" si="22"/>
        <v>100</v>
      </c>
      <c r="BH28" s="519">
        <f t="shared" si="23"/>
        <v>725.57</v>
      </c>
      <c r="BI28" s="581">
        <v>8482.5</v>
      </c>
      <c r="BJ28" s="522"/>
    </row>
    <row r="29" spans="1:62" s="523" customFormat="1" ht="324.75" thickBot="1">
      <c r="A29" s="560" t="s">
        <v>5153</v>
      </c>
      <c r="B29" s="561" t="s">
        <v>3042</v>
      </c>
      <c r="C29" s="561" t="s">
        <v>3043</v>
      </c>
      <c r="D29" s="562" t="s">
        <v>3459</v>
      </c>
      <c r="E29" s="540" t="s">
        <v>3458</v>
      </c>
      <c r="F29" s="540" t="s">
        <v>4222</v>
      </c>
      <c r="G29" s="563" t="s">
        <v>3461</v>
      </c>
      <c r="H29" s="561" t="s">
        <v>3462</v>
      </c>
      <c r="I29" s="564">
        <v>1</v>
      </c>
      <c r="J29" s="564">
        <v>2</v>
      </c>
      <c r="K29" s="561">
        <v>187</v>
      </c>
      <c r="L29" s="561">
        <v>17251.330000000002</v>
      </c>
      <c r="M29" s="565">
        <v>43916</v>
      </c>
      <c r="N29" s="566">
        <v>43916</v>
      </c>
      <c r="O29" s="566">
        <v>43916</v>
      </c>
      <c r="P29" s="565">
        <v>43952</v>
      </c>
      <c r="Q29" s="565">
        <v>43957</v>
      </c>
      <c r="R29" s="512" t="s">
        <v>4221</v>
      </c>
      <c r="S29" s="513" t="s">
        <v>1771</v>
      </c>
      <c r="T29" s="514" t="s">
        <v>1771</v>
      </c>
      <c r="U29" s="515" t="s">
        <v>3218</v>
      </c>
      <c r="V29" s="564" t="s">
        <v>3154</v>
      </c>
      <c r="W29" s="571" t="s">
        <v>3031</v>
      </c>
      <c r="X29" s="425">
        <v>43945</v>
      </c>
      <c r="Y29" s="564" t="s">
        <v>3337</v>
      </c>
      <c r="Z29" s="564" t="s">
        <v>3406</v>
      </c>
      <c r="AA29" s="565">
        <v>43955</v>
      </c>
      <c r="AB29" s="564" t="s">
        <v>3252</v>
      </c>
      <c r="AC29" s="564" t="s">
        <v>3096</v>
      </c>
      <c r="AD29" s="564" t="s">
        <v>3521</v>
      </c>
      <c r="AE29" s="564" t="s">
        <v>2146</v>
      </c>
      <c r="AF29" s="565">
        <v>43955</v>
      </c>
      <c r="AG29" s="570">
        <v>11378.21</v>
      </c>
      <c r="AH29" s="561" t="s">
        <v>3460</v>
      </c>
      <c r="AI29" s="582" t="s">
        <v>3108</v>
      </c>
      <c r="AJ29" s="573">
        <v>339348.17</v>
      </c>
      <c r="AK29" s="573">
        <f>17.61+86.63+75.2+17.61+17.61+34.27+17.61+79.01+93.29+353.1+61.06+69.02+143.71+426.01+427.44+830.84+239.9+80.44+462.06+80.44+802.06+283.31+201.55+256.46+22.1+22.22+124.44</f>
        <v>5325.0000000000009</v>
      </c>
      <c r="AL29" s="583">
        <v>27</v>
      </c>
      <c r="AM29" s="583">
        <f t="shared" si="9"/>
        <v>344700.17</v>
      </c>
      <c r="AN29" s="584">
        <v>5.4269999999999996</v>
      </c>
      <c r="AO29" s="585">
        <f t="shared" si="10"/>
        <v>1870687.8225899998</v>
      </c>
      <c r="AP29" s="575">
        <v>229974.03</v>
      </c>
      <c r="AQ29" s="575">
        <v>275747.28000000003</v>
      </c>
      <c r="AR29" s="575">
        <v>39284.449999999997</v>
      </c>
      <c r="AS29" s="575">
        <v>180521.38</v>
      </c>
      <c r="AT29" s="575">
        <v>481503.45</v>
      </c>
      <c r="AU29" s="575">
        <v>0</v>
      </c>
      <c r="AV29" s="564">
        <v>12</v>
      </c>
      <c r="AW29" s="575">
        <v>426.9</v>
      </c>
      <c r="AX29" s="564" t="s">
        <v>3139</v>
      </c>
      <c r="AY29" s="434">
        <f t="shared" si="18"/>
        <v>43957</v>
      </c>
      <c r="AZ29" s="564" t="s">
        <v>1771</v>
      </c>
      <c r="BA29" s="575">
        <v>3631.5</v>
      </c>
      <c r="BB29" s="575">
        <f t="shared" si="19"/>
        <v>1870687.8225899998</v>
      </c>
      <c r="BC29" s="575">
        <f t="shared" si="24"/>
        <v>2806031.7338849995</v>
      </c>
      <c r="BD29" s="576">
        <f t="shared" si="20"/>
        <v>3</v>
      </c>
      <c r="BE29" s="575">
        <f t="shared" si="21"/>
        <v>935343.91129499988</v>
      </c>
      <c r="BF29" s="575">
        <v>530.29</v>
      </c>
      <c r="BG29" s="575">
        <f t="shared" si="22"/>
        <v>20</v>
      </c>
      <c r="BH29" s="575">
        <f t="shared" si="23"/>
        <v>550.29</v>
      </c>
      <c r="BI29" s="577">
        <v>7883.39</v>
      </c>
      <c r="BJ29" s="522"/>
    </row>
    <row r="30" spans="1:62" s="523" customFormat="1" ht="288">
      <c r="A30" s="560" t="s">
        <v>5154</v>
      </c>
      <c r="B30" s="561" t="s">
        <v>3042</v>
      </c>
      <c r="C30" s="561" t="s">
        <v>3043</v>
      </c>
      <c r="D30" s="562" t="s">
        <v>3455</v>
      </c>
      <c r="E30" s="540" t="s">
        <v>3456</v>
      </c>
      <c r="F30" s="540" t="s">
        <v>4224</v>
      </c>
      <c r="G30" s="563" t="s">
        <v>3463</v>
      </c>
      <c r="H30" s="561" t="s">
        <v>3462</v>
      </c>
      <c r="I30" s="564" t="s">
        <v>1771</v>
      </c>
      <c r="J30" s="564">
        <v>2</v>
      </c>
      <c r="K30" s="561">
        <f>2+3+8+8+2+3+16+14+13+2+25+1+7+7+7+8+7+7+7+7+1+1+1+2</f>
        <v>159</v>
      </c>
      <c r="L30" s="561">
        <f>168+168+50.56+50.36+168+165+344.81+1198.1+1214.5+135.5+3569+66+1052.5+1034.6+1036+689.62+719+1050+1043+987.5+78.5+2.24+65+131.5</f>
        <v>15187.29</v>
      </c>
      <c r="M30" s="565">
        <v>43921</v>
      </c>
      <c r="N30" s="566">
        <v>43919</v>
      </c>
      <c r="O30" s="566">
        <v>43919</v>
      </c>
      <c r="P30" s="565">
        <v>43952</v>
      </c>
      <c r="Q30" s="565">
        <v>43957</v>
      </c>
      <c r="R30" s="567" t="s">
        <v>4223</v>
      </c>
      <c r="S30" s="568" t="s">
        <v>1771</v>
      </c>
      <c r="T30" s="569" t="s">
        <v>1771</v>
      </c>
      <c r="U30" s="570" t="s">
        <v>3218</v>
      </c>
      <c r="V30" s="564" t="s">
        <v>3154</v>
      </c>
      <c r="W30" s="571" t="s">
        <v>3031</v>
      </c>
      <c r="X30" s="425">
        <v>43945</v>
      </c>
      <c r="Y30" s="564" t="s">
        <v>3337</v>
      </c>
      <c r="Z30" s="564" t="s">
        <v>3406</v>
      </c>
      <c r="AA30" s="565">
        <v>43955</v>
      </c>
      <c r="AB30" s="564" t="s">
        <v>3252</v>
      </c>
      <c r="AC30" s="564" t="s">
        <v>3096</v>
      </c>
      <c r="AD30" s="564" t="s">
        <v>3522</v>
      </c>
      <c r="AE30" s="564" t="s">
        <v>2146</v>
      </c>
      <c r="AF30" s="565">
        <v>43955</v>
      </c>
      <c r="AG30" s="570">
        <v>10511.010060000001</v>
      </c>
      <c r="AH30" s="561" t="s">
        <v>3457</v>
      </c>
      <c r="AI30" s="564" t="s">
        <v>3108</v>
      </c>
      <c r="AJ30" s="573">
        <v>186084.71</v>
      </c>
      <c r="AK30" s="573">
        <v>3780</v>
      </c>
      <c r="AL30" s="573">
        <v>24</v>
      </c>
      <c r="AM30" s="573">
        <f t="shared" si="9"/>
        <v>189888.71</v>
      </c>
      <c r="AN30" s="574">
        <v>5.4269999999999996</v>
      </c>
      <c r="AO30" s="575">
        <f t="shared" si="10"/>
        <v>1030526.0291699999</v>
      </c>
      <c r="AP30" s="575">
        <v>100424.6</v>
      </c>
      <c r="AQ30" s="575">
        <v>136324.98000000001</v>
      </c>
      <c r="AR30" s="575">
        <v>21641.03</v>
      </c>
      <c r="AS30" s="575">
        <v>99507.29</v>
      </c>
      <c r="AT30" s="575">
        <v>233864.36</v>
      </c>
      <c r="AU30" s="575">
        <v>0</v>
      </c>
      <c r="AV30" s="564">
        <v>20</v>
      </c>
      <c r="AW30" s="575">
        <v>521.29999999999995</v>
      </c>
      <c r="AX30" s="564" t="s">
        <v>3139</v>
      </c>
      <c r="AY30" s="434">
        <f t="shared" si="18"/>
        <v>43957</v>
      </c>
      <c r="AZ30" s="564" t="s">
        <v>1771</v>
      </c>
      <c r="BA30" s="575">
        <v>2421</v>
      </c>
      <c r="BB30" s="575">
        <f t="shared" si="19"/>
        <v>1030526.0291699999</v>
      </c>
      <c r="BC30" s="575">
        <f t="shared" si="24"/>
        <v>1545789.0437549998</v>
      </c>
      <c r="BD30" s="576">
        <f t="shared" si="20"/>
        <v>2</v>
      </c>
      <c r="BE30" s="575">
        <f t="shared" si="21"/>
        <v>772894.52187749988</v>
      </c>
      <c r="BF30" s="575">
        <v>625.57000000000005</v>
      </c>
      <c r="BG30" s="575">
        <f t="shared" si="22"/>
        <v>100</v>
      </c>
      <c r="BH30" s="575">
        <f t="shared" si="23"/>
        <v>725.57</v>
      </c>
      <c r="BI30" s="577">
        <v>5574.71</v>
      </c>
      <c r="BJ30" s="522"/>
    </row>
    <row r="31" spans="1:62" s="523" customFormat="1" ht="360">
      <c r="A31" s="560" t="s">
        <v>5155</v>
      </c>
      <c r="B31" s="561" t="s">
        <v>3042</v>
      </c>
      <c r="C31" s="561" t="s">
        <v>3043</v>
      </c>
      <c r="D31" s="562" t="s">
        <v>3491</v>
      </c>
      <c r="E31" s="540" t="s">
        <v>3492</v>
      </c>
      <c r="F31" s="540" t="s">
        <v>4260</v>
      </c>
      <c r="G31" s="563" t="s">
        <v>3475</v>
      </c>
      <c r="H31" s="561" t="s">
        <v>3471</v>
      </c>
      <c r="I31" s="564" t="s">
        <v>1771</v>
      </c>
      <c r="J31" s="564">
        <v>5</v>
      </c>
      <c r="K31" s="561">
        <f>10+10+7+14+25+1+8+1+1+10+25+17+8+10+8+9+9+7+14+25+25+4+2+2+2+2+1+1+1+1</f>
        <v>260</v>
      </c>
      <c r="L31" s="561">
        <f>701+685+944.5+1208.64+3517+83+50.8+76+77+63.4+327.55+1325+948.68+732.5+730.62+1460.5+1475.5+725.56+1864+3214.5+3201.5+443.7+131+141+131.5+131+71+68+71+70.5</f>
        <v>24670.95</v>
      </c>
      <c r="M31" s="565">
        <v>43923</v>
      </c>
      <c r="N31" s="566">
        <v>43923</v>
      </c>
      <c r="O31" s="566">
        <v>43923</v>
      </c>
      <c r="P31" s="565">
        <v>43958</v>
      </c>
      <c r="Q31" s="565">
        <v>43963</v>
      </c>
      <c r="R31" s="567" t="s">
        <v>4259</v>
      </c>
      <c r="S31" s="568" t="s">
        <v>1771</v>
      </c>
      <c r="T31" s="569" t="s">
        <v>1771</v>
      </c>
      <c r="U31" s="570" t="s">
        <v>3218</v>
      </c>
      <c r="V31" s="564" t="s">
        <v>3154</v>
      </c>
      <c r="W31" s="571" t="s">
        <v>3031</v>
      </c>
      <c r="X31" s="425">
        <v>43955</v>
      </c>
      <c r="Y31" s="564" t="s">
        <v>3337</v>
      </c>
      <c r="Z31" s="564" t="s">
        <v>3406</v>
      </c>
      <c r="AA31" s="565">
        <v>43959</v>
      </c>
      <c r="AB31" s="564" t="s">
        <v>3298</v>
      </c>
      <c r="AC31" s="564" t="s">
        <v>3096</v>
      </c>
      <c r="AD31" s="564" t="s">
        <v>3531</v>
      </c>
      <c r="AE31" s="564" t="s">
        <v>2146</v>
      </c>
      <c r="AF31" s="565">
        <v>43962</v>
      </c>
      <c r="AG31" s="570">
        <v>15752.04681</v>
      </c>
      <c r="AH31" s="561" t="s">
        <v>3449</v>
      </c>
      <c r="AI31" s="564" t="s">
        <v>3108</v>
      </c>
      <c r="AJ31" s="573">
        <v>493574.61</v>
      </c>
      <c r="AK31" s="573">
        <v>9450</v>
      </c>
      <c r="AL31" s="573">
        <v>30</v>
      </c>
      <c r="AM31" s="573">
        <f t="shared" si="9"/>
        <v>503054.61</v>
      </c>
      <c r="AN31" s="574">
        <v>5.7652999999999999</v>
      </c>
      <c r="AO31" s="575">
        <f t="shared" si="10"/>
        <v>2900260.7430329998</v>
      </c>
      <c r="AP31" s="575">
        <v>170811.51999999999</v>
      </c>
      <c r="AQ31" s="575">
        <v>359267.52</v>
      </c>
      <c r="AR31" s="575">
        <v>60905.47</v>
      </c>
      <c r="AS31" s="575">
        <v>279875.18</v>
      </c>
      <c r="AT31" s="575">
        <v>661907.43999999994</v>
      </c>
      <c r="AU31" s="575">
        <v>0</v>
      </c>
      <c r="AV31" s="564">
        <v>15</v>
      </c>
      <c r="AW31" s="575">
        <v>462.3</v>
      </c>
      <c r="AX31" s="564" t="s">
        <v>3139</v>
      </c>
      <c r="AY31" s="434">
        <f t="shared" si="18"/>
        <v>43963</v>
      </c>
      <c r="AZ31" s="564" t="s">
        <v>1771</v>
      </c>
      <c r="BA31" s="575">
        <v>6694.84</v>
      </c>
      <c r="BB31" s="575">
        <f t="shared" si="19"/>
        <v>2900260.7430329998</v>
      </c>
      <c r="BC31" s="575">
        <f t="shared" si="24"/>
        <v>4350391.1145494999</v>
      </c>
      <c r="BD31" s="576">
        <f t="shared" si="20"/>
        <v>5</v>
      </c>
      <c r="BE31" s="575">
        <f t="shared" si="21"/>
        <v>870078.22290990001</v>
      </c>
      <c r="BF31" s="575">
        <v>566.02</v>
      </c>
      <c r="BG31" s="575">
        <f t="shared" si="22"/>
        <v>50</v>
      </c>
      <c r="BH31" s="575">
        <f t="shared" si="23"/>
        <v>616.02</v>
      </c>
      <c r="BI31" s="577">
        <v>14872.43</v>
      </c>
      <c r="BJ31" s="522"/>
    </row>
    <row r="32" spans="1:62" s="523" customFormat="1" ht="409.6" thickBot="1">
      <c r="A32" s="586" t="s">
        <v>5156</v>
      </c>
      <c r="B32" s="587" t="s">
        <v>3042</v>
      </c>
      <c r="C32" s="587" t="s">
        <v>3043</v>
      </c>
      <c r="D32" s="588" t="s">
        <v>3468</v>
      </c>
      <c r="E32" s="542" t="s">
        <v>3466</v>
      </c>
      <c r="F32" s="542" t="s">
        <v>4262</v>
      </c>
      <c r="G32" s="589" t="s">
        <v>3487</v>
      </c>
      <c r="H32" s="587" t="s">
        <v>3488</v>
      </c>
      <c r="I32" s="582" t="s">
        <v>1771</v>
      </c>
      <c r="J32" s="582">
        <v>4</v>
      </c>
      <c r="K32" s="587">
        <f>8+8+6+14+9+1+1+1+1+12+5+7+5+3+5+9+8+5+9+5+9+5+5+1+1+1+1+1+1+5+2+2+14+2+2+1+2+2+2+2+5+2+1</f>
        <v>191</v>
      </c>
      <c r="L32" s="587">
        <f>923.5+921+685.5+1836.5+1634+66.5+64.5+66+69.5+1227+848+942+838.5+174+937.5+1469+689.74+909+1470+908+1473.5+875+890+117+117+117+118.5+119+119+923+217+214.5+1883+216.5+133+66.5+136+132.5+131.5+132+348+217.5+67</f>
        <v>25443.739999999998</v>
      </c>
      <c r="M32" s="590">
        <v>43927</v>
      </c>
      <c r="N32" s="591">
        <v>43928</v>
      </c>
      <c r="O32" s="591">
        <v>43928</v>
      </c>
      <c r="P32" s="590">
        <v>43959</v>
      </c>
      <c r="Q32" s="590">
        <v>43964</v>
      </c>
      <c r="R32" s="592" t="s">
        <v>4261</v>
      </c>
      <c r="S32" s="593" t="s">
        <v>1771</v>
      </c>
      <c r="T32" s="594" t="s">
        <v>1771</v>
      </c>
      <c r="U32" s="595" t="s">
        <v>3218</v>
      </c>
      <c r="V32" s="582" t="s">
        <v>3146</v>
      </c>
      <c r="W32" s="596" t="s">
        <v>3031</v>
      </c>
      <c r="X32" s="597">
        <v>43955</v>
      </c>
      <c r="Y32" s="582" t="s">
        <v>3147</v>
      </c>
      <c r="Z32" s="582" t="s">
        <v>3147</v>
      </c>
      <c r="AA32" s="590">
        <v>43962</v>
      </c>
      <c r="AB32" s="582" t="s">
        <v>3252</v>
      </c>
      <c r="AC32" s="582" t="s">
        <v>3096</v>
      </c>
      <c r="AD32" s="582" t="s">
        <v>3532</v>
      </c>
      <c r="AE32" s="582" t="s">
        <v>2146</v>
      </c>
      <c r="AF32" s="590">
        <v>43962</v>
      </c>
      <c r="AG32" s="595">
        <v>17349.94497</v>
      </c>
      <c r="AH32" s="587" t="s">
        <v>3467</v>
      </c>
      <c r="AI32" s="582" t="s">
        <v>3108</v>
      </c>
      <c r="AJ32" s="583">
        <v>377227.7</v>
      </c>
      <c r="AK32" s="583">
        <v>7560</v>
      </c>
      <c r="AL32" s="583">
        <v>43</v>
      </c>
      <c r="AM32" s="583">
        <f t="shared" ref="AM32:AM37" si="25">SUM(AJ32:AL32)</f>
        <v>384830.7</v>
      </c>
      <c r="AN32" s="574">
        <v>5.7652999999999999</v>
      </c>
      <c r="AO32" s="585">
        <f t="shared" ref="AO32:AO37" si="26">AM32*AN32</f>
        <v>2218664.4347100002</v>
      </c>
      <c r="AP32" s="585">
        <v>70962.09</v>
      </c>
      <c r="AQ32" s="585">
        <v>230601.87</v>
      </c>
      <c r="AR32" s="585">
        <v>46591.97</v>
      </c>
      <c r="AS32" s="585">
        <v>214101.17</v>
      </c>
      <c r="AT32" s="585">
        <v>562500.65</v>
      </c>
      <c r="AU32" s="585">
        <v>0</v>
      </c>
      <c r="AV32" s="582">
        <v>11</v>
      </c>
      <c r="AW32" s="585">
        <v>415.1</v>
      </c>
      <c r="AX32" s="582" t="s">
        <v>3139</v>
      </c>
      <c r="AY32" s="598">
        <f t="shared" ref="AY32:AY37" si="27">Q32</f>
        <v>43964</v>
      </c>
      <c r="AZ32" s="582" t="s">
        <v>1771</v>
      </c>
      <c r="BA32" s="585">
        <v>9839.44</v>
      </c>
      <c r="BB32" s="585">
        <f t="shared" ref="BB32:BB37" si="28">AO32</f>
        <v>2218664.4347100002</v>
      </c>
      <c r="BC32" s="585">
        <f t="shared" si="24"/>
        <v>3327996.6520650005</v>
      </c>
      <c r="BD32" s="599">
        <f t="shared" ref="BD32:BD37" si="29">SUM(I32:J32)</f>
        <v>4</v>
      </c>
      <c r="BE32" s="585">
        <f t="shared" ref="BE32:BE37" si="30">BC32/BD32</f>
        <v>831999.16301625012</v>
      </c>
      <c r="BF32" s="585">
        <v>518.38</v>
      </c>
      <c r="BG32" s="585">
        <f t="shared" ref="BG32:BG37" si="31">(AV32-10)*10</f>
        <v>10</v>
      </c>
      <c r="BH32" s="585">
        <f t="shared" ref="BH32:BH37" si="32">SUM(BF32:BG32)</f>
        <v>528.38</v>
      </c>
      <c r="BI32" s="600">
        <v>11767.61</v>
      </c>
      <c r="BJ32" s="522"/>
    </row>
    <row r="33" spans="1:62" s="523" customFormat="1" ht="132">
      <c r="A33" s="560" t="s">
        <v>5157</v>
      </c>
      <c r="B33" s="561" t="s">
        <v>3042</v>
      </c>
      <c r="C33" s="561" t="s">
        <v>3043</v>
      </c>
      <c r="D33" s="562" t="s">
        <v>3465</v>
      </c>
      <c r="E33" s="540" t="s">
        <v>3464</v>
      </c>
      <c r="F33" s="540" t="s">
        <v>4258</v>
      </c>
      <c r="G33" s="563" t="s">
        <v>3472</v>
      </c>
      <c r="H33" s="561" t="s">
        <v>3471</v>
      </c>
      <c r="I33" s="564" t="s">
        <v>1771</v>
      </c>
      <c r="J33" s="564">
        <v>1</v>
      </c>
      <c r="K33" s="561">
        <f>1+1+1+9+1+1+14+2+10+2</f>
        <v>42</v>
      </c>
      <c r="L33" s="561">
        <f>2.46+2.48+2.48+1473.5+42.82+2.48+1807+42.04+705.5+68.08</f>
        <v>4148.84</v>
      </c>
      <c r="M33" s="565">
        <v>43927</v>
      </c>
      <c r="N33" s="566">
        <v>43928</v>
      </c>
      <c r="O33" s="566">
        <v>43928</v>
      </c>
      <c r="P33" s="565">
        <v>43958</v>
      </c>
      <c r="Q33" s="565">
        <v>43964</v>
      </c>
      <c r="R33" s="567" t="s">
        <v>4257</v>
      </c>
      <c r="S33" s="568" t="s">
        <v>1771</v>
      </c>
      <c r="T33" s="569" t="s">
        <v>1771</v>
      </c>
      <c r="U33" s="570" t="s">
        <v>3218</v>
      </c>
      <c r="V33" s="564" t="s">
        <v>3154</v>
      </c>
      <c r="W33" s="571" t="s">
        <v>3031</v>
      </c>
      <c r="X33" s="425">
        <v>43952</v>
      </c>
      <c r="Y33" s="564" t="s">
        <v>3337</v>
      </c>
      <c r="Z33" s="564" t="s">
        <v>3262</v>
      </c>
      <c r="AA33" s="565">
        <v>43959</v>
      </c>
      <c r="AB33" s="564" t="s">
        <v>3252</v>
      </c>
      <c r="AC33" s="564" t="s">
        <v>3096</v>
      </c>
      <c r="AD33" s="564" t="s">
        <v>3528</v>
      </c>
      <c r="AE33" s="564" t="s">
        <v>2146</v>
      </c>
      <c r="AF33" s="565">
        <v>43962</v>
      </c>
      <c r="AG33" s="570">
        <v>2744.8596400000001</v>
      </c>
      <c r="AH33" s="561" t="s">
        <v>3322</v>
      </c>
      <c r="AI33" s="564" t="s">
        <v>3108</v>
      </c>
      <c r="AJ33" s="573">
        <v>34308.26</v>
      </c>
      <c r="AK33" s="573">
        <f>1.03+1.03+1.03+1.03+513.57+13.23+648.36+12.99+676.69+21.04</f>
        <v>1890.0000000000002</v>
      </c>
      <c r="AL33" s="573">
        <v>10</v>
      </c>
      <c r="AM33" s="573">
        <f t="shared" si="25"/>
        <v>36208.26</v>
      </c>
      <c r="AN33" s="574">
        <v>5.7652999999999999</v>
      </c>
      <c r="AO33" s="575">
        <f t="shared" si="26"/>
        <v>208751.481378</v>
      </c>
      <c r="AP33" s="575">
        <v>16872.29</v>
      </c>
      <c r="AQ33" s="575">
        <v>23829.83</v>
      </c>
      <c r="AR33" s="575">
        <v>4383.78</v>
      </c>
      <c r="AS33" s="575">
        <v>20144.509999999998</v>
      </c>
      <c r="AT33" s="575">
        <v>55590.54</v>
      </c>
      <c r="AU33" s="575">
        <v>0</v>
      </c>
      <c r="AV33" s="564">
        <v>5</v>
      </c>
      <c r="AW33" s="575">
        <v>314.8</v>
      </c>
      <c r="AX33" s="564" t="s">
        <v>3139</v>
      </c>
      <c r="AY33" s="434">
        <f t="shared" si="27"/>
        <v>43964</v>
      </c>
      <c r="AZ33" s="564" t="s">
        <v>1771</v>
      </c>
      <c r="BA33" s="575">
        <v>1210.5</v>
      </c>
      <c r="BB33" s="575">
        <f t="shared" si="28"/>
        <v>208751.481378</v>
      </c>
      <c r="BC33" s="575">
        <f t="shared" ref="BC33:BC39" si="33">(BB33*50%)+BB33</f>
        <v>313127.222067</v>
      </c>
      <c r="BD33" s="576">
        <f t="shared" si="29"/>
        <v>1</v>
      </c>
      <c r="BE33" s="575">
        <f t="shared" si="30"/>
        <v>313127.222067</v>
      </c>
      <c r="BF33" s="575">
        <v>506.47</v>
      </c>
      <c r="BG33" s="575">
        <f t="shared" si="31"/>
        <v>-50</v>
      </c>
      <c r="BH33" s="575">
        <f t="shared" si="32"/>
        <v>456.47</v>
      </c>
      <c r="BI33" s="577">
        <v>2778.94</v>
      </c>
      <c r="BJ33" s="522"/>
    </row>
    <row r="34" spans="1:62" s="523" customFormat="1" ht="288">
      <c r="A34" s="560" t="s">
        <v>5158</v>
      </c>
      <c r="B34" s="561" t="s">
        <v>3042</v>
      </c>
      <c r="C34" s="561" t="s">
        <v>3043</v>
      </c>
      <c r="D34" s="562" t="s">
        <v>3482</v>
      </c>
      <c r="E34" s="540" t="s">
        <v>3483</v>
      </c>
      <c r="F34" s="540" t="s">
        <v>4256</v>
      </c>
      <c r="G34" s="563" t="s">
        <v>3494</v>
      </c>
      <c r="H34" s="561" t="s">
        <v>3489</v>
      </c>
      <c r="I34" s="564" t="s">
        <v>1771</v>
      </c>
      <c r="J34" s="564">
        <v>4</v>
      </c>
      <c r="K34" s="561">
        <f>10+11+10+1+5+8+1+3+3+3+3+10+9+7+10+1+10+10+10+9+9+17+13+14</f>
        <v>187</v>
      </c>
      <c r="L34" s="561">
        <f>1347+1340.96+1324.5+43.94+929.5+931.5+42.78+202+218+138.2+172+1341.5+1884.5+1049.5+1494+46.32+707+715.5+721+1785.5+1773+2962.5+1538.58+1849.5</f>
        <v>24558.78</v>
      </c>
      <c r="M34" s="565">
        <v>43935</v>
      </c>
      <c r="N34" s="566">
        <v>43931</v>
      </c>
      <c r="O34" s="566">
        <v>43935</v>
      </c>
      <c r="P34" s="565">
        <v>43966</v>
      </c>
      <c r="Q34" s="565">
        <v>43973</v>
      </c>
      <c r="R34" s="567" t="s">
        <v>4255</v>
      </c>
      <c r="S34" s="568" t="s">
        <v>1771</v>
      </c>
      <c r="T34" s="569" t="s">
        <v>1771</v>
      </c>
      <c r="U34" s="570" t="s">
        <v>3218</v>
      </c>
      <c r="V34" s="564" t="s">
        <v>3154</v>
      </c>
      <c r="W34" s="571" t="s">
        <v>3031</v>
      </c>
      <c r="X34" s="425">
        <v>43962</v>
      </c>
      <c r="Y34" s="564" t="s">
        <v>3337</v>
      </c>
      <c r="Z34" s="564" t="s">
        <v>3341</v>
      </c>
      <c r="AA34" s="565">
        <v>43966</v>
      </c>
      <c r="AB34" s="564" t="s">
        <v>3252</v>
      </c>
      <c r="AC34" s="564" t="s">
        <v>3542</v>
      </c>
      <c r="AD34" s="564" t="s">
        <v>3546</v>
      </c>
      <c r="AE34" s="564" t="s">
        <v>2146</v>
      </c>
      <c r="AF34" s="565">
        <v>43971</v>
      </c>
      <c r="AG34" s="570">
        <v>16989.156190000002</v>
      </c>
      <c r="AH34" s="561" t="s">
        <v>3481</v>
      </c>
      <c r="AI34" s="564" t="s">
        <v>3108</v>
      </c>
      <c r="AJ34" s="573">
        <v>811936.05</v>
      </c>
      <c r="AK34" s="573">
        <f>360.9+359.29+354.88+11.77+249.04+354.56+11.46+102.71+111.19+59.39+70.55+359.43+504.92+281.28+400.29+12.41+467.86+467.86+467.86+478.39+475.04+682.84+412.5+503.58</f>
        <v>7560</v>
      </c>
      <c r="AL34" s="573">
        <v>24</v>
      </c>
      <c r="AM34" s="573">
        <f t="shared" si="25"/>
        <v>819520.05</v>
      </c>
      <c r="AN34" s="574">
        <v>5.7215999999999996</v>
      </c>
      <c r="AO34" s="575">
        <f t="shared" si="26"/>
        <v>4688965.9180800002</v>
      </c>
      <c r="AP34" s="575">
        <v>499285.54</v>
      </c>
      <c r="AQ34" s="575">
        <v>677830.63</v>
      </c>
      <c r="AR34" s="575">
        <v>98468.29</v>
      </c>
      <c r="AS34" s="575">
        <v>452485.24</v>
      </c>
      <c r="AT34" s="575">
        <v>1262573.71</v>
      </c>
      <c r="AU34" s="575">
        <v>0</v>
      </c>
      <c r="AV34" s="564">
        <v>12</v>
      </c>
      <c r="AW34" s="575">
        <v>426.9</v>
      </c>
      <c r="AX34" s="564" t="s">
        <v>3139</v>
      </c>
      <c r="AY34" s="434">
        <f t="shared" si="27"/>
        <v>43973</v>
      </c>
      <c r="AZ34" s="564" t="s">
        <v>1771</v>
      </c>
      <c r="BA34" s="575">
        <v>4842</v>
      </c>
      <c r="BB34" s="575">
        <f t="shared" si="28"/>
        <v>4688965.9180800002</v>
      </c>
      <c r="BC34" s="575">
        <f t="shared" si="33"/>
        <v>7033448.8771200003</v>
      </c>
      <c r="BD34" s="576">
        <f t="shared" si="29"/>
        <v>4</v>
      </c>
      <c r="BE34" s="575">
        <f t="shared" si="30"/>
        <v>1758362.2192800001</v>
      </c>
      <c r="BF34" s="575">
        <v>530.29</v>
      </c>
      <c r="BG34" s="575">
        <f t="shared" si="31"/>
        <v>20</v>
      </c>
      <c r="BH34" s="575">
        <f t="shared" si="32"/>
        <v>550.29</v>
      </c>
      <c r="BI34" s="577">
        <v>12092.5</v>
      </c>
      <c r="BJ34" s="522"/>
    </row>
    <row r="35" spans="1:62" s="523" customFormat="1" ht="156">
      <c r="A35" s="560" t="s">
        <v>5159</v>
      </c>
      <c r="B35" s="561" t="s">
        <v>3042</v>
      </c>
      <c r="C35" s="561" t="s">
        <v>3043</v>
      </c>
      <c r="D35" s="562" t="s">
        <v>3476</v>
      </c>
      <c r="E35" s="540" t="s">
        <v>3477</v>
      </c>
      <c r="F35" s="540" t="s">
        <v>4254</v>
      </c>
      <c r="G35" s="563" t="s">
        <v>3490</v>
      </c>
      <c r="H35" s="561" t="s">
        <v>3489</v>
      </c>
      <c r="I35" s="564" t="s">
        <v>1771</v>
      </c>
      <c r="J35" s="564">
        <v>3</v>
      </c>
      <c r="K35" s="561">
        <f>14+15+16+3+12+14+14+8+14+5+14+6+9</f>
        <v>144</v>
      </c>
      <c r="L35" s="561">
        <f>1866+1077.5+2099+244+1358+1410.96+1413.42+942.5+1895.5+359.5+1863.5+433+1878.5</f>
        <v>16841.38</v>
      </c>
      <c r="M35" s="565">
        <v>43935</v>
      </c>
      <c r="N35" s="566">
        <v>43933</v>
      </c>
      <c r="O35" s="566">
        <v>43937</v>
      </c>
      <c r="P35" s="565">
        <v>43966</v>
      </c>
      <c r="Q35" s="565">
        <v>43973</v>
      </c>
      <c r="R35" s="567" t="s">
        <v>4253</v>
      </c>
      <c r="S35" s="568" t="s">
        <v>1771</v>
      </c>
      <c r="T35" s="569" t="s">
        <v>1771</v>
      </c>
      <c r="U35" s="570" t="s">
        <v>3218</v>
      </c>
      <c r="V35" s="564" t="s">
        <v>3154</v>
      </c>
      <c r="W35" s="571" t="s">
        <v>3031</v>
      </c>
      <c r="X35" s="425">
        <v>43962</v>
      </c>
      <c r="Y35" s="564" t="s">
        <v>3337</v>
      </c>
      <c r="Z35" s="564" t="s">
        <v>3341</v>
      </c>
      <c r="AA35" s="565">
        <v>43966</v>
      </c>
      <c r="AB35" s="564" t="s">
        <v>3252</v>
      </c>
      <c r="AC35" s="564" t="s">
        <v>3096</v>
      </c>
      <c r="AD35" s="564" t="s">
        <v>3543</v>
      </c>
      <c r="AE35" s="564" t="s">
        <v>2146</v>
      </c>
      <c r="AF35" s="565">
        <v>43971</v>
      </c>
      <c r="AG35" s="570">
        <v>10919.60297</v>
      </c>
      <c r="AH35" s="561" t="s">
        <v>3478</v>
      </c>
      <c r="AI35" s="564" t="s">
        <v>3108</v>
      </c>
      <c r="AJ35" s="573">
        <v>659088.48</v>
      </c>
      <c r="AK35" s="573">
        <f>529.49+809.49+578.82+67.29+374.48+389.09+389.76+364.92+529.49+369.98+529.49+219.69+518.01</f>
        <v>5669.9999999999991</v>
      </c>
      <c r="AL35" s="573">
        <v>13</v>
      </c>
      <c r="AM35" s="573">
        <f t="shared" si="25"/>
        <v>664771.48</v>
      </c>
      <c r="AN35" s="574">
        <v>5.7215999999999996</v>
      </c>
      <c r="AO35" s="575">
        <f t="shared" si="26"/>
        <v>3803556.4999679998</v>
      </c>
      <c r="AP35" s="575">
        <v>483717.88</v>
      </c>
      <c r="AQ35" s="575">
        <v>587003.43999999994</v>
      </c>
      <c r="AR35" s="575">
        <v>79874.69</v>
      </c>
      <c r="AS35" s="575">
        <v>367043.2</v>
      </c>
      <c r="AT35" s="575">
        <v>1041293.5</v>
      </c>
      <c r="AU35" s="575">
        <v>0</v>
      </c>
      <c r="AV35" s="564">
        <v>10</v>
      </c>
      <c r="AW35" s="575">
        <v>403.3</v>
      </c>
      <c r="AX35" s="564" t="s">
        <v>3139</v>
      </c>
      <c r="AY35" s="434">
        <f t="shared" si="27"/>
        <v>43973</v>
      </c>
      <c r="AZ35" s="564" t="s">
        <v>1771</v>
      </c>
      <c r="BA35" s="575">
        <v>3631.5</v>
      </c>
      <c r="BB35" s="575">
        <f t="shared" si="28"/>
        <v>3803556.4999679998</v>
      </c>
      <c r="BC35" s="575">
        <f t="shared" si="33"/>
        <v>5705334.7499519996</v>
      </c>
      <c r="BD35" s="576">
        <f t="shared" si="29"/>
        <v>3</v>
      </c>
      <c r="BE35" s="575">
        <f t="shared" si="30"/>
        <v>1901778.2499839999</v>
      </c>
      <c r="BF35" s="575">
        <v>506.47</v>
      </c>
      <c r="BG35" s="575">
        <f t="shared" si="31"/>
        <v>0</v>
      </c>
      <c r="BH35" s="575">
        <f t="shared" si="32"/>
        <v>506.47</v>
      </c>
      <c r="BI35" s="577">
        <v>9074.68</v>
      </c>
      <c r="BJ35" s="522"/>
    </row>
    <row r="36" spans="1:62" s="523" customFormat="1" ht="228">
      <c r="A36" s="560" t="s">
        <v>5160</v>
      </c>
      <c r="B36" s="561" t="s">
        <v>3042</v>
      </c>
      <c r="C36" s="561" t="s">
        <v>3043</v>
      </c>
      <c r="D36" s="562" t="s">
        <v>3479</v>
      </c>
      <c r="E36" s="540" t="s">
        <v>3480</v>
      </c>
      <c r="F36" s="540" t="s">
        <v>4252</v>
      </c>
      <c r="G36" s="563">
        <v>596809733</v>
      </c>
      <c r="H36" s="561" t="s">
        <v>3493</v>
      </c>
      <c r="I36" s="564" t="s">
        <v>1771</v>
      </c>
      <c r="J36" s="564">
        <v>5</v>
      </c>
      <c r="K36" s="561">
        <f>17+9+1+8+14+5+14+14+9+9+14+9+14+14+20+20+20+15+8</f>
        <v>234</v>
      </c>
      <c r="L36" s="561">
        <f>2949.5+1884+192+1687+1875+939+1888.5+357.12+1773+1872.5+1864.5+18953+1851+1869.5+2813.5+2792+2781+1074+926</f>
        <v>50342.12</v>
      </c>
      <c r="M36" s="565">
        <v>43935</v>
      </c>
      <c r="N36" s="566">
        <v>43934</v>
      </c>
      <c r="O36" s="566">
        <v>43935</v>
      </c>
      <c r="P36" s="565">
        <v>43968</v>
      </c>
      <c r="Q36" s="565">
        <v>43974</v>
      </c>
      <c r="R36" s="601" t="s">
        <v>4251</v>
      </c>
      <c r="S36" s="568" t="s">
        <v>1771</v>
      </c>
      <c r="T36" s="569" t="s">
        <v>1771</v>
      </c>
      <c r="U36" s="570" t="s">
        <v>3218</v>
      </c>
      <c r="V36" s="564" t="s">
        <v>3544</v>
      </c>
      <c r="W36" s="571" t="s">
        <v>3031</v>
      </c>
      <c r="X36" s="425">
        <v>43966</v>
      </c>
      <c r="Y36" s="564" t="s">
        <v>3147</v>
      </c>
      <c r="Z36" s="564" t="s">
        <v>3147</v>
      </c>
      <c r="AA36" s="565">
        <v>43970</v>
      </c>
      <c r="AB36" s="564" t="s">
        <v>3252</v>
      </c>
      <c r="AC36" s="564" t="s">
        <v>3096</v>
      </c>
      <c r="AD36" s="564" t="s">
        <v>3545</v>
      </c>
      <c r="AE36" s="564" t="s">
        <v>2146</v>
      </c>
      <c r="AF36" s="565">
        <v>43971</v>
      </c>
      <c r="AG36" s="570">
        <v>22413.070009999999</v>
      </c>
      <c r="AH36" s="561" t="s">
        <v>3449</v>
      </c>
      <c r="AI36" s="564" t="s">
        <v>3108</v>
      </c>
      <c r="AJ36" s="573">
        <v>674963.47</v>
      </c>
      <c r="AK36" s="573">
        <v>10365</v>
      </c>
      <c r="AL36" s="573">
        <v>19</v>
      </c>
      <c r="AM36" s="573">
        <f t="shared" si="25"/>
        <v>685347.47</v>
      </c>
      <c r="AN36" s="574">
        <v>5.7215999999999996</v>
      </c>
      <c r="AO36" s="575">
        <f t="shared" si="26"/>
        <v>3921284.0843519997</v>
      </c>
      <c r="AP36" s="575">
        <v>141891.89000000001</v>
      </c>
      <c r="AQ36" s="575">
        <v>432921.36</v>
      </c>
      <c r="AR36" s="575">
        <v>82346.990000000005</v>
      </c>
      <c r="AS36" s="575">
        <v>378404.03</v>
      </c>
      <c r="AT36" s="575">
        <v>992043.25</v>
      </c>
      <c r="AU36" s="575">
        <v>0</v>
      </c>
      <c r="AV36" s="564">
        <v>9</v>
      </c>
      <c r="AW36" s="575">
        <v>385.6</v>
      </c>
      <c r="AX36" s="564" t="s">
        <v>3139</v>
      </c>
      <c r="AY36" s="434">
        <f t="shared" si="27"/>
        <v>43974</v>
      </c>
      <c r="AZ36" s="564" t="s">
        <v>1771</v>
      </c>
      <c r="BA36" s="575">
        <v>14976.75</v>
      </c>
      <c r="BB36" s="575">
        <f t="shared" si="28"/>
        <v>3921284.0843519997</v>
      </c>
      <c r="BC36" s="575">
        <f t="shared" si="33"/>
        <v>5881926.1265279995</v>
      </c>
      <c r="BD36" s="576">
        <f t="shared" si="29"/>
        <v>5</v>
      </c>
      <c r="BE36" s="575">
        <f t="shared" si="30"/>
        <v>1176385.2253055999</v>
      </c>
      <c r="BF36" s="575">
        <v>506.47</v>
      </c>
      <c r="BG36" s="575">
        <f t="shared" si="31"/>
        <v>-10</v>
      </c>
      <c r="BH36" s="575">
        <f t="shared" si="32"/>
        <v>496.47</v>
      </c>
      <c r="BI36" s="577">
        <v>16139.74</v>
      </c>
      <c r="BJ36" s="522"/>
    </row>
    <row r="37" spans="1:62" s="523" customFormat="1" ht="204">
      <c r="A37" s="560" t="s">
        <v>5161</v>
      </c>
      <c r="B37" s="561" t="s">
        <v>3042</v>
      </c>
      <c r="C37" s="561" t="s">
        <v>3043</v>
      </c>
      <c r="D37" s="562" t="s">
        <v>3502</v>
      </c>
      <c r="E37" s="540" t="s">
        <v>3500</v>
      </c>
      <c r="F37" s="540" t="s">
        <v>4250</v>
      </c>
      <c r="G37" s="563">
        <v>597719342</v>
      </c>
      <c r="H37" s="561" t="s">
        <v>3505</v>
      </c>
      <c r="I37" s="564" t="s">
        <v>1771</v>
      </c>
      <c r="J37" s="564">
        <v>5</v>
      </c>
      <c r="K37" s="561">
        <f>10+10+10+17+3+2+1+1+13+9+14+8+15+16+13+20+3</f>
        <v>165</v>
      </c>
      <c r="L37" s="561">
        <f>696.5+711+727+2964+232.08+20.36+11.18+4.36+1599+712.58+1822.5+1089.5+1090+1062.86+2803.5+2765+193</f>
        <v>18504.419999999998</v>
      </c>
      <c r="M37" s="565">
        <v>43942</v>
      </c>
      <c r="N37" s="566">
        <v>43943</v>
      </c>
      <c r="O37" s="566">
        <v>43943</v>
      </c>
      <c r="P37" s="565">
        <v>43975</v>
      </c>
      <c r="Q37" s="565">
        <v>43979</v>
      </c>
      <c r="R37" s="567" t="s">
        <v>4249</v>
      </c>
      <c r="S37" s="568" t="s">
        <v>1771</v>
      </c>
      <c r="T37" s="569" t="s">
        <v>1771</v>
      </c>
      <c r="U37" s="570" t="s">
        <v>3218</v>
      </c>
      <c r="V37" s="564" t="s">
        <v>3146</v>
      </c>
      <c r="W37" s="571" t="s">
        <v>3031</v>
      </c>
      <c r="X37" s="425">
        <v>43969</v>
      </c>
      <c r="Y37" s="564" t="s">
        <v>3147</v>
      </c>
      <c r="Z37" s="564" t="s">
        <v>3147</v>
      </c>
      <c r="AA37" s="565">
        <v>43976</v>
      </c>
      <c r="AB37" s="564" t="s">
        <v>3252</v>
      </c>
      <c r="AC37" s="564" t="s">
        <v>3548</v>
      </c>
      <c r="AD37" s="564" t="s">
        <v>3550</v>
      </c>
      <c r="AE37" s="564" t="s">
        <v>2146</v>
      </c>
      <c r="AF37" s="565">
        <v>43978</v>
      </c>
      <c r="AG37" s="570">
        <v>11305.809800000001</v>
      </c>
      <c r="AH37" s="561" t="s">
        <v>3501</v>
      </c>
      <c r="AI37" s="564" t="s">
        <v>3108</v>
      </c>
      <c r="AJ37" s="573">
        <v>271822.68</v>
      </c>
      <c r="AK37" s="573">
        <v>10365</v>
      </c>
      <c r="AL37" s="573">
        <v>17</v>
      </c>
      <c r="AM37" s="573">
        <f t="shared" si="25"/>
        <v>282204.68</v>
      </c>
      <c r="AN37" s="574">
        <v>5.3707000000000003</v>
      </c>
      <c r="AO37" s="575">
        <f t="shared" si="26"/>
        <v>1515636.674876</v>
      </c>
      <c r="AP37" s="575">
        <v>49014.12</v>
      </c>
      <c r="AQ37" s="575">
        <v>161437.12</v>
      </c>
      <c r="AR37" s="575">
        <v>31828.39</v>
      </c>
      <c r="AS37" s="575">
        <v>146258.97</v>
      </c>
      <c r="AT37" s="575">
        <v>386099.81</v>
      </c>
      <c r="AU37" s="575">
        <v>0</v>
      </c>
      <c r="AV37" s="564">
        <v>12</v>
      </c>
      <c r="AW37" s="575">
        <v>426.9</v>
      </c>
      <c r="AX37" s="564" t="s">
        <v>3139</v>
      </c>
      <c r="AY37" s="434">
        <f t="shared" si="27"/>
        <v>43979</v>
      </c>
      <c r="AZ37" s="564" t="s">
        <v>1771</v>
      </c>
      <c r="BA37" s="575">
        <v>11257.62</v>
      </c>
      <c r="BB37" s="575">
        <f t="shared" si="28"/>
        <v>1515636.674876</v>
      </c>
      <c r="BC37" s="575">
        <f t="shared" si="33"/>
        <v>2273455.0123140002</v>
      </c>
      <c r="BD37" s="576">
        <f t="shared" si="29"/>
        <v>5</v>
      </c>
      <c r="BE37" s="575">
        <f t="shared" si="30"/>
        <v>454691.00246280001</v>
      </c>
      <c r="BF37" s="575">
        <v>530.29</v>
      </c>
      <c r="BG37" s="575">
        <f t="shared" si="31"/>
        <v>20</v>
      </c>
      <c r="BH37" s="575">
        <f t="shared" si="32"/>
        <v>550.29</v>
      </c>
      <c r="BI37" s="577">
        <v>15733.69</v>
      </c>
      <c r="BJ37" s="522"/>
    </row>
    <row r="38" spans="1:62" s="523" customFormat="1" ht="312">
      <c r="A38" s="579" t="s">
        <v>5162</v>
      </c>
      <c r="B38" s="507" t="s">
        <v>3042</v>
      </c>
      <c r="C38" s="507" t="s">
        <v>3043</v>
      </c>
      <c r="D38" s="508" t="s">
        <v>3496</v>
      </c>
      <c r="E38" s="505" t="s">
        <v>3497</v>
      </c>
      <c r="F38" s="505" t="s">
        <v>4248</v>
      </c>
      <c r="G38" s="509" t="s">
        <v>3510</v>
      </c>
      <c r="H38" s="507" t="s">
        <v>3508</v>
      </c>
      <c r="I38" s="510" t="s">
        <v>1771</v>
      </c>
      <c r="J38" s="510">
        <v>5</v>
      </c>
      <c r="K38" s="507">
        <f>2+2+2+10+10+10+10+14+2+2+9+5+2+14+14+2+2+13+3+15+15+1+1+2+2+15</f>
        <v>179</v>
      </c>
      <c r="L38" s="507">
        <f>129.5+130.5+129+710.5+705+720.5+719+1840.5+178.5+181+1857+805.5+131.5+1848.5+1851.5+130+129+1453+186.54+1767.18+1768.64+65+65+130.5+130+1066.5</f>
        <v>18829.36</v>
      </c>
      <c r="M38" s="511">
        <v>43938</v>
      </c>
      <c r="N38" s="580">
        <v>43938</v>
      </c>
      <c r="O38" s="580">
        <v>43938</v>
      </c>
      <c r="P38" s="511">
        <v>43973</v>
      </c>
      <c r="Q38" s="511">
        <v>43985</v>
      </c>
      <c r="R38" s="512" t="s">
        <v>4247</v>
      </c>
      <c r="S38" s="513" t="s">
        <v>1771</v>
      </c>
      <c r="T38" s="514" t="s">
        <v>1771</v>
      </c>
      <c r="U38" s="515" t="s">
        <v>3218</v>
      </c>
      <c r="V38" s="510" t="s">
        <v>3154</v>
      </c>
      <c r="W38" s="516" t="s">
        <v>3031</v>
      </c>
      <c r="X38" s="359">
        <v>43969</v>
      </c>
      <c r="Y38" s="510" t="s">
        <v>3337</v>
      </c>
      <c r="Z38" s="510" t="s">
        <v>3354</v>
      </c>
      <c r="AA38" s="511">
        <v>43973</v>
      </c>
      <c r="AB38" s="510" t="s">
        <v>3252</v>
      </c>
      <c r="AC38" s="510" t="s">
        <v>3548</v>
      </c>
      <c r="AD38" s="510" t="s">
        <v>3558</v>
      </c>
      <c r="AE38" s="510" t="s">
        <v>2146</v>
      </c>
      <c r="AF38" s="511">
        <v>43979</v>
      </c>
      <c r="AG38" s="515">
        <v>12121.342189999999</v>
      </c>
      <c r="AH38" s="507" t="s">
        <v>3350</v>
      </c>
      <c r="AI38" s="510" t="s">
        <v>3108</v>
      </c>
      <c r="AJ38" s="517">
        <v>200405.59</v>
      </c>
      <c r="AK38" s="517">
        <f>137.95+137.95+136.91+687.6+687.6+687.6+687.6+672.51+64.55+64.55+580.02+259.77+137.95+672.51+672.51+137.95+137.95+453.84+58.26+551.97+552.42+68.72+68.72+137.95+137.95+856.69</f>
        <v>9450.0000000000018</v>
      </c>
      <c r="AL38" s="517">
        <v>26</v>
      </c>
      <c r="AM38" s="517">
        <f t="shared" ref="AM38:AM44" si="34">SUM(AJ38:AL38)</f>
        <v>209881.59</v>
      </c>
      <c r="AN38" s="518">
        <v>5.2991999999999999</v>
      </c>
      <c r="AO38" s="519">
        <f t="shared" ref="AO38:AO44" si="35">AM38*AN38</f>
        <v>1112204.5217279999</v>
      </c>
      <c r="AP38" s="519">
        <v>47508.49</v>
      </c>
      <c r="AQ38" s="519">
        <v>121034.15</v>
      </c>
      <c r="AR38" s="519">
        <v>23356.31</v>
      </c>
      <c r="AS38" s="519">
        <v>107327.78</v>
      </c>
      <c r="AT38" s="519">
        <v>286489.58</v>
      </c>
      <c r="AU38" s="519">
        <v>0</v>
      </c>
      <c r="AV38" s="510">
        <v>10</v>
      </c>
      <c r="AW38" s="519">
        <v>403.3</v>
      </c>
      <c r="AX38" s="510" t="s">
        <v>3139</v>
      </c>
      <c r="AY38" s="520">
        <f t="shared" ref="AY38:AY44" si="36">Q38</f>
        <v>43985</v>
      </c>
      <c r="AZ38" s="510" t="s">
        <v>1771</v>
      </c>
      <c r="BA38" s="519">
        <v>6052.5</v>
      </c>
      <c r="BB38" s="519">
        <f t="shared" ref="BB38:BB44" si="37">AO38</f>
        <v>1112204.5217279999</v>
      </c>
      <c r="BC38" s="519">
        <f t="shared" si="33"/>
        <v>1668306.782592</v>
      </c>
      <c r="BD38" s="521">
        <f t="shared" ref="BD38:BD44" si="38">SUM(I38:J38)</f>
        <v>5</v>
      </c>
      <c r="BE38" s="519">
        <f t="shared" ref="BE38:BE44" si="39">BC38/BD38</f>
        <v>333661.35651840002</v>
      </c>
      <c r="BF38" s="519">
        <v>506.47</v>
      </c>
      <c r="BG38" s="519">
        <f t="shared" ref="BG38:BG44" si="40">(AV38-10)*10</f>
        <v>0</v>
      </c>
      <c r="BH38" s="519">
        <f t="shared" ref="BH38:BH44" si="41">SUM(BF38:BG38)</f>
        <v>506.47</v>
      </c>
      <c r="BI38" s="581">
        <v>14318.18</v>
      </c>
      <c r="BJ38" s="522"/>
    </row>
    <row r="39" spans="1:62" s="523" customFormat="1" ht="324">
      <c r="A39" s="579" t="s">
        <v>5163</v>
      </c>
      <c r="B39" s="507" t="s">
        <v>3042</v>
      </c>
      <c r="C39" s="507" t="s">
        <v>3043</v>
      </c>
      <c r="D39" s="508" t="s">
        <v>3504</v>
      </c>
      <c r="E39" s="505" t="s">
        <v>3503</v>
      </c>
      <c r="F39" s="505" t="s">
        <v>4246</v>
      </c>
      <c r="G39" s="509" t="s">
        <v>3509</v>
      </c>
      <c r="H39" s="507" t="s">
        <v>3508</v>
      </c>
      <c r="I39" s="510" t="s">
        <v>1771</v>
      </c>
      <c r="J39" s="510">
        <v>5</v>
      </c>
      <c r="K39" s="507">
        <f>1+1+1+1+1+2+13+5+5+9+5+33+15+9+2+5+13+2+2+2+2+2+9+14+15+15+9</f>
        <v>193</v>
      </c>
      <c r="L39" s="507">
        <f>63.5+64+64+65+65+127.5+1515.24+870+786.73+1889+805.58+576.57+1092+1895.5+132.5+360.5+1768.5+129+132+133+130+135+1687+1802+1061.5+1059+1901</f>
        <v>20310.62</v>
      </c>
      <c r="M39" s="511">
        <v>43942</v>
      </c>
      <c r="N39" s="580">
        <v>43940</v>
      </c>
      <c r="O39" s="580">
        <v>43940</v>
      </c>
      <c r="P39" s="511">
        <v>43973</v>
      </c>
      <c r="Q39" s="511">
        <v>43985</v>
      </c>
      <c r="R39" s="512" t="s">
        <v>4245</v>
      </c>
      <c r="S39" s="513" t="s">
        <v>1771</v>
      </c>
      <c r="T39" s="514" t="s">
        <v>1771</v>
      </c>
      <c r="U39" s="515" t="s">
        <v>3218</v>
      </c>
      <c r="V39" s="510" t="s">
        <v>3154</v>
      </c>
      <c r="W39" s="516" t="s">
        <v>3031</v>
      </c>
      <c r="X39" s="359">
        <v>43969</v>
      </c>
      <c r="Y39" s="510" t="s">
        <v>3337</v>
      </c>
      <c r="Z39" s="510" t="s">
        <v>3354</v>
      </c>
      <c r="AA39" s="511">
        <v>43973</v>
      </c>
      <c r="AB39" s="510" t="s">
        <v>3252</v>
      </c>
      <c r="AC39" s="510" t="s">
        <v>3548</v>
      </c>
      <c r="AD39" s="510" t="s">
        <v>3556</v>
      </c>
      <c r="AE39" s="510" t="s">
        <v>2146</v>
      </c>
      <c r="AF39" s="511">
        <v>43979</v>
      </c>
      <c r="AG39" s="515">
        <v>13449.572330000001</v>
      </c>
      <c r="AH39" s="507" t="s">
        <v>3506</v>
      </c>
      <c r="AI39" s="510" t="s">
        <v>3108</v>
      </c>
      <c r="AJ39" s="517">
        <v>478565.39</v>
      </c>
      <c r="AK39" s="517">
        <f>68.7+68.7+68.7+68.7+68.7+136.87+473.14+271.66+259.69+589.84+259.69+259.17+838.22+591.87+142.6+422.06+642.64+137.39+137.39+137.39+137.39+136.87+526.77+722.26+845+845+593.59</f>
        <v>9450.0000000000036</v>
      </c>
      <c r="AL39" s="517">
        <v>27</v>
      </c>
      <c r="AM39" s="517">
        <f t="shared" si="34"/>
        <v>488042.39</v>
      </c>
      <c r="AN39" s="518">
        <v>5.2991999999999999</v>
      </c>
      <c r="AO39" s="519">
        <f t="shared" si="35"/>
        <v>2586234.2330880002</v>
      </c>
      <c r="AP39" s="519">
        <v>70210.789999999994</v>
      </c>
      <c r="AQ39" s="519">
        <v>286619.2</v>
      </c>
      <c r="AR39" s="519">
        <v>54309.29</v>
      </c>
      <c r="AS39" s="519">
        <v>249692.55</v>
      </c>
      <c r="AT39" s="519">
        <v>625608.25</v>
      </c>
      <c r="AU39" s="519">
        <v>0</v>
      </c>
      <c r="AV39" s="510">
        <v>19</v>
      </c>
      <c r="AW39" s="519">
        <v>509.5</v>
      </c>
      <c r="AX39" s="510" t="s">
        <v>3139</v>
      </c>
      <c r="AY39" s="520">
        <f t="shared" si="36"/>
        <v>43985</v>
      </c>
      <c r="AZ39" s="510" t="s">
        <v>1771</v>
      </c>
      <c r="BA39" s="519">
        <v>6927.14</v>
      </c>
      <c r="BB39" s="519">
        <f t="shared" si="37"/>
        <v>2586234.2330880002</v>
      </c>
      <c r="BC39" s="519">
        <f t="shared" si="33"/>
        <v>3879351.3496320006</v>
      </c>
      <c r="BD39" s="521">
        <f t="shared" si="38"/>
        <v>5</v>
      </c>
      <c r="BE39" s="519">
        <f t="shared" si="39"/>
        <v>775870.26992640016</v>
      </c>
      <c r="BF39" s="519">
        <v>727.58</v>
      </c>
      <c r="BG39" s="519">
        <f t="shared" si="40"/>
        <v>90</v>
      </c>
      <c r="BH39" s="519">
        <f t="shared" si="41"/>
        <v>817.58</v>
      </c>
      <c r="BI39" s="581">
        <v>14318.18</v>
      </c>
      <c r="BJ39" s="522"/>
    </row>
    <row r="40" spans="1:62" s="523" customFormat="1" ht="240">
      <c r="A40" s="579" t="s">
        <v>5164</v>
      </c>
      <c r="B40" s="507" t="s">
        <v>3042</v>
      </c>
      <c r="C40" s="507" t="s">
        <v>3043</v>
      </c>
      <c r="D40" s="508" t="s">
        <v>3485</v>
      </c>
      <c r="E40" s="505" t="s">
        <v>3484</v>
      </c>
      <c r="F40" s="505" t="s">
        <v>4244</v>
      </c>
      <c r="G40" s="509" t="s">
        <v>3511</v>
      </c>
      <c r="H40" s="507" t="s">
        <v>3508</v>
      </c>
      <c r="I40" s="510" t="s">
        <v>1771</v>
      </c>
      <c r="J40" s="510">
        <v>5</v>
      </c>
      <c r="K40" s="507">
        <f>10+14+10+14+10+14+14+5+9+10+8+14+5+7+20+20+15+1+1+14</f>
        <v>215</v>
      </c>
      <c r="L40" s="507">
        <f>685.5+1568.12+1317.5+1389.38+1242.5+1832+1817.5+935.5+1560.5+670.5+915+1832.5+821.2+920+2778.5+2769+1056.5+64.5+66+1844.5</f>
        <v>26086.7</v>
      </c>
      <c r="M40" s="511">
        <v>43937</v>
      </c>
      <c r="N40" s="580">
        <v>43937</v>
      </c>
      <c r="O40" s="580">
        <v>43937</v>
      </c>
      <c r="P40" s="511">
        <v>43973</v>
      </c>
      <c r="Q40" s="511">
        <v>43985</v>
      </c>
      <c r="R40" s="512" t="s">
        <v>4243</v>
      </c>
      <c r="S40" s="513" t="s">
        <v>1771</v>
      </c>
      <c r="T40" s="514" t="s">
        <v>1771</v>
      </c>
      <c r="U40" s="515" t="s">
        <v>3218</v>
      </c>
      <c r="V40" s="510" t="s">
        <v>3154</v>
      </c>
      <c r="W40" s="516" t="s">
        <v>3031</v>
      </c>
      <c r="X40" s="359">
        <v>43969</v>
      </c>
      <c r="Y40" s="510" t="s">
        <v>3337</v>
      </c>
      <c r="Z40" s="510" t="s">
        <v>3354</v>
      </c>
      <c r="AA40" s="511">
        <v>43973</v>
      </c>
      <c r="AB40" s="510" t="s">
        <v>3252</v>
      </c>
      <c r="AC40" s="510" t="s">
        <v>3548</v>
      </c>
      <c r="AD40" s="510" t="s">
        <v>3557</v>
      </c>
      <c r="AE40" s="510" t="s">
        <v>2146</v>
      </c>
      <c r="AF40" s="511">
        <v>43979</v>
      </c>
      <c r="AG40" s="515">
        <v>17317.90697</v>
      </c>
      <c r="AH40" s="507" t="s">
        <v>3486</v>
      </c>
      <c r="AI40" s="510" t="s">
        <v>3108</v>
      </c>
      <c r="AJ40" s="517">
        <v>272357.21999999997</v>
      </c>
      <c r="AK40" s="517">
        <f>627.22+428.44+359.97+379.61+339.48+619.48+619.48+255.6+451.72+644.07+361.56+619.48+227.23+368.39+792.94+792.94+822.69+60.11+60.11+619.48</f>
        <v>9450.0000000000018</v>
      </c>
      <c r="AL40" s="517">
        <v>20</v>
      </c>
      <c r="AM40" s="517">
        <f t="shared" si="34"/>
        <v>281827.21999999997</v>
      </c>
      <c r="AN40" s="518">
        <v>5.2991999999999999</v>
      </c>
      <c r="AO40" s="519">
        <f t="shared" si="35"/>
        <v>1493458.8042239998</v>
      </c>
      <c r="AP40" s="519">
        <v>72965.210000000006</v>
      </c>
      <c r="AQ40" s="519">
        <v>159162.16</v>
      </c>
      <c r="AR40" s="519">
        <v>31362.66</v>
      </c>
      <c r="AS40" s="519">
        <v>144118.82</v>
      </c>
      <c r="AT40" s="519">
        <v>385373.09</v>
      </c>
      <c r="AU40" s="519">
        <v>0</v>
      </c>
      <c r="AV40" s="510">
        <v>12</v>
      </c>
      <c r="AW40" s="519">
        <v>426.9</v>
      </c>
      <c r="AX40" s="510" t="s">
        <v>3139</v>
      </c>
      <c r="AY40" s="520">
        <f t="shared" si="36"/>
        <v>43985</v>
      </c>
      <c r="AZ40" s="510" t="s">
        <v>1771</v>
      </c>
      <c r="BA40" s="519">
        <v>6927.14</v>
      </c>
      <c r="BB40" s="519">
        <f t="shared" si="37"/>
        <v>1493458.8042239998</v>
      </c>
      <c r="BC40" s="519">
        <f t="shared" ref="BC40:BC45" si="42">(BB40*50%)+BB40</f>
        <v>2240188.206336</v>
      </c>
      <c r="BD40" s="521">
        <f t="shared" si="38"/>
        <v>5</v>
      </c>
      <c r="BE40" s="519">
        <f t="shared" si="39"/>
        <v>448037.6412672</v>
      </c>
      <c r="BF40" s="519">
        <v>671.76</v>
      </c>
      <c r="BG40" s="519">
        <f t="shared" si="40"/>
        <v>20</v>
      </c>
      <c r="BH40" s="519">
        <f t="shared" si="41"/>
        <v>691.76</v>
      </c>
      <c r="BI40" s="581">
        <v>13255.68</v>
      </c>
      <c r="BJ40" s="522"/>
    </row>
    <row r="41" spans="1:62" s="523" customFormat="1" ht="108">
      <c r="A41" s="579" t="s">
        <v>5165</v>
      </c>
      <c r="B41" s="507" t="s">
        <v>3042</v>
      </c>
      <c r="C41" s="507" t="s">
        <v>3043</v>
      </c>
      <c r="D41" s="508" t="s">
        <v>3514</v>
      </c>
      <c r="E41" s="505" t="s">
        <v>3512</v>
      </c>
      <c r="F41" s="505" t="s">
        <v>4242</v>
      </c>
      <c r="G41" s="509" t="s">
        <v>3519</v>
      </c>
      <c r="H41" s="507" t="s">
        <v>3517</v>
      </c>
      <c r="I41" s="510" t="s">
        <v>1771</v>
      </c>
      <c r="J41" s="510">
        <v>3</v>
      </c>
      <c r="K41" s="507">
        <f>15+15+2+11+9+13+15+9+15</f>
        <v>104</v>
      </c>
      <c r="L41" s="507">
        <f>1071.5+1089+132.5+1264.5+1386+1680.5+1734.5+1871.5+1064.5</f>
        <v>11294.5</v>
      </c>
      <c r="M41" s="511">
        <v>43948</v>
      </c>
      <c r="N41" s="580">
        <v>43948</v>
      </c>
      <c r="O41" s="580">
        <v>43948</v>
      </c>
      <c r="P41" s="511">
        <v>43980</v>
      </c>
      <c r="Q41" s="511">
        <v>43990</v>
      </c>
      <c r="R41" s="512" t="s">
        <v>4241</v>
      </c>
      <c r="S41" s="513" t="s">
        <v>1771</v>
      </c>
      <c r="T41" s="514" t="s">
        <v>1771</v>
      </c>
      <c r="U41" s="515" t="s">
        <v>3218</v>
      </c>
      <c r="V41" s="510" t="s">
        <v>3154</v>
      </c>
      <c r="W41" s="516" t="s">
        <v>3031</v>
      </c>
      <c r="X41" s="359">
        <v>43976</v>
      </c>
      <c r="Y41" s="510" t="s">
        <v>3337</v>
      </c>
      <c r="Z41" s="510" t="s">
        <v>3354</v>
      </c>
      <c r="AA41" s="511">
        <v>43980</v>
      </c>
      <c r="AB41" s="510" t="s">
        <v>3252</v>
      </c>
      <c r="AC41" s="510" t="s">
        <v>3548</v>
      </c>
      <c r="AD41" s="510" t="s">
        <v>3570</v>
      </c>
      <c r="AE41" s="510" t="s">
        <v>2146</v>
      </c>
      <c r="AF41" s="511">
        <v>43986</v>
      </c>
      <c r="AG41" s="515">
        <v>7515.3850000000002</v>
      </c>
      <c r="AH41" s="507" t="s">
        <v>3513</v>
      </c>
      <c r="AI41" s="510" t="s">
        <v>3108</v>
      </c>
      <c r="AJ41" s="517">
        <v>129150.94</v>
      </c>
      <c r="AK41" s="517">
        <f>598.82+554.99+537.71+443.48+404.6+139.19+995.47+1000.27+995.47</f>
        <v>5670.0000000000009</v>
      </c>
      <c r="AL41" s="517">
        <v>9</v>
      </c>
      <c r="AM41" s="517">
        <f t="shared" si="34"/>
        <v>134829.94</v>
      </c>
      <c r="AN41" s="518">
        <v>5.0515999999999996</v>
      </c>
      <c r="AO41" s="519">
        <f t="shared" si="35"/>
        <v>681106.92490400001</v>
      </c>
      <c r="AP41" s="519">
        <v>24365.279999999999</v>
      </c>
      <c r="AQ41" s="519">
        <v>73604.479999999996</v>
      </c>
      <c r="AR41" s="519">
        <v>14303.25</v>
      </c>
      <c r="AS41" s="519">
        <v>65726.820000000007</v>
      </c>
      <c r="AT41" s="519">
        <v>174329.5</v>
      </c>
      <c r="AU41" s="519">
        <v>0</v>
      </c>
      <c r="AV41" s="510">
        <v>5</v>
      </c>
      <c r="AW41" s="519">
        <v>314.8</v>
      </c>
      <c r="AX41" s="510" t="s">
        <v>3139</v>
      </c>
      <c r="AY41" s="520">
        <f t="shared" si="36"/>
        <v>43990</v>
      </c>
      <c r="AZ41" s="510" t="s">
        <v>1771</v>
      </c>
      <c r="BA41" s="519">
        <v>3631.5</v>
      </c>
      <c r="BB41" s="519">
        <f t="shared" si="37"/>
        <v>681106.92490400001</v>
      </c>
      <c r="BC41" s="519">
        <f t="shared" si="42"/>
        <v>1021660.387356</v>
      </c>
      <c r="BD41" s="521">
        <f t="shared" si="38"/>
        <v>3</v>
      </c>
      <c r="BE41" s="519">
        <f t="shared" si="39"/>
        <v>340553.46245200001</v>
      </c>
      <c r="BF41" s="519">
        <v>506.47</v>
      </c>
      <c r="BG41" s="519">
        <f t="shared" si="40"/>
        <v>-50</v>
      </c>
      <c r="BH41" s="519">
        <f t="shared" si="41"/>
        <v>456.47</v>
      </c>
      <c r="BI41" s="581">
        <v>8350.48</v>
      </c>
      <c r="BJ41" s="522"/>
    </row>
    <row r="42" spans="1:62" s="523" customFormat="1" ht="324">
      <c r="A42" s="579" t="s">
        <v>5166</v>
      </c>
      <c r="B42" s="507" t="s">
        <v>3042</v>
      </c>
      <c r="C42" s="507" t="s">
        <v>3043</v>
      </c>
      <c r="D42" s="508" t="s">
        <v>3516</v>
      </c>
      <c r="E42" s="505" t="s">
        <v>3515</v>
      </c>
      <c r="F42" s="505" t="s">
        <v>4240</v>
      </c>
      <c r="G42" s="509" t="s">
        <v>3518</v>
      </c>
      <c r="H42" s="507" t="s">
        <v>3517</v>
      </c>
      <c r="I42" s="510" t="s">
        <v>1771</v>
      </c>
      <c r="J42" s="510">
        <v>5</v>
      </c>
      <c r="K42" s="507">
        <f>9+14+14+2+2+1+1+1+1+1+1+1+14+2+15+15+15+15+14+1+2+3+3+9+9+2+3</f>
        <v>170</v>
      </c>
      <c r="L42" s="507">
        <f>1864.5+1817.5+1814.5+68.96+16.07+61+13.5+14+13+13+14+14+1831+133+1068.5+1052+1011+991.5+1865+5.2+133+296.5+240.46+1865+1870.5+68.76+191</f>
        <v>18346.449999999997</v>
      </c>
      <c r="M42" s="511">
        <v>43948</v>
      </c>
      <c r="N42" s="580">
        <v>43947</v>
      </c>
      <c r="O42" s="580">
        <v>43947</v>
      </c>
      <c r="P42" s="511">
        <v>43980</v>
      </c>
      <c r="Q42" s="511">
        <v>43991</v>
      </c>
      <c r="R42" s="512" t="s">
        <v>4239</v>
      </c>
      <c r="S42" s="513" t="s">
        <v>1771</v>
      </c>
      <c r="T42" s="514" t="s">
        <v>1771</v>
      </c>
      <c r="U42" s="515" t="s">
        <v>3218</v>
      </c>
      <c r="V42" s="510" t="s">
        <v>3154</v>
      </c>
      <c r="W42" s="516" t="s">
        <v>3031</v>
      </c>
      <c r="X42" s="359">
        <v>43976</v>
      </c>
      <c r="Y42" s="510" t="s">
        <v>3337</v>
      </c>
      <c r="Z42" s="510" t="s">
        <v>3354</v>
      </c>
      <c r="AA42" s="511">
        <v>43980</v>
      </c>
      <c r="AB42" s="510" t="s">
        <v>3252</v>
      </c>
      <c r="AC42" s="510" t="s">
        <v>3548</v>
      </c>
      <c r="AD42" s="510" t="s">
        <v>3569</v>
      </c>
      <c r="AE42" s="510" t="s">
        <v>2146</v>
      </c>
      <c r="AF42" s="511">
        <v>43986</v>
      </c>
      <c r="AG42" s="515">
        <v>11316.14381</v>
      </c>
      <c r="AH42" s="507" t="s">
        <v>3446</v>
      </c>
      <c r="AI42" s="510" t="s">
        <v>3108</v>
      </c>
      <c r="AJ42" s="517">
        <v>446366.47</v>
      </c>
      <c r="AK42" s="517">
        <f>8.83+8.83+8.82+8.83+8.83+8.83+33.24+9.35+21.49+893.16+893.16+581.06+893.16+582.93+21.43+581.21+86.74+126.22+136.6+2.6+828.45+973.19+538.18+958.13+896.01+135.56+205.16</f>
        <v>9450</v>
      </c>
      <c r="AL42" s="517">
        <v>27</v>
      </c>
      <c r="AM42" s="517">
        <f t="shared" si="34"/>
        <v>455843.47</v>
      </c>
      <c r="AN42" s="518">
        <v>5.0515999999999996</v>
      </c>
      <c r="AO42" s="519">
        <f t="shared" si="35"/>
        <v>2302738.8730519996</v>
      </c>
      <c r="AP42" s="519">
        <v>132923.45000000001</v>
      </c>
      <c r="AQ42" s="519">
        <v>281768.49</v>
      </c>
      <c r="AR42" s="519">
        <v>48357.53</v>
      </c>
      <c r="AS42" s="519">
        <v>222214.33</v>
      </c>
      <c r="AT42" s="519">
        <v>597150</v>
      </c>
      <c r="AU42" s="519">
        <v>0</v>
      </c>
      <c r="AV42" s="510">
        <v>11</v>
      </c>
      <c r="AW42" s="519">
        <v>415.1</v>
      </c>
      <c r="AX42" s="510" t="s">
        <v>3139</v>
      </c>
      <c r="AY42" s="520">
        <f t="shared" si="36"/>
        <v>43991</v>
      </c>
      <c r="AZ42" s="510" t="s">
        <v>1771</v>
      </c>
      <c r="BA42" s="519">
        <v>6052.5</v>
      </c>
      <c r="BB42" s="519">
        <f t="shared" si="37"/>
        <v>2302738.8730519996</v>
      </c>
      <c r="BC42" s="519">
        <f t="shared" si="42"/>
        <v>3454108.3095779996</v>
      </c>
      <c r="BD42" s="521">
        <f t="shared" si="38"/>
        <v>5</v>
      </c>
      <c r="BE42" s="519">
        <f t="shared" si="39"/>
        <v>690821.66191559995</v>
      </c>
      <c r="BF42" s="519">
        <v>518.38</v>
      </c>
      <c r="BG42" s="519">
        <f t="shared" si="40"/>
        <v>10</v>
      </c>
      <c r="BH42" s="519">
        <f t="shared" si="41"/>
        <v>528.38</v>
      </c>
      <c r="BI42" s="581">
        <v>13700.63</v>
      </c>
      <c r="BJ42" s="522"/>
    </row>
    <row r="43" spans="1:62" s="523" customFormat="1" ht="312">
      <c r="A43" s="560" t="s">
        <v>5167</v>
      </c>
      <c r="B43" s="561" t="s">
        <v>3042</v>
      </c>
      <c r="C43" s="561" t="s">
        <v>3043</v>
      </c>
      <c r="D43" s="562" t="s">
        <v>3526</v>
      </c>
      <c r="E43" s="540" t="s">
        <v>3525</v>
      </c>
      <c r="F43" s="540" t="s">
        <v>4238</v>
      </c>
      <c r="G43" s="563">
        <v>598406476</v>
      </c>
      <c r="H43" s="561" t="s">
        <v>3527</v>
      </c>
      <c r="I43" s="564" t="s">
        <v>1771</v>
      </c>
      <c r="J43" s="564">
        <v>5</v>
      </c>
      <c r="K43" s="561">
        <f>9+10+5+14+9+14+9+9+5+5+15+15+10+14+14+10+14+7+15</f>
        <v>203</v>
      </c>
      <c r="L43" s="561">
        <f>1233+1208.5+939+1847.5+1898+1847.5+1902+1903.5+776.5+786+1055.5+1093+1248+1848+1847+1253.5+1857+1037.5+1054.5</f>
        <v>26635.5</v>
      </c>
      <c r="M43" s="565">
        <v>43957</v>
      </c>
      <c r="N43" s="566">
        <v>43956</v>
      </c>
      <c r="O43" s="566">
        <v>43956</v>
      </c>
      <c r="P43" s="565">
        <v>43989</v>
      </c>
      <c r="Q43" s="565">
        <f>P43+10</f>
        <v>43999</v>
      </c>
      <c r="R43" s="567" t="s">
        <v>4237</v>
      </c>
      <c r="S43" s="568" t="s">
        <v>1771</v>
      </c>
      <c r="T43" s="569" t="s">
        <v>1771</v>
      </c>
      <c r="U43" s="570" t="s">
        <v>3218</v>
      </c>
      <c r="V43" s="564" t="s">
        <v>3154</v>
      </c>
      <c r="W43" s="571" t="s">
        <v>3031</v>
      </c>
      <c r="X43" s="425">
        <v>43986</v>
      </c>
      <c r="Y43" s="564" t="s">
        <v>3147</v>
      </c>
      <c r="Z43" s="564" t="s">
        <v>3147</v>
      </c>
      <c r="AA43" s="565">
        <v>43989</v>
      </c>
      <c r="AB43" s="564" t="s">
        <v>3252</v>
      </c>
      <c r="AC43" s="564" t="s">
        <v>3548</v>
      </c>
      <c r="AD43" s="564" t="s">
        <v>3588</v>
      </c>
      <c r="AE43" s="564" t="s">
        <v>2146</v>
      </c>
      <c r="AF43" s="565">
        <v>43992</v>
      </c>
      <c r="AG43" s="570">
        <v>17827.908459999999</v>
      </c>
      <c r="AH43" s="561" t="s">
        <v>3131</v>
      </c>
      <c r="AI43" s="564" t="s">
        <v>3108</v>
      </c>
      <c r="AJ43" s="573">
        <v>464035.86</v>
      </c>
      <c r="AK43" s="573">
        <v>10430.11</v>
      </c>
      <c r="AL43" s="573">
        <v>19</v>
      </c>
      <c r="AM43" s="573">
        <f t="shared" si="34"/>
        <v>474484.97</v>
      </c>
      <c r="AN43" s="574">
        <v>4.9057000000000004</v>
      </c>
      <c r="AO43" s="575">
        <f t="shared" si="35"/>
        <v>2327680.9173289998</v>
      </c>
      <c r="AP43" s="575">
        <v>50416.91</v>
      </c>
      <c r="AQ43" s="575">
        <v>240637.11</v>
      </c>
      <c r="AR43" s="575">
        <v>48881.3</v>
      </c>
      <c r="AS43" s="575">
        <v>224621.22</v>
      </c>
      <c r="AT43" s="575">
        <v>585260.31999999995</v>
      </c>
      <c r="AU43" s="575">
        <v>0</v>
      </c>
      <c r="AV43" s="564">
        <v>11</v>
      </c>
      <c r="AW43" s="575">
        <v>415.1</v>
      </c>
      <c r="AX43" s="564" t="s">
        <v>3139</v>
      </c>
      <c r="AY43" s="434">
        <f t="shared" si="36"/>
        <v>43999</v>
      </c>
      <c r="AZ43" s="564" t="s">
        <v>1771</v>
      </c>
      <c r="BA43" s="575">
        <v>13151.62</v>
      </c>
      <c r="BB43" s="575">
        <f t="shared" si="37"/>
        <v>2327680.9173289998</v>
      </c>
      <c r="BC43" s="575">
        <f t="shared" si="42"/>
        <v>3491521.3759934995</v>
      </c>
      <c r="BD43" s="576">
        <f t="shared" si="38"/>
        <v>5</v>
      </c>
      <c r="BE43" s="575">
        <f t="shared" si="39"/>
        <v>698304.27519869991</v>
      </c>
      <c r="BF43" s="575">
        <v>518.38</v>
      </c>
      <c r="BG43" s="575">
        <f t="shared" si="40"/>
        <v>10</v>
      </c>
      <c r="BH43" s="575">
        <f t="shared" si="41"/>
        <v>528.38</v>
      </c>
      <c r="BI43" s="577">
        <v>14170.39</v>
      </c>
      <c r="BJ43" s="522"/>
    </row>
    <row r="44" spans="1:62" s="523" customFormat="1" ht="84">
      <c r="A44" s="579" t="s">
        <v>5168</v>
      </c>
      <c r="B44" s="507" t="s">
        <v>3042</v>
      </c>
      <c r="C44" s="507" t="s">
        <v>3043</v>
      </c>
      <c r="D44" s="508" t="s">
        <v>3524</v>
      </c>
      <c r="E44" s="505" t="s">
        <v>3523</v>
      </c>
      <c r="F44" s="505" t="s">
        <v>4236</v>
      </c>
      <c r="G44" s="509" t="s">
        <v>3535</v>
      </c>
      <c r="H44" s="507" t="s">
        <v>3536</v>
      </c>
      <c r="I44" s="510" t="s">
        <v>1771</v>
      </c>
      <c r="J44" s="510">
        <v>1</v>
      </c>
      <c r="K44" s="507">
        <f>4+14+5+5+5+14</f>
        <v>47</v>
      </c>
      <c r="L44" s="507">
        <f>251+1841+790.5+791.5+826.5+1862</f>
        <v>6362.5</v>
      </c>
      <c r="M44" s="511">
        <v>43957</v>
      </c>
      <c r="N44" s="580">
        <v>43958</v>
      </c>
      <c r="O44" s="580">
        <v>43958</v>
      </c>
      <c r="P44" s="511">
        <v>43993</v>
      </c>
      <c r="Q44" s="511">
        <v>44000</v>
      </c>
      <c r="R44" s="512" t="s">
        <v>4235</v>
      </c>
      <c r="S44" s="513" t="s">
        <v>1771</v>
      </c>
      <c r="T44" s="514" t="s">
        <v>1771</v>
      </c>
      <c r="U44" s="515" t="s">
        <v>3218</v>
      </c>
      <c r="V44" s="510" t="s">
        <v>3154</v>
      </c>
      <c r="W44" s="516" t="s">
        <v>3031</v>
      </c>
      <c r="X44" s="359">
        <v>43987</v>
      </c>
      <c r="Y44" s="510" t="s">
        <v>3337</v>
      </c>
      <c r="Z44" s="510" t="s">
        <v>3354</v>
      </c>
      <c r="AA44" s="510"/>
      <c r="AB44" s="510" t="s">
        <v>3252</v>
      </c>
      <c r="AC44" s="510" t="s">
        <v>3548</v>
      </c>
      <c r="AD44" s="510" t="s">
        <v>3598</v>
      </c>
      <c r="AE44" s="510" t="s">
        <v>2146</v>
      </c>
      <c r="AF44" s="511">
        <v>43997</v>
      </c>
      <c r="AG44" s="515">
        <v>4271</v>
      </c>
      <c r="AH44" s="507" t="s">
        <v>3238</v>
      </c>
      <c r="AI44" s="510" t="s">
        <v>3108</v>
      </c>
      <c r="AJ44" s="517">
        <v>115838.82</v>
      </c>
      <c r="AK44" s="517">
        <f>229.39+223.57+223.57+557.89+120.52+535.06</f>
        <v>1890</v>
      </c>
      <c r="AL44" s="517">
        <v>6</v>
      </c>
      <c r="AM44" s="517">
        <f t="shared" si="34"/>
        <v>117734.82</v>
      </c>
      <c r="AN44" s="574">
        <v>5.0373000000000001</v>
      </c>
      <c r="AO44" s="519">
        <f t="shared" si="35"/>
        <v>593065.60878600006</v>
      </c>
      <c r="AP44" s="519">
        <v>12022.34</v>
      </c>
      <c r="AQ44" s="519">
        <v>60508.79</v>
      </c>
      <c r="AR44" s="519">
        <v>12454.38</v>
      </c>
      <c r="AS44" s="519">
        <v>57230.83</v>
      </c>
      <c r="AT44" s="519">
        <v>148738.12</v>
      </c>
      <c r="AU44" s="519">
        <v>0</v>
      </c>
      <c r="AV44" s="510">
        <v>3</v>
      </c>
      <c r="AW44" s="519">
        <v>267.60000000000002</v>
      </c>
      <c r="AX44" s="510" t="s">
        <v>3139</v>
      </c>
      <c r="AY44" s="520">
        <f t="shared" si="36"/>
        <v>44000</v>
      </c>
      <c r="AZ44" s="510" t="s">
        <v>1771</v>
      </c>
      <c r="BA44" s="519">
        <v>1210.5</v>
      </c>
      <c r="BB44" s="519">
        <f t="shared" si="37"/>
        <v>593065.60878600006</v>
      </c>
      <c r="BC44" s="519">
        <f t="shared" si="42"/>
        <v>889598.41317900014</v>
      </c>
      <c r="BD44" s="521">
        <f t="shared" si="38"/>
        <v>1</v>
      </c>
      <c r="BE44" s="519">
        <f t="shared" si="39"/>
        <v>889598.41317900014</v>
      </c>
      <c r="BF44" s="519">
        <v>506.47</v>
      </c>
      <c r="BG44" s="519">
        <f t="shared" si="40"/>
        <v>-70</v>
      </c>
      <c r="BH44" s="519">
        <f t="shared" si="41"/>
        <v>436.47</v>
      </c>
      <c r="BI44" s="581">
        <v>2543.94</v>
      </c>
      <c r="BJ44" s="522"/>
    </row>
    <row r="45" spans="1:62" s="523" customFormat="1" ht="168">
      <c r="A45" s="579" t="s">
        <v>5169</v>
      </c>
      <c r="B45" s="507" t="s">
        <v>3042</v>
      </c>
      <c r="C45" s="507" t="s">
        <v>3043</v>
      </c>
      <c r="D45" s="508" t="s">
        <v>3530</v>
      </c>
      <c r="E45" s="505" t="s">
        <v>3529</v>
      </c>
      <c r="F45" s="505" t="s">
        <v>4234</v>
      </c>
      <c r="G45" s="509" t="s">
        <v>3537</v>
      </c>
      <c r="H45" s="507" t="s">
        <v>3536</v>
      </c>
      <c r="I45" s="510">
        <v>1</v>
      </c>
      <c r="J45" s="510">
        <v>1</v>
      </c>
      <c r="K45" s="507">
        <f>1+14+10+14+10+2+7+2+8+2+8+2+8+9</f>
        <v>97</v>
      </c>
      <c r="L45" s="507">
        <f>34.28+1815+1233+1813+1237+182+1034+182.5+1043.06+190+1041.06+187+1039.06+1892</f>
        <v>12922.96</v>
      </c>
      <c r="M45" s="511">
        <v>43962</v>
      </c>
      <c r="N45" s="580">
        <v>43962</v>
      </c>
      <c r="O45" s="580">
        <v>43962</v>
      </c>
      <c r="P45" s="511">
        <v>43994</v>
      </c>
      <c r="Q45" s="511">
        <v>44004</v>
      </c>
      <c r="R45" s="512" t="s">
        <v>4233</v>
      </c>
      <c r="S45" s="513" t="s">
        <v>1771</v>
      </c>
      <c r="T45" s="514" t="s">
        <v>1771</v>
      </c>
      <c r="U45" s="515" t="s">
        <v>3218</v>
      </c>
      <c r="V45" s="510" t="s">
        <v>3154</v>
      </c>
      <c r="W45" s="516" t="s">
        <v>3031</v>
      </c>
      <c r="X45" s="359">
        <v>43987</v>
      </c>
      <c r="Y45" s="510" t="s">
        <v>3337</v>
      </c>
      <c r="Z45" s="510" t="s">
        <v>3354</v>
      </c>
      <c r="AA45" s="511">
        <v>43997</v>
      </c>
      <c r="AB45" s="510" t="s">
        <v>3252</v>
      </c>
      <c r="AC45" s="510" t="s">
        <v>3548</v>
      </c>
      <c r="AD45" s="510" t="s">
        <v>3596</v>
      </c>
      <c r="AE45" s="510" t="s">
        <v>2146</v>
      </c>
      <c r="AF45" s="511">
        <v>43997</v>
      </c>
      <c r="AG45" s="515">
        <v>9569.9472600000008</v>
      </c>
      <c r="AH45" s="507" t="s">
        <v>3268</v>
      </c>
      <c r="AI45" s="510" t="s">
        <v>3108</v>
      </c>
      <c r="AJ45" s="517">
        <v>157379.54</v>
      </c>
      <c r="AK45" s="517">
        <f>285.3+66.36+285.85+70.48+286.4+56.75+283.91+56.75+239.65+593.05+238.55+593.05+9.41+369.49</f>
        <v>3435</v>
      </c>
      <c r="AL45" s="517">
        <v>14</v>
      </c>
      <c r="AM45" s="517">
        <f t="shared" ref="AM45:AM53" si="43">SUM(AJ45:AL45)</f>
        <v>160828.54</v>
      </c>
      <c r="AN45" s="518">
        <v>5.0373000000000001</v>
      </c>
      <c r="AO45" s="519">
        <f t="shared" ref="AO45:AO53" si="44">AM45*AN45</f>
        <v>810141.6045420001</v>
      </c>
      <c r="AP45" s="519">
        <v>30585.82</v>
      </c>
      <c r="AQ45" s="519">
        <v>84072.72</v>
      </c>
      <c r="AR45" s="519">
        <v>17012.97</v>
      </c>
      <c r="AS45" s="519">
        <v>78178.69</v>
      </c>
      <c r="AT45" s="519">
        <v>206546.07</v>
      </c>
      <c r="AU45" s="519">
        <v>0</v>
      </c>
      <c r="AV45" s="510">
        <v>8</v>
      </c>
      <c r="AW45" s="519">
        <v>367.9</v>
      </c>
      <c r="AX45" s="510" t="s">
        <v>3139</v>
      </c>
      <c r="AY45" s="520">
        <f t="shared" ref="AY45:AY53" si="45">Q45</f>
        <v>44004</v>
      </c>
      <c r="AZ45" s="510" t="s">
        <v>1771</v>
      </c>
      <c r="BA45" s="519">
        <v>2421</v>
      </c>
      <c r="BB45" s="519">
        <f t="shared" ref="BB45:BB53" si="46">AO45</f>
        <v>810141.6045420001</v>
      </c>
      <c r="BC45" s="519">
        <f t="shared" si="42"/>
        <v>1215212.4068130001</v>
      </c>
      <c r="BD45" s="521">
        <f t="shared" ref="BD45:BD53" si="47">SUM(I45:J45)</f>
        <v>2</v>
      </c>
      <c r="BE45" s="519">
        <f t="shared" ref="BE45:BE53" si="48">BC45/BD45</f>
        <v>607606.20340650005</v>
      </c>
      <c r="BF45" s="519">
        <v>506.47</v>
      </c>
      <c r="BG45" s="519">
        <f t="shared" ref="BG45:BG53" si="49">(AV45-10)*10</f>
        <v>-20</v>
      </c>
      <c r="BH45" s="519">
        <f t="shared" ref="BH45:BH53" si="50">SUM(BF45:BG45)</f>
        <v>486.47</v>
      </c>
      <c r="BI45" s="581">
        <v>4644.97</v>
      </c>
      <c r="BJ45" s="522"/>
    </row>
    <row r="46" spans="1:62" s="523" customFormat="1" ht="192">
      <c r="A46" s="579" t="s">
        <v>5170</v>
      </c>
      <c r="B46" s="507" t="s">
        <v>3042</v>
      </c>
      <c r="C46" s="507" t="s">
        <v>3043</v>
      </c>
      <c r="D46" s="508" t="s">
        <v>3534</v>
      </c>
      <c r="E46" s="505" t="s">
        <v>3533</v>
      </c>
      <c r="F46" s="505" t="s">
        <v>4232</v>
      </c>
      <c r="G46" s="509" t="s">
        <v>3541</v>
      </c>
      <c r="H46" s="507" t="s">
        <v>3540</v>
      </c>
      <c r="I46" s="510" t="s">
        <v>1771</v>
      </c>
      <c r="J46" s="510">
        <v>5</v>
      </c>
      <c r="K46" s="507">
        <f>25+25+2+2+14+14+14+12+8+9+25</f>
        <v>150</v>
      </c>
      <c r="L46" s="507">
        <f>1765.5+1775.5+13.05+34.5+1870.5+1854.5+1835.5+1318.5+932.5+1898.5+1757</f>
        <v>15055.55</v>
      </c>
      <c r="M46" s="511">
        <v>43965</v>
      </c>
      <c r="N46" s="580">
        <v>43966</v>
      </c>
      <c r="O46" s="580">
        <v>43966</v>
      </c>
      <c r="P46" s="511">
        <v>44000</v>
      </c>
      <c r="Q46" s="511">
        <v>44007</v>
      </c>
      <c r="R46" s="512" t="s">
        <v>4231</v>
      </c>
      <c r="S46" s="513" t="s">
        <v>1771</v>
      </c>
      <c r="T46" s="514" t="s">
        <v>1771</v>
      </c>
      <c r="U46" s="515" t="s">
        <v>3218</v>
      </c>
      <c r="V46" s="510" t="s">
        <v>3154</v>
      </c>
      <c r="W46" s="516" t="s">
        <v>3031</v>
      </c>
      <c r="X46" s="359">
        <v>43997</v>
      </c>
      <c r="Y46" s="510" t="s">
        <v>3337</v>
      </c>
      <c r="Z46" s="510" t="s">
        <v>3354</v>
      </c>
      <c r="AA46" s="511">
        <v>44001</v>
      </c>
      <c r="AB46" s="510" t="s">
        <v>3252</v>
      </c>
      <c r="AC46" s="510" t="s">
        <v>3548</v>
      </c>
      <c r="AD46" s="510" t="s">
        <v>3619</v>
      </c>
      <c r="AE46" s="510" t="s">
        <v>2146</v>
      </c>
      <c r="AF46" s="511">
        <v>44005</v>
      </c>
      <c r="AG46" s="515">
        <v>8917.3245399999996</v>
      </c>
      <c r="AH46" s="507" t="s">
        <v>3513</v>
      </c>
      <c r="AI46" s="510" t="s">
        <v>3108</v>
      </c>
      <c r="AJ46" s="517">
        <v>147463.82</v>
      </c>
      <c r="AK46" s="517">
        <f>630.43+439.43+437.83+874.44+874.44+874.44+11.46+4.43+1766.19+1776.25+1760.66</f>
        <v>9450</v>
      </c>
      <c r="AL46" s="517">
        <v>11</v>
      </c>
      <c r="AM46" s="517">
        <f t="shared" si="43"/>
        <v>156924.82</v>
      </c>
      <c r="AN46" s="518">
        <v>5.2225999999999999</v>
      </c>
      <c r="AO46" s="519">
        <f t="shared" si="44"/>
        <v>819555.56493200001</v>
      </c>
      <c r="AP46" s="519">
        <v>36758.639999999999</v>
      </c>
      <c r="AQ46" s="519">
        <v>90674.23</v>
      </c>
      <c r="AR46" s="519">
        <v>17210.669999999998</v>
      </c>
      <c r="AS46" s="519">
        <v>79087.13</v>
      </c>
      <c r="AT46" s="519">
        <v>212197.6</v>
      </c>
      <c r="AU46" s="519">
        <v>0</v>
      </c>
      <c r="AV46" s="510">
        <v>7</v>
      </c>
      <c r="AW46" s="519">
        <v>350.2</v>
      </c>
      <c r="AX46" s="510" t="s">
        <v>3139</v>
      </c>
      <c r="AY46" s="520">
        <f t="shared" si="45"/>
        <v>44007</v>
      </c>
      <c r="AZ46" s="510" t="s">
        <v>1771</v>
      </c>
      <c r="BA46" s="519">
        <v>6052.5</v>
      </c>
      <c r="BB46" s="519">
        <f t="shared" si="46"/>
        <v>819555.56493200001</v>
      </c>
      <c r="BC46" s="519">
        <f t="shared" ref="BC46:BC53" si="51">(BB46*50%)+BB46</f>
        <v>1229333.3473980001</v>
      </c>
      <c r="BD46" s="521">
        <f t="shared" si="47"/>
        <v>5</v>
      </c>
      <c r="BE46" s="519">
        <f t="shared" si="48"/>
        <v>245866.66947960001</v>
      </c>
      <c r="BF46" s="519">
        <v>506.47</v>
      </c>
      <c r="BG46" s="519">
        <f t="shared" si="49"/>
        <v>-30</v>
      </c>
      <c r="BH46" s="519">
        <f t="shared" si="50"/>
        <v>476.47</v>
      </c>
      <c r="BI46" s="581">
        <v>13715.51</v>
      </c>
      <c r="BJ46" s="522"/>
    </row>
    <row r="47" spans="1:62" s="523" customFormat="1" ht="192">
      <c r="A47" s="579" t="s">
        <v>5171</v>
      </c>
      <c r="B47" s="507" t="s">
        <v>3042</v>
      </c>
      <c r="C47" s="507" t="s">
        <v>3043</v>
      </c>
      <c r="D47" s="508" t="s">
        <v>3539</v>
      </c>
      <c r="E47" s="505" t="s">
        <v>3538</v>
      </c>
      <c r="F47" s="505" t="s">
        <v>4230</v>
      </c>
      <c r="G47" s="509" t="s">
        <v>3547</v>
      </c>
      <c r="H47" s="507" t="s">
        <v>3540</v>
      </c>
      <c r="I47" s="510" t="s">
        <v>1771</v>
      </c>
      <c r="J47" s="510">
        <v>5</v>
      </c>
      <c r="K47" s="507">
        <f>5+5+17+9+9+10+9+5+5+25+25+5+5+5+5+5</f>
        <v>149</v>
      </c>
      <c r="L47" s="507">
        <f>324+331.5+2470+1209+1216+1240.5+1867.5+329+344.5+1768.5+1757+330.5+331+330+329+339.5</f>
        <v>14517.5</v>
      </c>
      <c r="M47" s="511">
        <v>43970</v>
      </c>
      <c r="N47" s="580">
        <v>43968</v>
      </c>
      <c r="O47" s="580">
        <v>43968</v>
      </c>
      <c r="P47" s="511">
        <v>44000</v>
      </c>
      <c r="Q47" s="511">
        <v>44011</v>
      </c>
      <c r="R47" s="512" t="s">
        <v>4229</v>
      </c>
      <c r="S47" s="513" t="s">
        <v>1771</v>
      </c>
      <c r="T47" s="514" t="s">
        <v>1771</v>
      </c>
      <c r="U47" s="515" t="s">
        <v>3218</v>
      </c>
      <c r="V47" s="510" t="s">
        <v>3154</v>
      </c>
      <c r="W47" s="516" t="s">
        <v>3031</v>
      </c>
      <c r="X47" s="359">
        <v>43997</v>
      </c>
      <c r="Y47" s="510" t="s">
        <v>3337</v>
      </c>
      <c r="Z47" s="510" t="s">
        <v>3354</v>
      </c>
      <c r="AA47" s="511">
        <v>44001</v>
      </c>
      <c r="AB47" s="510" t="s">
        <v>3252</v>
      </c>
      <c r="AC47" s="510" t="s">
        <v>3548</v>
      </c>
      <c r="AD47" s="510" t="s">
        <v>3620</v>
      </c>
      <c r="AE47" s="510" t="s">
        <v>2146</v>
      </c>
      <c r="AF47" s="511">
        <v>44006</v>
      </c>
      <c r="AG47" s="515">
        <v>9746.3849800000007</v>
      </c>
      <c r="AH47" s="507" t="s">
        <v>3513</v>
      </c>
      <c r="AI47" s="510" t="s">
        <v>3108</v>
      </c>
      <c r="AJ47" s="517">
        <v>137128.81</v>
      </c>
      <c r="AK47" s="517">
        <f>646.02+429.12+420.65+418.22+791.93+379.37+380.52+381.67+384.56+381.67+384.56+381.67+1624.98+1681.72+381.67+381.67</f>
        <v>9450</v>
      </c>
      <c r="AL47" s="517">
        <v>16</v>
      </c>
      <c r="AM47" s="517">
        <f t="shared" si="43"/>
        <v>146594.81</v>
      </c>
      <c r="AN47" s="518">
        <v>5.1704999999999997</v>
      </c>
      <c r="AO47" s="519">
        <f t="shared" si="44"/>
        <v>757968.46510499995</v>
      </c>
      <c r="AP47" s="519">
        <v>34533.54</v>
      </c>
      <c r="AQ47" s="519">
        <v>85814.45</v>
      </c>
      <c r="AR47" s="519">
        <v>15917.33</v>
      </c>
      <c r="AS47" s="519">
        <v>73143.97</v>
      </c>
      <c r="AT47" s="519">
        <v>196609.3</v>
      </c>
      <c r="AU47" s="519">
        <v>0</v>
      </c>
      <c r="AV47" s="510">
        <v>9</v>
      </c>
      <c r="AW47" s="519">
        <v>385.6</v>
      </c>
      <c r="AX47" s="510" t="s">
        <v>3139</v>
      </c>
      <c r="AY47" s="520">
        <f t="shared" si="45"/>
        <v>44011</v>
      </c>
      <c r="AZ47" s="510" t="s">
        <v>1771</v>
      </c>
      <c r="BA47" s="519">
        <v>6931.32</v>
      </c>
      <c r="BB47" s="519">
        <f t="shared" si="46"/>
        <v>757968.46510499995</v>
      </c>
      <c r="BC47" s="519">
        <f t="shared" si="51"/>
        <v>1136952.6976574999</v>
      </c>
      <c r="BD47" s="521">
        <f t="shared" si="47"/>
        <v>5</v>
      </c>
      <c r="BE47" s="519">
        <f t="shared" si="48"/>
        <v>227390.53953149999</v>
      </c>
      <c r="BF47" s="519">
        <v>506.47</v>
      </c>
      <c r="BG47" s="519">
        <f t="shared" si="49"/>
        <v>-10</v>
      </c>
      <c r="BH47" s="519">
        <f t="shared" si="50"/>
        <v>496.47</v>
      </c>
      <c r="BI47" s="581">
        <v>13715.51</v>
      </c>
      <c r="BJ47" s="522"/>
    </row>
    <row r="48" spans="1:62" s="523" customFormat="1" ht="276">
      <c r="A48" s="579" t="s">
        <v>5172</v>
      </c>
      <c r="B48" s="507" t="s">
        <v>3042</v>
      </c>
      <c r="C48" s="507" t="s">
        <v>3043</v>
      </c>
      <c r="D48" s="508" t="s">
        <v>3553</v>
      </c>
      <c r="E48" s="505" t="s">
        <v>3552</v>
      </c>
      <c r="F48" s="505" t="s">
        <v>4228</v>
      </c>
      <c r="G48" s="509" t="s">
        <v>3559</v>
      </c>
      <c r="H48" s="507" t="s">
        <v>3554</v>
      </c>
      <c r="I48" s="510">
        <v>1</v>
      </c>
      <c r="J48" s="510">
        <v>3</v>
      </c>
      <c r="K48" s="507">
        <f>13+14+9+9+17+14+4+9+5+5+5+9+1+3+3+3+3+3+3+3+3+3+5</f>
        <v>146</v>
      </c>
      <c r="L48" s="507">
        <f>2851.5+1853+1623+1592+2468+1819.5+503+1615.5+787.84+776+794.5+1923.5+0.54+208.5+202.5+208+199+199+200.5+201+198.5+201.5+331</f>
        <v>20757.38</v>
      </c>
      <c r="M48" s="511">
        <v>43977</v>
      </c>
      <c r="N48" s="580">
        <v>43975</v>
      </c>
      <c r="O48" s="580">
        <v>43975</v>
      </c>
      <c r="P48" s="511">
        <v>44008</v>
      </c>
      <c r="Q48" s="511">
        <v>44014</v>
      </c>
      <c r="R48" s="512" t="s">
        <v>4227</v>
      </c>
      <c r="S48" s="513" t="s">
        <v>1771</v>
      </c>
      <c r="T48" s="514" t="s">
        <v>1771</v>
      </c>
      <c r="U48" s="515" t="s">
        <v>3218</v>
      </c>
      <c r="V48" s="510" t="s">
        <v>3154</v>
      </c>
      <c r="W48" s="516" t="s">
        <v>3031</v>
      </c>
      <c r="X48" s="359">
        <v>44005</v>
      </c>
      <c r="Y48" s="510" t="s">
        <v>3337</v>
      </c>
      <c r="Z48" s="510" t="s">
        <v>3354</v>
      </c>
      <c r="AA48" s="511">
        <v>44008</v>
      </c>
      <c r="AB48" s="510" t="s">
        <v>3252</v>
      </c>
      <c r="AC48" s="510" t="s">
        <v>3548</v>
      </c>
      <c r="AD48" s="510" t="s">
        <v>3629</v>
      </c>
      <c r="AE48" s="510" t="s">
        <v>2146</v>
      </c>
      <c r="AF48" s="511">
        <v>44012</v>
      </c>
      <c r="AG48" s="515">
        <v>15009.68302</v>
      </c>
      <c r="AH48" s="507" t="s">
        <v>3359</v>
      </c>
      <c r="AI48" s="510" t="s">
        <v>3108</v>
      </c>
      <c r="AJ48" s="517">
        <v>522126.68</v>
      </c>
      <c r="AK48" s="517">
        <f>252.85+252.85+252.85+502.66+152.93+550+550+502.66+502.66+532.84+500+500+202.69+202.69+202.69+202.69+202.69+202.69+202.69+202.69+202.69+0.51+337.98</f>
        <v>7214.9999999999964</v>
      </c>
      <c r="AL48" s="517">
        <v>23</v>
      </c>
      <c r="AM48" s="517">
        <f t="shared" si="43"/>
        <v>529364.67999999993</v>
      </c>
      <c r="AN48" s="518">
        <v>5.4416000000000002</v>
      </c>
      <c r="AO48" s="519">
        <f t="shared" si="44"/>
        <v>2880590.8426879998</v>
      </c>
      <c r="AP48" s="519">
        <v>26519.83</v>
      </c>
      <c r="AQ48" s="519">
        <v>293115.31</v>
      </c>
      <c r="AR48" s="519">
        <v>60492.41</v>
      </c>
      <c r="AS48" s="519">
        <v>277977.05</v>
      </c>
      <c r="AT48" s="519">
        <v>714705.83</v>
      </c>
      <c r="AU48" s="519">
        <v>0</v>
      </c>
      <c r="AV48" s="510">
        <v>12</v>
      </c>
      <c r="AW48" s="519">
        <v>426.9</v>
      </c>
      <c r="AX48" s="510" t="s">
        <v>3139</v>
      </c>
      <c r="AY48" s="520">
        <f t="shared" si="45"/>
        <v>44014</v>
      </c>
      <c r="AZ48" s="510" t="s">
        <v>1771</v>
      </c>
      <c r="BA48" s="519">
        <v>4842</v>
      </c>
      <c r="BB48" s="519">
        <f t="shared" si="46"/>
        <v>2880590.8426879998</v>
      </c>
      <c r="BC48" s="519">
        <f t="shared" si="51"/>
        <v>4320886.2640319997</v>
      </c>
      <c r="BD48" s="521">
        <f t="shared" si="47"/>
        <v>4</v>
      </c>
      <c r="BE48" s="519">
        <f t="shared" si="48"/>
        <v>1080221.5660079999</v>
      </c>
      <c r="BF48" s="519">
        <v>530.29</v>
      </c>
      <c r="BG48" s="519">
        <f t="shared" si="49"/>
        <v>20</v>
      </c>
      <c r="BH48" s="519">
        <f t="shared" si="50"/>
        <v>550.29</v>
      </c>
      <c r="BI48" s="581">
        <v>9874.9</v>
      </c>
      <c r="BJ48" s="522"/>
    </row>
    <row r="49" spans="1:62" s="523" customFormat="1" ht="312">
      <c r="A49" s="579" t="s">
        <v>5173</v>
      </c>
      <c r="B49" s="507" t="s">
        <v>3042</v>
      </c>
      <c r="C49" s="507" t="s">
        <v>3043</v>
      </c>
      <c r="D49" s="508" t="s">
        <v>3551</v>
      </c>
      <c r="E49" s="505" t="s">
        <v>3549</v>
      </c>
      <c r="F49" s="505" t="s">
        <v>4226</v>
      </c>
      <c r="G49" s="509" t="s">
        <v>3555</v>
      </c>
      <c r="H49" s="507" t="s">
        <v>3554</v>
      </c>
      <c r="I49" s="510" t="s">
        <v>1771</v>
      </c>
      <c r="J49" s="510">
        <v>4</v>
      </c>
      <c r="K49" s="507">
        <f>5+5+5+5+5+9+5+5+5+5+5+9+20+14+20+4+4+1+1+5+5+5+5+5+5+5</f>
        <v>167</v>
      </c>
      <c r="L49" s="507">
        <f>796+789+786+775.07+785+1876.5+796.23+791.92+798.44+786+342.5+1870.5+2849+2148.4+2787.5+500.5+435.72+53.5+82+331+335+333.5+347+344.5+334.5+332.5</f>
        <v>22407.78</v>
      </c>
      <c r="M49" s="511">
        <v>43976</v>
      </c>
      <c r="N49" s="580">
        <v>43973</v>
      </c>
      <c r="O49" s="580">
        <v>43973</v>
      </c>
      <c r="P49" s="511">
        <v>44007</v>
      </c>
      <c r="Q49" s="511">
        <v>44015</v>
      </c>
      <c r="R49" s="512" t="s">
        <v>4225</v>
      </c>
      <c r="S49" s="513" t="s">
        <v>1771</v>
      </c>
      <c r="T49" s="514" t="s">
        <v>1771</v>
      </c>
      <c r="U49" s="515" t="s">
        <v>3218</v>
      </c>
      <c r="V49" s="510" t="s">
        <v>3154</v>
      </c>
      <c r="W49" s="516" t="s">
        <v>3031</v>
      </c>
      <c r="X49" s="359">
        <v>44004</v>
      </c>
      <c r="Y49" s="510" t="s">
        <v>3337</v>
      </c>
      <c r="Z49" s="510" t="s">
        <v>3354</v>
      </c>
      <c r="AA49" s="511">
        <v>44008</v>
      </c>
      <c r="AB49" s="510" t="s">
        <v>3252</v>
      </c>
      <c r="AC49" s="510" t="s">
        <v>3548</v>
      </c>
      <c r="AD49" s="510" t="s">
        <v>3628</v>
      </c>
      <c r="AE49" s="510" t="s">
        <v>2146</v>
      </c>
      <c r="AF49" s="511">
        <v>44012</v>
      </c>
      <c r="AG49" s="515">
        <v>16161.697899999999</v>
      </c>
      <c r="AH49" s="507" t="s">
        <v>3359</v>
      </c>
      <c r="AI49" s="510" t="s">
        <v>3108</v>
      </c>
      <c r="AJ49" s="517">
        <v>496280.11</v>
      </c>
      <c r="AK49" s="517">
        <f>232.78+232.78+232.78+425.22+232.78+232.78+232.78+232.78+232.78+232.78+22.95+18.66+121.96+140.09+693.26+451.32+693.26+423.54+306.95+306.95+306.95+306.95+313.48+311.15+311.15+311.15</f>
        <v>7560.0099999999984</v>
      </c>
      <c r="AL49" s="517">
        <v>26</v>
      </c>
      <c r="AM49" s="517">
        <f t="shared" si="43"/>
        <v>503866.12</v>
      </c>
      <c r="AN49" s="518">
        <v>5.4416000000000002</v>
      </c>
      <c r="AO49" s="519">
        <f t="shared" si="44"/>
        <v>2741837.8785919999</v>
      </c>
      <c r="AP49" s="519">
        <v>34744.89</v>
      </c>
      <c r="AQ49" s="519">
        <v>280661.88</v>
      </c>
      <c r="AR49" s="519">
        <v>57578.59</v>
      </c>
      <c r="AS49" s="519">
        <v>264587.40999999997</v>
      </c>
      <c r="AT49" s="519">
        <v>682751.66</v>
      </c>
      <c r="AU49" s="519">
        <v>0</v>
      </c>
      <c r="AV49" s="510">
        <v>8</v>
      </c>
      <c r="AW49" s="519">
        <v>367.9</v>
      </c>
      <c r="AX49" s="510" t="s">
        <v>3139</v>
      </c>
      <c r="AY49" s="520">
        <f t="shared" si="45"/>
        <v>44015</v>
      </c>
      <c r="AZ49" s="510" t="s">
        <v>1771</v>
      </c>
      <c r="BA49" s="519">
        <v>4842</v>
      </c>
      <c r="BB49" s="519">
        <f t="shared" si="46"/>
        <v>2741837.8785919999</v>
      </c>
      <c r="BC49" s="519">
        <f t="shared" si="51"/>
        <v>4112756.817888</v>
      </c>
      <c r="BD49" s="521">
        <f t="shared" si="47"/>
        <v>4</v>
      </c>
      <c r="BE49" s="519">
        <f t="shared" si="48"/>
        <v>1028189.204472</v>
      </c>
      <c r="BF49" s="519">
        <v>506.47</v>
      </c>
      <c r="BG49" s="519">
        <f t="shared" si="49"/>
        <v>-20</v>
      </c>
      <c r="BH49" s="519">
        <f t="shared" si="50"/>
        <v>486.47</v>
      </c>
      <c r="BI49" s="581">
        <v>11196.08</v>
      </c>
      <c r="BJ49" s="522"/>
    </row>
    <row r="50" spans="1:62" s="523" customFormat="1" ht="132">
      <c r="A50" s="579" t="s">
        <v>5174</v>
      </c>
      <c r="B50" s="507" t="s">
        <v>3042</v>
      </c>
      <c r="C50" s="507" t="s">
        <v>3043</v>
      </c>
      <c r="D50" s="508" t="s">
        <v>3566</v>
      </c>
      <c r="E50" s="505" t="s">
        <v>3565</v>
      </c>
      <c r="F50" s="505" t="s">
        <v>4219</v>
      </c>
      <c r="G50" s="509" t="s">
        <v>3578</v>
      </c>
      <c r="H50" s="507" t="s">
        <v>3575</v>
      </c>
      <c r="I50" s="510" t="s">
        <v>1771</v>
      </c>
      <c r="J50" s="510">
        <v>1</v>
      </c>
      <c r="K50" s="507">
        <f>9+9+8+20</f>
        <v>46</v>
      </c>
      <c r="L50" s="507">
        <f>1590+1597.5+1493.5+2799</f>
        <v>7480</v>
      </c>
      <c r="M50" s="511">
        <v>43980</v>
      </c>
      <c r="N50" s="511">
        <v>43981</v>
      </c>
      <c r="O50" s="511">
        <v>43981</v>
      </c>
      <c r="P50" s="511">
        <v>44014</v>
      </c>
      <c r="Q50" s="511">
        <v>44021</v>
      </c>
      <c r="R50" s="512" t="s">
        <v>4218</v>
      </c>
      <c r="S50" s="513" t="s">
        <v>1771</v>
      </c>
      <c r="T50" s="514" t="s">
        <v>1771</v>
      </c>
      <c r="U50" s="515" t="s">
        <v>3218</v>
      </c>
      <c r="V50" s="510" t="s">
        <v>3154</v>
      </c>
      <c r="W50" s="516" t="s">
        <v>3031</v>
      </c>
      <c r="X50" s="359">
        <v>44005</v>
      </c>
      <c r="Y50" s="510" t="s">
        <v>3337</v>
      </c>
      <c r="Z50" s="510" t="s">
        <v>3354</v>
      </c>
      <c r="AA50" s="565">
        <v>44017</v>
      </c>
      <c r="AB50" s="510" t="s">
        <v>3252</v>
      </c>
      <c r="AC50" s="510" t="s">
        <v>3548</v>
      </c>
      <c r="AD50" s="510" t="s">
        <v>3639</v>
      </c>
      <c r="AE50" s="510" t="s">
        <v>2146</v>
      </c>
      <c r="AF50" s="511">
        <v>44019</v>
      </c>
      <c r="AG50" s="510">
        <v>5190</v>
      </c>
      <c r="AH50" s="507" t="s">
        <v>3238</v>
      </c>
      <c r="AI50" s="510" t="s">
        <v>3108</v>
      </c>
      <c r="AJ50" s="517">
        <v>194804.67</v>
      </c>
      <c r="AK50" s="517">
        <f>400+400+400+690</f>
        <v>1890</v>
      </c>
      <c r="AL50" s="517">
        <v>4</v>
      </c>
      <c r="AM50" s="517">
        <f t="shared" si="43"/>
        <v>196698.67</v>
      </c>
      <c r="AN50" s="518">
        <v>5.3085000000000004</v>
      </c>
      <c r="AO50" s="519">
        <f t="shared" si="44"/>
        <v>1044174.8896950001</v>
      </c>
      <c r="AP50" s="519">
        <v>10131.280000000001</v>
      </c>
      <c r="AQ50" s="519">
        <v>105430.6</v>
      </c>
      <c r="AR50" s="519">
        <v>21927.67</v>
      </c>
      <c r="AS50" s="519">
        <v>100762.87</v>
      </c>
      <c r="AT50" s="519">
        <v>259028.75</v>
      </c>
      <c r="AU50" s="519">
        <v>0</v>
      </c>
      <c r="AV50" s="510">
        <v>3</v>
      </c>
      <c r="AW50" s="519">
        <v>267.60000000000002</v>
      </c>
      <c r="AX50" s="510" t="s">
        <v>3139</v>
      </c>
      <c r="AY50" s="520">
        <f t="shared" si="45"/>
        <v>44021</v>
      </c>
      <c r="AZ50" s="510" t="s">
        <v>1771</v>
      </c>
      <c r="BA50" s="519">
        <v>1210.5</v>
      </c>
      <c r="BB50" s="519">
        <f t="shared" si="46"/>
        <v>1044174.8896950001</v>
      </c>
      <c r="BC50" s="519">
        <f t="shared" si="51"/>
        <v>1566262.3345425003</v>
      </c>
      <c r="BD50" s="521">
        <f t="shared" si="47"/>
        <v>1</v>
      </c>
      <c r="BE50" s="519">
        <f t="shared" si="48"/>
        <v>1566262.3345425003</v>
      </c>
      <c r="BF50" s="519">
        <v>506.47</v>
      </c>
      <c r="BG50" s="519">
        <f t="shared" si="49"/>
        <v>-70</v>
      </c>
      <c r="BH50" s="519">
        <f t="shared" si="50"/>
        <v>436.47</v>
      </c>
      <c r="BI50" s="581">
        <v>2755.62</v>
      </c>
      <c r="BJ50" s="522"/>
    </row>
    <row r="51" spans="1:62" s="523" customFormat="1" ht="156">
      <c r="A51" s="602" t="s">
        <v>5175</v>
      </c>
      <c r="B51" s="603" t="s">
        <v>3042</v>
      </c>
      <c r="C51" s="603" t="s">
        <v>3043</v>
      </c>
      <c r="D51" s="604" t="s">
        <v>3561</v>
      </c>
      <c r="E51" s="543" t="s">
        <v>3560</v>
      </c>
      <c r="F51" s="543" t="s">
        <v>4217</v>
      </c>
      <c r="G51" s="605" t="s">
        <v>3576</v>
      </c>
      <c r="H51" s="603" t="s">
        <v>3575</v>
      </c>
      <c r="I51" s="606" t="s">
        <v>1771</v>
      </c>
      <c r="J51" s="606">
        <v>2</v>
      </c>
      <c r="K51" s="603">
        <f>3+22+24+5+9+13+4+9+5+5+9+5+5</f>
        <v>118</v>
      </c>
      <c r="L51" s="603">
        <f>199.5+3024.5+3200.34+785.3+1616+2357+504.5+1569.5+812+808+1609.5+799.03+776.34</f>
        <v>18061.509999999998</v>
      </c>
      <c r="M51" s="607">
        <v>43978</v>
      </c>
      <c r="N51" s="607">
        <v>43978</v>
      </c>
      <c r="O51" s="607">
        <v>43978</v>
      </c>
      <c r="P51" s="607">
        <v>44014</v>
      </c>
      <c r="Q51" s="607">
        <v>44021</v>
      </c>
      <c r="R51" s="608" t="s">
        <v>4216</v>
      </c>
      <c r="S51" s="609" t="s">
        <v>1771</v>
      </c>
      <c r="T51" s="610" t="s">
        <v>1771</v>
      </c>
      <c r="U51" s="611" t="s">
        <v>3218</v>
      </c>
      <c r="V51" s="606" t="s">
        <v>3154</v>
      </c>
      <c r="W51" s="612" t="s">
        <v>3031</v>
      </c>
      <c r="X51" s="613">
        <v>44005</v>
      </c>
      <c r="Y51" s="606" t="s">
        <v>3337</v>
      </c>
      <c r="Z51" s="606" t="s">
        <v>3354</v>
      </c>
      <c r="AA51" s="607">
        <v>44016</v>
      </c>
      <c r="AB51" s="606" t="s">
        <v>3252</v>
      </c>
      <c r="AC51" s="606" t="s">
        <v>3548</v>
      </c>
      <c r="AD51" s="606" t="s">
        <v>3637</v>
      </c>
      <c r="AE51" s="606" t="s">
        <v>2146</v>
      </c>
      <c r="AF51" s="607">
        <v>44019</v>
      </c>
      <c r="AG51" s="611">
        <v>13698.518330000001</v>
      </c>
      <c r="AH51" s="603" t="s">
        <v>3513</v>
      </c>
      <c r="AI51" s="606" t="s">
        <v>3108</v>
      </c>
      <c r="AJ51" s="614">
        <v>460048.06</v>
      </c>
      <c r="AK51" s="614">
        <f>192.28+192.28+382.25+192.28+192.28+382.25+116.64+450.84+382.25+192.28+500.93+449.3+154.14</f>
        <v>3780</v>
      </c>
      <c r="AL51" s="614">
        <v>13</v>
      </c>
      <c r="AM51" s="614">
        <f t="shared" si="43"/>
        <v>463841.06</v>
      </c>
      <c r="AN51" s="615">
        <v>5.3085000000000004</v>
      </c>
      <c r="AO51" s="616">
        <f t="shared" si="44"/>
        <v>2462300.2670100001</v>
      </c>
      <c r="AP51" s="616">
        <v>23137.02</v>
      </c>
      <c r="AQ51" s="616">
        <v>248762.8</v>
      </c>
      <c r="AR51" s="616">
        <v>51708.31</v>
      </c>
      <c r="AS51" s="616">
        <v>237612.01</v>
      </c>
      <c r="AT51" s="616">
        <v>610382.97</v>
      </c>
      <c r="AU51" s="616">
        <v>0</v>
      </c>
      <c r="AV51" s="606">
        <v>9</v>
      </c>
      <c r="AW51" s="616">
        <v>385.6</v>
      </c>
      <c r="AX51" s="606" t="s">
        <v>3139</v>
      </c>
      <c r="AY51" s="617">
        <f t="shared" si="45"/>
        <v>44021</v>
      </c>
      <c r="AZ51" s="606" t="s">
        <v>1771</v>
      </c>
      <c r="BA51" s="616">
        <v>2421</v>
      </c>
      <c r="BB51" s="616">
        <f t="shared" si="46"/>
        <v>2462300.2670100001</v>
      </c>
      <c r="BC51" s="616">
        <f t="shared" si="51"/>
        <v>3693450.4005150003</v>
      </c>
      <c r="BD51" s="618">
        <f t="shared" si="47"/>
        <v>2</v>
      </c>
      <c r="BE51" s="616">
        <f t="shared" si="48"/>
        <v>1846725.2002575002</v>
      </c>
      <c r="BF51" s="616">
        <v>506.47</v>
      </c>
      <c r="BG51" s="616">
        <f t="shared" si="49"/>
        <v>-10</v>
      </c>
      <c r="BH51" s="616">
        <f t="shared" si="50"/>
        <v>496.47</v>
      </c>
      <c r="BI51" s="619">
        <v>5490.04</v>
      </c>
      <c r="BJ51" s="522"/>
    </row>
    <row r="52" spans="1:62" s="523" customFormat="1" ht="132">
      <c r="A52" s="560" t="s">
        <v>5176</v>
      </c>
      <c r="B52" s="561" t="s">
        <v>3042</v>
      </c>
      <c r="C52" s="561" t="s">
        <v>3043</v>
      </c>
      <c r="D52" s="562" t="s">
        <v>3563</v>
      </c>
      <c r="E52" s="540" t="s">
        <v>3562</v>
      </c>
      <c r="F52" s="540" t="s">
        <v>4215</v>
      </c>
      <c r="G52" s="563" t="s">
        <v>3577</v>
      </c>
      <c r="H52" s="507" t="s">
        <v>3575</v>
      </c>
      <c r="I52" s="564" t="s">
        <v>1771</v>
      </c>
      <c r="J52" s="564">
        <v>2</v>
      </c>
      <c r="K52" s="561">
        <f>4+30+5+14+20+16+13+13+20</f>
        <v>135</v>
      </c>
      <c r="L52" s="561">
        <f>485.56+3236.54+804+1835.5+2805+2435.5+2403+2409.5+108.54</f>
        <v>16523.14</v>
      </c>
      <c r="M52" s="565">
        <v>43980</v>
      </c>
      <c r="N52" s="565">
        <v>43980</v>
      </c>
      <c r="O52" s="565">
        <v>43980</v>
      </c>
      <c r="P52" s="511">
        <v>44014</v>
      </c>
      <c r="Q52" s="511">
        <v>44022</v>
      </c>
      <c r="R52" s="567" t="s">
        <v>4214</v>
      </c>
      <c r="S52" s="568" t="s">
        <v>1771</v>
      </c>
      <c r="T52" s="569" t="s">
        <v>1771</v>
      </c>
      <c r="U52" s="570" t="s">
        <v>3218</v>
      </c>
      <c r="V52" s="564" t="s">
        <v>3154</v>
      </c>
      <c r="W52" s="571" t="s">
        <v>3031</v>
      </c>
      <c r="X52" s="425">
        <v>44005</v>
      </c>
      <c r="Y52" s="564" t="s">
        <v>3337</v>
      </c>
      <c r="Z52" s="564" t="s">
        <v>3354</v>
      </c>
      <c r="AA52" s="565">
        <v>44017</v>
      </c>
      <c r="AB52" s="564" t="s">
        <v>3252</v>
      </c>
      <c r="AC52" s="564" t="s">
        <v>3548</v>
      </c>
      <c r="AD52" s="564" t="s">
        <v>3638</v>
      </c>
      <c r="AE52" s="564" t="s">
        <v>2146</v>
      </c>
      <c r="AF52" s="511">
        <v>44019</v>
      </c>
      <c r="AG52" s="570">
        <v>12004.13639</v>
      </c>
      <c r="AH52" s="561" t="s">
        <v>3564</v>
      </c>
      <c r="AI52" s="564" t="s">
        <v>3108</v>
      </c>
      <c r="AJ52" s="573">
        <v>310555.7</v>
      </c>
      <c r="AK52" s="573">
        <f>46.44+507.19+507.79+499.25+722.91+507.19+194.73+680.81+113.69</f>
        <v>3780</v>
      </c>
      <c r="AL52" s="573">
        <v>9</v>
      </c>
      <c r="AM52" s="573">
        <f t="shared" si="43"/>
        <v>314344.7</v>
      </c>
      <c r="AN52" s="615">
        <v>5.3085000000000004</v>
      </c>
      <c r="AO52" s="575">
        <f t="shared" si="44"/>
        <v>1668698.8399500002</v>
      </c>
      <c r="AP52" s="575">
        <v>43345.27</v>
      </c>
      <c r="AQ52" s="575">
        <v>170088.38</v>
      </c>
      <c r="AR52" s="575">
        <v>35042.67</v>
      </c>
      <c r="AS52" s="575">
        <v>161100.39000000001</v>
      </c>
      <c r="AT52" s="575">
        <v>409008.37</v>
      </c>
      <c r="AU52" s="575">
        <v>0</v>
      </c>
      <c r="AV52" s="564">
        <v>22</v>
      </c>
      <c r="AW52" s="575">
        <v>533.1</v>
      </c>
      <c r="AX52" s="564" t="s">
        <v>3139</v>
      </c>
      <c r="AY52" s="434">
        <f t="shared" si="45"/>
        <v>44022</v>
      </c>
      <c r="AZ52" s="564" t="s">
        <v>1771</v>
      </c>
      <c r="BA52" s="575">
        <v>2421</v>
      </c>
      <c r="BB52" s="575">
        <f t="shared" si="46"/>
        <v>1668698.8399500002</v>
      </c>
      <c r="BC52" s="575">
        <f t="shared" si="51"/>
        <v>2503048.2599250004</v>
      </c>
      <c r="BD52" s="576">
        <f t="shared" si="47"/>
        <v>2</v>
      </c>
      <c r="BE52" s="575">
        <f t="shared" si="48"/>
        <v>1251524.1299625002</v>
      </c>
      <c r="BF52" s="575">
        <v>649.39</v>
      </c>
      <c r="BG52" s="575">
        <f t="shared" si="49"/>
        <v>120</v>
      </c>
      <c r="BH52" s="575">
        <f t="shared" si="50"/>
        <v>769.39</v>
      </c>
      <c r="BI52" s="577">
        <v>5490.04</v>
      </c>
      <c r="BJ52" s="522"/>
    </row>
    <row r="53" spans="1:62" s="523" customFormat="1" ht="132">
      <c r="A53" s="579" t="s">
        <v>5177</v>
      </c>
      <c r="B53" s="507" t="s">
        <v>3042</v>
      </c>
      <c r="C53" s="507" t="s">
        <v>3043</v>
      </c>
      <c r="D53" s="508" t="s">
        <v>3568</v>
      </c>
      <c r="E53" s="505" t="s">
        <v>3567</v>
      </c>
      <c r="F53" s="505" t="s">
        <v>4213</v>
      </c>
      <c r="G53" s="509" t="s">
        <v>3579</v>
      </c>
      <c r="H53" s="507" t="s">
        <v>3575</v>
      </c>
      <c r="I53" s="510">
        <v>1</v>
      </c>
      <c r="J53" s="510">
        <v>1</v>
      </c>
      <c r="K53" s="507">
        <f>25+14+20+14</f>
        <v>73</v>
      </c>
      <c r="L53" s="507">
        <f>1643.24+1862.5+2787.5+1894.5</f>
        <v>8187.74</v>
      </c>
      <c r="M53" s="511">
        <v>43984</v>
      </c>
      <c r="N53" s="511">
        <v>43982</v>
      </c>
      <c r="O53" s="511">
        <v>43982</v>
      </c>
      <c r="P53" s="511">
        <v>44014</v>
      </c>
      <c r="Q53" s="511">
        <v>44020</v>
      </c>
      <c r="R53" s="512" t="s">
        <v>4212</v>
      </c>
      <c r="S53" s="513" t="s">
        <v>1771</v>
      </c>
      <c r="T53" s="514" t="s">
        <v>1771</v>
      </c>
      <c r="U53" s="515" t="s">
        <v>3218</v>
      </c>
      <c r="V53" s="510" t="s">
        <v>3154</v>
      </c>
      <c r="W53" s="516" t="s">
        <v>3031</v>
      </c>
      <c r="X53" s="359">
        <v>44005</v>
      </c>
      <c r="Y53" s="510" t="s">
        <v>3337</v>
      </c>
      <c r="Z53" s="510" t="s">
        <v>3354</v>
      </c>
      <c r="AA53" s="511">
        <v>44018</v>
      </c>
      <c r="AB53" s="510" t="s">
        <v>3252</v>
      </c>
      <c r="AC53" s="510" t="s">
        <v>3548</v>
      </c>
      <c r="AD53" s="510" t="s">
        <v>3640</v>
      </c>
      <c r="AE53" s="510" t="s">
        <v>2146</v>
      </c>
      <c r="AF53" s="511">
        <v>44019</v>
      </c>
      <c r="AG53" s="510">
        <v>5145</v>
      </c>
      <c r="AH53" s="507" t="s">
        <v>3268</v>
      </c>
      <c r="AI53" s="510" t="s">
        <v>3108</v>
      </c>
      <c r="AJ53" s="517">
        <v>60175.18</v>
      </c>
      <c r="AK53" s="517">
        <f>215.51+1745.79+705.77+767.93</f>
        <v>3434.9999999999995</v>
      </c>
      <c r="AL53" s="517">
        <v>4</v>
      </c>
      <c r="AM53" s="517">
        <f t="shared" si="43"/>
        <v>63614.18</v>
      </c>
      <c r="AN53" s="518">
        <v>5.3085000000000004</v>
      </c>
      <c r="AO53" s="519">
        <f t="shared" si="44"/>
        <v>337695.87453000003</v>
      </c>
      <c r="AP53" s="519">
        <v>27015.68</v>
      </c>
      <c r="AQ53" s="519">
        <v>36471.15</v>
      </c>
      <c r="AR53" s="519">
        <v>7091.61</v>
      </c>
      <c r="AS53" s="519">
        <v>32587.66</v>
      </c>
      <c r="AT53" s="519">
        <v>89931.56</v>
      </c>
      <c r="AU53" s="519">
        <v>0</v>
      </c>
      <c r="AV53" s="510">
        <v>3</v>
      </c>
      <c r="AW53" s="519">
        <v>267.60000000000002</v>
      </c>
      <c r="AX53" s="510" t="s">
        <v>3139</v>
      </c>
      <c r="AY53" s="520">
        <f t="shared" si="45"/>
        <v>44020</v>
      </c>
      <c r="AZ53" s="510" t="s">
        <v>1771</v>
      </c>
      <c r="BA53" s="519">
        <v>2421</v>
      </c>
      <c r="BB53" s="519">
        <f t="shared" si="46"/>
        <v>337695.87453000003</v>
      </c>
      <c r="BC53" s="519">
        <f t="shared" si="51"/>
        <v>506543.81179500005</v>
      </c>
      <c r="BD53" s="521">
        <f t="shared" si="47"/>
        <v>2</v>
      </c>
      <c r="BE53" s="519">
        <f t="shared" si="48"/>
        <v>253271.90589750002</v>
      </c>
      <c r="BF53" s="519">
        <v>506.47</v>
      </c>
      <c r="BG53" s="519">
        <f t="shared" si="49"/>
        <v>-70</v>
      </c>
      <c r="BH53" s="519">
        <f t="shared" si="50"/>
        <v>436.47</v>
      </c>
      <c r="BI53" s="581">
        <v>5029.6899999999996</v>
      </c>
      <c r="BJ53" s="522"/>
    </row>
    <row r="54" spans="1:62" s="523" customFormat="1" ht="120">
      <c r="A54" s="579" t="s">
        <v>5178</v>
      </c>
      <c r="B54" s="507" t="s">
        <v>3042</v>
      </c>
      <c r="C54" s="507" t="s">
        <v>3043</v>
      </c>
      <c r="D54" s="508" t="s">
        <v>3572</v>
      </c>
      <c r="E54" s="505" t="s">
        <v>3571</v>
      </c>
      <c r="F54" s="505" t="s">
        <v>4211</v>
      </c>
      <c r="G54" s="509" t="s">
        <v>3592</v>
      </c>
      <c r="H54" s="507" t="s">
        <v>3591</v>
      </c>
      <c r="I54" s="510">
        <v>1</v>
      </c>
      <c r="J54" s="510">
        <v>1</v>
      </c>
      <c r="K54" s="507">
        <f>25+14+12+20</f>
        <v>71</v>
      </c>
      <c r="L54" s="507">
        <f>3177+1849.5+2078+2795</f>
        <v>9899.5</v>
      </c>
      <c r="M54" s="511">
        <v>43987</v>
      </c>
      <c r="N54" s="511">
        <v>43987</v>
      </c>
      <c r="O54" s="511">
        <v>43987</v>
      </c>
      <c r="P54" s="511">
        <v>44021</v>
      </c>
      <c r="Q54" s="511">
        <v>44029</v>
      </c>
      <c r="R54" s="512" t="s">
        <v>4210</v>
      </c>
      <c r="S54" s="513" t="s">
        <v>1771</v>
      </c>
      <c r="T54" s="514" t="s">
        <v>1771</v>
      </c>
      <c r="U54" s="515" t="s">
        <v>3218</v>
      </c>
      <c r="V54" s="510" t="s">
        <v>3154</v>
      </c>
      <c r="W54" s="516" t="s">
        <v>3031</v>
      </c>
      <c r="X54" s="359">
        <v>44018</v>
      </c>
      <c r="Y54" s="510" t="s">
        <v>3337</v>
      </c>
      <c r="Z54" s="510" t="s">
        <v>3354</v>
      </c>
      <c r="AA54" s="511">
        <v>44022</v>
      </c>
      <c r="AB54" s="510" t="s">
        <v>3252</v>
      </c>
      <c r="AC54" s="510" t="s">
        <v>3548</v>
      </c>
      <c r="AD54" s="510" t="s">
        <v>3643</v>
      </c>
      <c r="AE54" s="510" t="s">
        <v>2146</v>
      </c>
      <c r="AF54" s="511">
        <v>44028</v>
      </c>
      <c r="AG54" s="515">
        <v>6632.1923100000004</v>
      </c>
      <c r="AH54" s="507" t="s">
        <v>3238</v>
      </c>
      <c r="AI54" s="510" t="s">
        <v>3108</v>
      </c>
      <c r="AJ54" s="517">
        <v>150459.41</v>
      </c>
      <c r="AK54" s="517">
        <f>921.49+643.95+816.04+1053.52</f>
        <v>3435</v>
      </c>
      <c r="AL54" s="517">
        <v>4</v>
      </c>
      <c r="AM54" s="517">
        <f t="shared" ref="AM54:AM62" si="52">SUM(AJ54:AL54)</f>
        <v>153898.41</v>
      </c>
      <c r="AN54" s="518">
        <v>5.3491</v>
      </c>
      <c r="AO54" s="519">
        <f t="shared" ref="AO54:AO62" si="53">AM54*AN54</f>
        <v>823217.98493100004</v>
      </c>
      <c r="AP54" s="519">
        <v>19140.87</v>
      </c>
      <c r="AQ54" s="519">
        <v>84235.89</v>
      </c>
      <c r="AR54" s="519">
        <v>17287.580000000002</v>
      </c>
      <c r="AS54" s="519">
        <v>79440.56</v>
      </c>
      <c r="AT54" s="519">
        <v>207296.45</v>
      </c>
      <c r="AU54" s="519">
        <v>0</v>
      </c>
      <c r="AV54" s="510">
        <v>3</v>
      </c>
      <c r="AW54" s="519">
        <v>267.60000000000002</v>
      </c>
      <c r="AX54" s="510" t="s">
        <v>3139</v>
      </c>
      <c r="AY54" s="520">
        <f t="shared" ref="AY54:AY62" si="54">Q54</f>
        <v>44029</v>
      </c>
      <c r="AZ54" s="510" t="s">
        <v>1771</v>
      </c>
      <c r="BA54" s="519">
        <v>2421</v>
      </c>
      <c r="BB54" s="519">
        <f t="shared" ref="BB54:BB62" si="55">AO54</f>
        <v>823217.98493100004</v>
      </c>
      <c r="BC54" s="519">
        <f t="shared" ref="BC54:BC62" si="56">(BB54*50%)+BB54</f>
        <v>1234826.9773965001</v>
      </c>
      <c r="BD54" s="521">
        <f t="shared" ref="BD54:BD62" si="57">SUM(I54:J54)</f>
        <v>2</v>
      </c>
      <c r="BE54" s="519">
        <f t="shared" ref="BE54:BE62" si="58">BC54/BD54</f>
        <v>617413.48869825003</v>
      </c>
      <c r="BF54" s="519">
        <v>506.47</v>
      </c>
      <c r="BG54" s="519">
        <f t="shared" ref="BG54:BG62" si="59">(AV54-10)*10</f>
        <v>-70</v>
      </c>
      <c r="BH54" s="519">
        <f t="shared" ref="BH54:BH62" si="60">SUM(BF54:BG54)</f>
        <v>436.47</v>
      </c>
      <c r="BI54" s="581">
        <v>4995.68</v>
      </c>
      <c r="BJ54" s="522"/>
    </row>
    <row r="55" spans="1:62" s="523" customFormat="1" ht="120">
      <c r="A55" s="579" t="s">
        <v>5179</v>
      </c>
      <c r="B55" s="507" t="s">
        <v>3042</v>
      </c>
      <c r="C55" s="507" t="s">
        <v>3043</v>
      </c>
      <c r="D55" s="508" t="s">
        <v>3574</v>
      </c>
      <c r="E55" s="505" t="s">
        <v>3573</v>
      </c>
      <c r="F55" s="505" t="s">
        <v>4209</v>
      </c>
      <c r="G55" s="509" t="s">
        <v>3593</v>
      </c>
      <c r="H55" s="507" t="s">
        <v>3591</v>
      </c>
      <c r="I55" s="510" t="s">
        <v>1771</v>
      </c>
      <c r="J55" s="510">
        <v>1</v>
      </c>
      <c r="K55" s="507">
        <f>25+22+5</f>
        <v>52</v>
      </c>
      <c r="L55" s="507">
        <f>3490.5+2740+626.5</f>
        <v>6857</v>
      </c>
      <c r="M55" s="511">
        <v>43987</v>
      </c>
      <c r="N55" s="511">
        <v>43988</v>
      </c>
      <c r="O55" s="511">
        <v>43988</v>
      </c>
      <c r="P55" s="511">
        <v>44021</v>
      </c>
      <c r="Q55" s="511">
        <v>44029</v>
      </c>
      <c r="R55" s="512" t="s">
        <v>4208</v>
      </c>
      <c r="S55" s="513" t="s">
        <v>1771</v>
      </c>
      <c r="T55" s="514" t="s">
        <v>1771</v>
      </c>
      <c r="U55" s="515" t="s">
        <v>3218</v>
      </c>
      <c r="V55" s="510" t="s">
        <v>3154</v>
      </c>
      <c r="W55" s="516" t="s">
        <v>3031</v>
      </c>
      <c r="X55" s="359">
        <v>44018</v>
      </c>
      <c r="Y55" s="510" t="s">
        <v>3337</v>
      </c>
      <c r="Z55" s="510" t="s">
        <v>3354</v>
      </c>
      <c r="AA55" s="511">
        <v>44022</v>
      </c>
      <c r="AB55" s="510" t="s">
        <v>3252</v>
      </c>
      <c r="AC55" s="510" t="s">
        <v>3548</v>
      </c>
      <c r="AD55" s="510" t="s">
        <v>3644</v>
      </c>
      <c r="AE55" s="510" t="s">
        <v>2146</v>
      </c>
      <c r="AF55" s="511">
        <v>44028</v>
      </c>
      <c r="AG55" s="515">
        <v>4560.21137</v>
      </c>
      <c r="AH55" s="507" t="s">
        <v>3268</v>
      </c>
      <c r="AI55" s="510" t="s">
        <v>3108</v>
      </c>
      <c r="AJ55" s="517">
        <v>50325.49</v>
      </c>
      <c r="AK55" s="517">
        <f>170.34+745+974.66</f>
        <v>1890</v>
      </c>
      <c r="AL55" s="517">
        <v>3</v>
      </c>
      <c r="AM55" s="517">
        <f t="shared" si="52"/>
        <v>52218.49</v>
      </c>
      <c r="AN55" s="518">
        <v>5.3491</v>
      </c>
      <c r="AO55" s="519">
        <f t="shared" si="53"/>
        <v>279321.92485899996</v>
      </c>
      <c r="AP55" s="519">
        <v>22345.75</v>
      </c>
      <c r="AQ55" s="519">
        <v>30166.74</v>
      </c>
      <c r="AR55" s="519">
        <v>5865.76</v>
      </c>
      <c r="AS55" s="519">
        <v>26954.55</v>
      </c>
      <c r="AT55" s="519">
        <v>74093.67</v>
      </c>
      <c r="AU55" s="519">
        <v>0</v>
      </c>
      <c r="AV55" s="510">
        <v>4</v>
      </c>
      <c r="AW55" s="519">
        <v>291.2</v>
      </c>
      <c r="AX55" s="510" t="s">
        <v>3139</v>
      </c>
      <c r="AY55" s="520">
        <f t="shared" si="54"/>
        <v>44029</v>
      </c>
      <c r="AZ55" s="510" t="s">
        <v>1771</v>
      </c>
      <c r="BA55" s="519">
        <v>1210.5</v>
      </c>
      <c r="BB55" s="519">
        <f t="shared" si="55"/>
        <v>279321.92485899996</v>
      </c>
      <c r="BC55" s="519">
        <f t="shared" si="56"/>
        <v>418982.88728849997</v>
      </c>
      <c r="BD55" s="521">
        <f t="shared" si="57"/>
        <v>1</v>
      </c>
      <c r="BE55" s="519">
        <f t="shared" si="58"/>
        <v>418982.88728849997</v>
      </c>
      <c r="BF55" s="519">
        <v>506.47</v>
      </c>
      <c r="BG55" s="519">
        <f t="shared" si="59"/>
        <v>-60</v>
      </c>
      <c r="BH55" s="519">
        <f t="shared" si="60"/>
        <v>446.47</v>
      </c>
      <c r="BI55" s="581">
        <v>2758.73</v>
      </c>
      <c r="BJ55" s="522"/>
    </row>
    <row r="56" spans="1:62" s="523" customFormat="1" ht="120">
      <c r="A56" s="579" t="s">
        <v>5180</v>
      </c>
      <c r="B56" s="507" t="s">
        <v>3042</v>
      </c>
      <c r="C56" s="507" t="s">
        <v>3043</v>
      </c>
      <c r="D56" s="508" t="s">
        <v>3581</v>
      </c>
      <c r="E56" s="505" t="s">
        <v>3580</v>
      </c>
      <c r="F56" s="505" t="s">
        <v>4220</v>
      </c>
      <c r="G56" s="509" t="s">
        <v>3595</v>
      </c>
      <c r="H56" s="507" t="s">
        <v>3591</v>
      </c>
      <c r="I56" s="510" t="s">
        <v>1771</v>
      </c>
      <c r="J56" s="510">
        <v>1</v>
      </c>
      <c r="K56" s="507">
        <f>13+1+1+13+6+1</f>
        <v>35</v>
      </c>
      <c r="L56" s="507">
        <f>1805.5+65.5+189.5+2804+837.16+9.75</f>
        <v>5711.41</v>
      </c>
      <c r="M56" s="511">
        <v>43990</v>
      </c>
      <c r="N56" s="511">
        <v>43990</v>
      </c>
      <c r="O56" s="511">
        <v>43990</v>
      </c>
      <c r="P56" s="511">
        <v>44021</v>
      </c>
      <c r="Q56" s="511">
        <v>44032</v>
      </c>
      <c r="R56" s="512" t="s">
        <v>4207</v>
      </c>
      <c r="S56" s="513" t="s">
        <v>1771</v>
      </c>
      <c r="T56" s="514" t="s">
        <v>1771</v>
      </c>
      <c r="U56" s="515" t="s">
        <v>3218</v>
      </c>
      <c r="V56" s="510" t="s">
        <v>3154</v>
      </c>
      <c r="W56" s="516" t="s">
        <v>3031</v>
      </c>
      <c r="X56" s="359">
        <v>44018</v>
      </c>
      <c r="Y56" s="510" t="s">
        <v>3337</v>
      </c>
      <c r="Z56" s="510" t="s">
        <v>3354</v>
      </c>
      <c r="AA56" s="511">
        <v>44022</v>
      </c>
      <c r="AB56" s="510" t="s">
        <v>3252</v>
      </c>
      <c r="AC56" s="510" t="s">
        <v>3548</v>
      </c>
      <c r="AD56" s="510" t="s">
        <v>3645</v>
      </c>
      <c r="AE56" s="510" t="s">
        <v>2146</v>
      </c>
      <c r="AF56" s="511">
        <v>44028</v>
      </c>
      <c r="AG56" s="515">
        <v>3967.1660000000002</v>
      </c>
      <c r="AH56" s="507" t="s">
        <v>3582</v>
      </c>
      <c r="AI56" s="510" t="s">
        <v>3108</v>
      </c>
      <c r="AJ56" s="517">
        <v>187549.22</v>
      </c>
      <c r="AK56" s="517">
        <f>6.94+300.54+807.36+65.71+23.12+686.33</f>
        <v>1890</v>
      </c>
      <c r="AL56" s="517">
        <v>9</v>
      </c>
      <c r="AM56" s="517">
        <f t="shared" si="52"/>
        <v>189448.22</v>
      </c>
      <c r="AN56" s="518">
        <v>5.3491</v>
      </c>
      <c r="AO56" s="519">
        <f t="shared" si="53"/>
        <v>1013377.473602</v>
      </c>
      <c r="AP56" s="519">
        <v>15148.41</v>
      </c>
      <c r="AQ56" s="519">
        <v>105322.36</v>
      </c>
      <c r="AR56" s="519">
        <v>21280.61</v>
      </c>
      <c r="AS56" s="519">
        <v>97789.37</v>
      </c>
      <c r="AT56" s="519">
        <v>248033.2</v>
      </c>
      <c r="AU56" s="519">
        <v>0</v>
      </c>
      <c r="AV56" s="510">
        <v>7</v>
      </c>
      <c r="AW56" s="519">
        <v>350.2</v>
      </c>
      <c r="AX56" s="510" t="s">
        <v>3139</v>
      </c>
      <c r="AY56" s="520">
        <f t="shared" si="54"/>
        <v>44032</v>
      </c>
      <c r="AZ56" s="510" t="s">
        <v>1771</v>
      </c>
      <c r="BA56" s="519">
        <v>1210.5</v>
      </c>
      <c r="BB56" s="519">
        <f t="shared" si="55"/>
        <v>1013377.473602</v>
      </c>
      <c r="BC56" s="519">
        <f t="shared" si="56"/>
        <v>1520066.210403</v>
      </c>
      <c r="BD56" s="521">
        <f t="shared" si="57"/>
        <v>1</v>
      </c>
      <c r="BE56" s="519">
        <f t="shared" si="58"/>
        <v>1520066.210403</v>
      </c>
      <c r="BF56" s="519">
        <v>506.47</v>
      </c>
      <c r="BG56" s="519">
        <f t="shared" si="59"/>
        <v>-30</v>
      </c>
      <c r="BH56" s="519">
        <f t="shared" si="60"/>
        <v>476.47</v>
      </c>
      <c r="BI56" s="581">
        <v>2736.91</v>
      </c>
      <c r="BJ56" s="522"/>
    </row>
    <row r="57" spans="1:62" s="523" customFormat="1" ht="132">
      <c r="A57" s="579" t="s">
        <v>5181</v>
      </c>
      <c r="B57" s="507" t="s">
        <v>3042</v>
      </c>
      <c r="C57" s="507" t="s">
        <v>3043</v>
      </c>
      <c r="D57" s="508" t="s">
        <v>3586</v>
      </c>
      <c r="E57" s="505" t="s">
        <v>3585</v>
      </c>
      <c r="F57" s="505" t="s">
        <v>4206</v>
      </c>
      <c r="G57" s="509">
        <v>203302294</v>
      </c>
      <c r="H57" s="507" t="s">
        <v>3587</v>
      </c>
      <c r="I57" s="510">
        <v>1</v>
      </c>
      <c r="J57" s="510">
        <v>1</v>
      </c>
      <c r="K57" s="507">
        <f>38+1+14+13</f>
        <v>66</v>
      </c>
      <c r="L57" s="507">
        <f>4751.5+49.5+1852+2827</f>
        <v>9480</v>
      </c>
      <c r="M57" s="511">
        <v>43990</v>
      </c>
      <c r="N57" s="511">
        <v>43991</v>
      </c>
      <c r="O57" s="511">
        <v>43991</v>
      </c>
      <c r="P57" s="511">
        <v>44024</v>
      </c>
      <c r="Q57" s="511">
        <v>44032</v>
      </c>
      <c r="R57" s="512" t="s">
        <v>4205</v>
      </c>
      <c r="S57" s="513" t="s">
        <v>1771</v>
      </c>
      <c r="T57" s="514" t="s">
        <v>1771</v>
      </c>
      <c r="U57" s="515" t="s">
        <v>3218</v>
      </c>
      <c r="V57" s="510" t="s">
        <v>3146</v>
      </c>
      <c r="W57" s="516" t="s">
        <v>3031</v>
      </c>
      <c r="X57" s="359">
        <v>44018</v>
      </c>
      <c r="Y57" s="510" t="s">
        <v>3147</v>
      </c>
      <c r="Z57" s="510" t="s">
        <v>3147</v>
      </c>
      <c r="AA57" s="511">
        <v>44024</v>
      </c>
      <c r="AB57" s="510" t="s">
        <v>3252</v>
      </c>
      <c r="AC57" s="510" t="s">
        <v>3548</v>
      </c>
      <c r="AD57" s="510" t="s">
        <v>3647</v>
      </c>
      <c r="AE57" s="510" t="s">
        <v>2146</v>
      </c>
      <c r="AF57" s="511">
        <v>44028</v>
      </c>
      <c r="AG57" s="516">
        <v>6160</v>
      </c>
      <c r="AH57" s="507" t="s">
        <v>3238</v>
      </c>
      <c r="AI57" s="510" t="s">
        <v>3108</v>
      </c>
      <c r="AJ57" s="517">
        <v>304562.44</v>
      </c>
      <c r="AK57" s="517">
        <f>1018.3+948.54+21.61+1756.55</f>
        <v>3745</v>
      </c>
      <c r="AL57" s="517">
        <v>4</v>
      </c>
      <c r="AM57" s="517">
        <f t="shared" si="52"/>
        <v>308311.44</v>
      </c>
      <c r="AN57" s="518">
        <v>5.3491</v>
      </c>
      <c r="AO57" s="519">
        <f t="shared" si="53"/>
        <v>1649188.723704</v>
      </c>
      <c r="AP57" s="519">
        <v>6823.18</v>
      </c>
      <c r="AQ57" s="519">
        <v>165601.18</v>
      </c>
      <c r="AR57" s="519">
        <v>34632.959999999999</v>
      </c>
      <c r="AS57" s="519">
        <v>159146.72</v>
      </c>
      <c r="AT57" s="519">
        <v>407335.87</v>
      </c>
      <c r="AU57" s="519">
        <v>0</v>
      </c>
      <c r="AV57" s="510">
        <v>3</v>
      </c>
      <c r="AW57" s="519">
        <v>267.60000000000002</v>
      </c>
      <c r="AX57" s="510" t="s">
        <v>3139</v>
      </c>
      <c r="AY57" s="520">
        <f t="shared" si="54"/>
        <v>44032</v>
      </c>
      <c r="AZ57" s="510" t="s">
        <v>1771</v>
      </c>
      <c r="BA57" s="519">
        <v>6178.88</v>
      </c>
      <c r="BB57" s="519">
        <f t="shared" si="55"/>
        <v>1649188.723704</v>
      </c>
      <c r="BC57" s="519">
        <f t="shared" si="56"/>
        <v>2473783.085556</v>
      </c>
      <c r="BD57" s="521">
        <f t="shared" si="57"/>
        <v>2</v>
      </c>
      <c r="BE57" s="519">
        <f t="shared" si="58"/>
        <v>1236891.542778</v>
      </c>
      <c r="BF57" s="519">
        <v>506.47</v>
      </c>
      <c r="BG57" s="519">
        <f t="shared" si="59"/>
        <v>-70</v>
      </c>
      <c r="BH57" s="519">
        <f t="shared" si="60"/>
        <v>436.47</v>
      </c>
      <c r="BI57" s="581">
        <v>5582.01</v>
      </c>
      <c r="BJ57" s="522"/>
    </row>
    <row r="58" spans="1:62" s="523" customFormat="1" ht="120">
      <c r="A58" s="579" t="s">
        <v>5182</v>
      </c>
      <c r="B58" s="507" t="s">
        <v>3042</v>
      </c>
      <c r="C58" s="507" t="s">
        <v>3043</v>
      </c>
      <c r="D58" s="508" t="s">
        <v>3584</v>
      </c>
      <c r="E58" s="505" t="s">
        <v>3583</v>
      </c>
      <c r="F58" s="505" t="s">
        <v>4204</v>
      </c>
      <c r="G58" s="509" t="s">
        <v>3594</v>
      </c>
      <c r="H58" s="507" t="s">
        <v>3591</v>
      </c>
      <c r="I58" s="510">
        <v>1</v>
      </c>
      <c r="J58" s="510">
        <v>1</v>
      </c>
      <c r="K58" s="507">
        <f>22+24+14+9+14+12+1</f>
        <v>96</v>
      </c>
      <c r="L58" s="507">
        <f>1335.5+3283.5+1842.5+1610.5+1240.5+2102.5+76.5</f>
        <v>11491.5</v>
      </c>
      <c r="M58" s="511">
        <v>43990</v>
      </c>
      <c r="N58" s="511">
        <v>43989</v>
      </c>
      <c r="O58" s="511">
        <v>43989</v>
      </c>
      <c r="P58" s="511">
        <v>44021</v>
      </c>
      <c r="Q58" s="511">
        <v>44033</v>
      </c>
      <c r="R58" s="512" t="s">
        <v>4203</v>
      </c>
      <c r="S58" s="513" t="s">
        <v>1771</v>
      </c>
      <c r="T58" s="514" t="s">
        <v>1771</v>
      </c>
      <c r="U58" s="515" t="s">
        <v>3218</v>
      </c>
      <c r="V58" s="510" t="s">
        <v>3154</v>
      </c>
      <c r="W58" s="516" t="s">
        <v>3031</v>
      </c>
      <c r="X58" s="359">
        <v>44018</v>
      </c>
      <c r="Y58" s="510" t="s">
        <v>3337</v>
      </c>
      <c r="Z58" s="510" t="s">
        <v>3354</v>
      </c>
      <c r="AA58" s="511">
        <v>44022</v>
      </c>
      <c r="AB58" s="510" t="s">
        <v>3252</v>
      </c>
      <c r="AC58" s="510" t="s">
        <v>3548</v>
      </c>
      <c r="AD58" s="510" t="s">
        <v>3646</v>
      </c>
      <c r="AE58" s="510" t="s">
        <v>2146</v>
      </c>
      <c r="AF58" s="511">
        <v>44028</v>
      </c>
      <c r="AG58" s="515">
        <v>7672.6227399999998</v>
      </c>
      <c r="AH58" s="507" t="s">
        <v>3268</v>
      </c>
      <c r="AI58" s="510" t="s">
        <v>3108</v>
      </c>
      <c r="AJ58" s="517">
        <v>129753.3</v>
      </c>
      <c r="AK58" s="517">
        <f>23.26+511.21+479.18+480.64+610.53+754.54+575.64</f>
        <v>3434.9999999999995</v>
      </c>
      <c r="AL58" s="517">
        <v>7</v>
      </c>
      <c r="AM58" s="517">
        <f t="shared" si="52"/>
        <v>133195.29999999999</v>
      </c>
      <c r="AN58" s="518">
        <v>5.3491</v>
      </c>
      <c r="AO58" s="519">
        <f t="shared" si="53"/>
        <v>712474.97922999994</v>
      </c>
      <c r="AP58" s="519">
        <v>30666.12</v>
      </c>
      <c r="AQ58" s="519">
        <v>74314.100000000006</v>
      </c>
      <c r="AR58" s="519">
        <v>14961.98</v>
      </c>
      <c r="AS58" s="519">
        <v>68753.86</v>
      </c>
      <c r="AT58" s="519">
        <v>182691.32</v>
      </c>
      <c r="AU58" s="519">
        <v>0</v>
      </c>
      <c r="AV58" s="510">
        <v>8</v>
      </c>
      <c r="AW58" s="519">
        <v>367.9</v>
      </c>
      <c r="AX58" s="510" t="s">
        <v>3139</v>
      </c>
      <c r="AY58" s="520">
        <f t="shared" si="54"/>
        <v>44033</v>
      </c>
      <c r="AZ58" s="510" t="s">
        <v>1771</v>
      </c>
      <c r="BA58" s="519">
        <v>2421</v>
      </c>
      <c r="BB58" s="519">
        <f t="shared" si="55"/>
        <v>712474.97922999994</v>
      </c>
      <c r="BC58" s="519">
        <f t="shared" si="56"/>
        <v>1068712.468845</v>
      </c>
      <c r="BD58" s="521">
        <f t="shared" si="57"/>
        <v>2</v>
      </c>
      <c r="BE58" s="519">
        <f t="shared" si="58"/>
        <v>534356.23442250001</v>
      </c>
      <c r="BF58" s="519">
        <v>506.47</v>
      </c>
      <c r="BG58" s="519">
        <f t="shared" si="59"/>
        <v>-20</v>
      </c>
      <c r="BH58" s="519">
        <f t="shared" si="60"/>
        <v>486.47</v>
      </c>
      <c r="BI58" s="581">
        <v>5035.3500000000004</v>
      </c>
      <c r="BJ58" s="522"/>
    </row>
    <row r="59" spans="1:62" s="523" customFormat="1" ht="120">
      <c r="A59" s="579" t="s">
        <v>5183</v>
      </c>
      <c r="B59" s="507" t="s">
        <v>3042</v>
      </c>
      <c r="C59" s="507" t="s">
        <v>3043</v>
      </c>
      <c r="D59" s="508" t="s">
        <v>3600</v>
      </c>
      <c r="E59" s="505" t="s">
        <v>3599</v>
      </c>
      <c r="F59" s="505" t="s">
        <v>4202</v>
      </c>
      <c r="G59" s="509" t="s">
        <v>3607</v>
      </c>
      <c r="H59" s="507" t="s">
        <v>3606</v>
      </c>
      <c r="I59" s="510">
        <v>1</v>
      </c>
      <c r="J59" s="510">
        <v>1</v>
      </c>
      <c r="K59" s="507">
        <f>1+4+19+25+20+9</f>
        <v>78</v>
      </c>
      <c r="L59" s="507">
        <f>162+321+386.33+3195.5+2802+1884.5</f>
        <v>8751.33</v>
      </c>
      <c r="M59" s="511">
        <v>43997</v>
      </c>
      <c r="N59" s="511">
        <v>43996</v>
      </c>
      <c r="O59" s="511">
        <v>43996</v>
      </c>
      <c r="P59" s="511">
        <v>44029</v>
      </c>
      <c r="Q59" s="511">
        <v>44036</v>
      </c>
      <c r="R59" s="512" t="s">
        <v>4201</v>
      </c>
      <c r="S59" s="513" t="s">
        <v>1771</v>
      </c>
      <c r="T59" s="514" t="s">
        <v>1771</v>
      </c>
      <c r="U59" s="515" t="s">
        <v>3218</v>
      </c>
      <c r="V59" s="510" t="s">
        <v>3154</v>
      </c>
      <c r="W59" s="516" t="s">
        <v>3031</v>
      </c>
      <c r="X59" s="359">
        <v>44025</v>
      </c>
      <c r="Y59" s="510" t="s">
        <v>3337</v>
      </c>
      <c r="Z59" s="510" t="s">
        <v>3354</v>
      </c>
      <c r="AA59" s="511">
        <v>44029</v>
      </c>
      <c r="AB59" s="510" t="s">
        <v>3252</v>
      </c>
      <c r="AC59" s="510" t="s">
        <v>3548</v>
      </c>
      <c r="AD59" s="510" t="s">
        <v>3660</v>
      </c>
      <c r="AE59" s="510" t="s">
        <v>2146</v>
      </c>
      <c r="AF59" s="511">
        <v>44035</v>
      </c>
      <c r="AG59" s="515">
        <v>5539.9009999999998</v>
      </c>
      <c r="AH59" s="507" t="s">
        <v>3306</v>
      </c>
      <c r="AI59" s="510" t="s">
        <v>3108</v>
      </c>
      <c r="AJ59" s="517">
        <v>323319.93</v>
      </c>
      <c r="AK59" s="517">
        <f>232.45+196.42+59.27+657.07+1074.35+1215.44</f>
        <v>3435</v>
      </c>
      <c r="AL59" s="517">
        <v>6</v>
      </c>
      <c r="AM59" s="517">
        <f t="shared" si="52"/>
        <v>326760.93</v>
      </c>
      <c r="AN59" s="518">
        <v>5.1111000000000004</v>
      </c>
      <c r="AO59" s="519">
        <f t="shared" si="53"/>
        <v>1670107.789323</v>
      </c>
      <c r="AP59" s="519">
        <v>28278.49</v>
      </c>
      <c r="AQ59" s="519">
        <v>147235.22</v>
      </c>
      <c r="AR59" s="519">
        <v>35072.25</v>
      </c>
      <c r="AS59" s="519">
        <v>161263</v>
      </c>
      <c r="AT59" s="519">
        <v>375575.14</v>
      </c>
      <c r="AU59" s="519">
        <v>0</v>
      </c>
      <c r="AV59" s="510">
        <v>21</v>
      </c>
      <c r="AW59" s="519">
        <v>527.20000000000005</v>
      </c>
      <c r="AX59" s="510" t="s">
        <v>3139</v>
      </c>
      <c r="AY59" s="520">
        <f t="shared" si="54"/>
        <v>44036</v>
      </c>
      <c r="AZ59" s="510" t="s">
        <v>1771</v>
      </c>
      <c r="BA59" s="519">
        <v>2421</v>
      </c>
      <c r="BB59" s="519">
        <f t="shared" si="55"/>
        <v>1670107.789323</v>
      </c>
      <c r="BC59" s="519">
        <f t="shared" si="56"/>
        <v>2505161.6839844999</v>
      </c>
      <c r="BD59" s="521">
        <f t="shared" si="57"/>
        <v>2</v>
      </c>
      <c r="BE59" s="519">
        <f t="shared" si="58"/>
        <v>1252580.8419922499</v>
      </c>
      <c r="BF59" s="519">
        <v>637.48</v>
      </c>
      <c r="BG59" s="519">
        <f t="shared" si="59"/>
        <v>110</v>
      </c>
      <c r="BH59" s="519">
        <f t="shared" si="60"/>
        <v>747.48</v>
      </c>
      <c r="BI59" s="581">
        <v>5045.66</v>
      </c>
      <c r="BJ59" s="522"/>
    </row>
    <row r="60" spans="1:62" s="523" customFormat="1" ht="144">
      <c r="A60" s="579" t="s">
        <v>5184</v>
      </c>
      <c r="B60" s="507" t="s">
        <v>3042</v>
      </c>
      <c r="C60" s="507" t="s">
        <v>3043</v>
      </c>
      <c r="D60" s="508" t="s">
        <v>3590</v>
      </c>
      <c r="E60" s="505" t="s">
        <v>3589</v>
      </c>
      <c r="F60" s="505" t="s">
        <v>4200</v>
      </c>
      <c r="G60" s="509" t="s">
        <v>3608</v>
      </c>
      <c r="H60" s="507" t="s">
        <v>3606</v>
      </c>
      <c r="I60" s="510" t="s">
        <v>1771</v>
      </c>
      <c r="J60" s="510">
        <v>4</v>
      </c>
      <c r="K60" s="507">
        <f>22+38+25+38+25+9+20+5+20</f>
        <v>202</v>
      </c>
      <c r="L60" s="507">
        <f>2225.5+5212.5+3480+4807+3547+1872+2795+800+2728</f>
        <v>27467</v>
      </c>
      <c r="M60" s="511">
        <v>43992</v>
      </c>
      <c r="N60" s="511">
        <v>43993</v>
      </c>
      <c r="O60" s="511">
        <v>43993</v>
      </c>
      <c r="P60" s="511">
        <v>44029</v>
      </c>
      <c r="Q60" s="511">
        <v>44039</v>
      </c>
      <c r="R60" s="512" t="s">
        <v>4199</v>
      </c>
      <c r="S60" s="513" t="s">
        <v>1771</v>
      </c>
      <c r="T60" s="514" t="s">
        <v>1771</v>
      </c>
      <c r="U60" s="515" t="s">
        <v>3218</v>
      </c>
      <c r="V60" s="510" t="s">
        <v>3154</v>
      </c>
      <c r="W60" s="516" t="s">
        <v>3031</v>
      </c>
      <c r="X60" s="359">
        <v>44025</v>
      </c>
      <c r="Y60" s="510" t="s">
        <v>3337</v>
      </c>
      <c r="Z60" s="510" t="s">
        <v>3354</v>
      </c>
      <c r="AA60" s="511">
        <v>44029</v>
      </c>
      <c r="AB60" s="510" t="s">
        <v>3252</v>
      </c>
      <c r="AC60" s="510" t="s">
        <v>3548</v>
      </c>
      <c r="AD60" s="510" t="s">
        <v>3656</v>
      </c>
      <c r="AE60" s="510" t="s">
        <v>2146</v>
      </c>
      <c r="AF60" s="511">
        <v>44035</v>
      </c>
      <c r="AG60" s="515">
        <v>18391.723379999999</v>
      </c>
      <c r="AH60" s="507" t="s">
        <v>3486</v>
      </c>
      <c r="AI60" s="510" t="s">
        <v>3108</v>
      </c>
      <c r="AJ60" s="517">
        <v>446829.27</v>
      </c>
      <c r="AK60" s="517">
        <f>973.27+205.36+973.27+462.23+875.82+1217.73+815.23+1380.7+656.39</f>
        <v>7560</v>
      </c>
      <c r="AL60" s="517">
        <v>9</v>
      </c>
      <c r="AM60" s="517">
        <f t="shared" si="52"/>
        <v>454398.27</v>
      </c>
      <c r="AN60" s="518">
        <v>5.1111000000000004</v>
      </c>
      <c r="AO60" s="519">
        <f t="shared" si="53"/>
        <v>2322474.9977970002</v>
      </c>
      <c r="AP60" s="519">
        <v>72148.179999999993</v>
      </c>
      <c r="AQ60" s="519">
        <v>239462.32</v>
      </c>
      <c r="AR60" s="519">
        <v>48772</v>
      </c>
      <c r="AS60" s="519">
        <v>224118.9</v>
      </c>
      <c r="AT60" s="519">
        <v>588046.06999999995</v>
      </c>
      <c r="AU60" s="519">
        <v>0</v>
      </c>
      <c r="AV60" s="510">
        <v>8</v>
      </c>
      <c r="AW60" s="519">
        <v>367.9</v>
      </c>
      <c r="AX60" s="510" t="s">
        <v>3139</v>
      </c>
      <c r="AY60" s="520">
        <f t="shared" si="54"/>
        <v>44039</v>
      </c>
      <c r="AZ60" s="510" t="s">
        <v>1771</v>
      </c>
      <c r="BA60" s="519">
        <v>4842</v>
      </c>
      <c r="BB60" s="519">
        <f t="shared" si="55"/>
        <v>2322474.9977970002</v>
      </c>
      <c r="BC60" s="519">
        <f t="shared" si="56"/>
        <v>3483712.4966955003</v>
      </c>
      <c r="BD60" s="521">
        <f t="shared" si="57"/>
        <v>4</v>
      </c>
      <c r="BE60" s="519">
        <f t="shared" si="58"/>
        <v>870928.12417387508</v>
      </c>
      <c r="BF60" s="519">
        <v>506.47</v>
      </c>
      <c r="BG60" s="519">
        <f t="shared" si="59"/>
        <v>-20</v>
      </c>
      <c r="BH60" s="519">
        <f t="shared" si="60"/>
        <v>486.47</v>
      </c>
      <c r="BI60" s="581">
        <v>10994.03</v>
      </c>
      <c r="BJ60" s="522"/>
    </row>
    <row r="61" spans="1:62" s="523" customFormat="1" ht="120">
      <c r="A61" s="579" t="s">
        <v>5185</v>
      </c>
      <c r="B61" s="507" t="s">
        <v>3042</v>
      </c>
      <c r="C61" s="507" t="s">
        <v>3043</v>
      </c>
      <c r="D61" s="508" t="s">
        <v>3602</v>
      </c>
      <c r="E61" s="505" t="s">
        <v>3601</v>
      </c>
      <c r="F61" s="505" t="s">
        <v>4198</v>
      </c>
      <c r="G61" s="509" t="s">
        <v>3609</v>
      </c>
      <c r="H61" s="507" t="s">
        <v>3606</v>
      </c>
      <c r="I61" s="510" t="s">
        <v>1771</v>
      </c>
      <c r="J61" s="510">
        <v>1</v>
      </c>
      <c r="K61" s="507">
        <f>3+4+9+9+16+5+8+2+2+2</f>
        <v>60</v>
      </c>
      <c r="L61" s="507">
        <f>242+576.5+1570+1576.5+2420+782.5+1418.5+162.5+206+108.73</f>
        <v>9063.23</v>
      </c>
      <c r="M61" s="511">
        <v>43997</v>
      </c>
      <c r="N61" s="511">
        <v>43994</v>
      </c>
      <c r="O61" s="511">
        <v>43994</v>
      </c>
      <c r="P61" s="511">
        <v>44029</v>
      </c>
      <c r="Q61" s="511">
        <v>44039</v>
      </c>
      <c r="R61" s="512" t="s">
        <v>4197</v>
      </c>
      <c r="S61" s="513" t="s">
        <v>1771</v>
      </c>
      <c r="T61" s="514" t="s">
        <v>1771</v>
      </c>
      <c r="U61" s="515" t="s">
        <v>3218</v>
      </c>
      <c r="V61" s="510" t="s">
        <v>3154</v>
      </c>
      <c r="W61" s="516" t="s">
        <v>3031</v>
      </c>
      <c r="X61" s="359">
        <v>44025</v>
      </c>
      <c r="Y61" s="510" t="s">
        <v>3337</v>
      </c>
      <c r="Z61" s="510" t="s">
        <v>3354</v>
      </c>
      <c r="AA61" s="511">
        <v>44029</v>
      </c>
      <c r="AB61" s="510" t="s">
        <v>3252</v>
      </c>
      <c r="AC61" s="510" t="s">
        <v>3548</v>
      </c>
      <c r="AD61" s="510" t="s">
        <v>3659</v>
      </c>
      <c r="AE61" s="510" t="s">
        <v>2146</v>
      </c>
      <c r="AF61" s="511">
        <v>44035</v>
      </c>
      <c r="AG61" s="515">
        <v>6964.3404300000002</v>
      </c>
      <c r="AH61" s="507" t="s">
        <v>3582</v>
      </c>
      <c r="AI61" s="510" t="s">
        <v>3108</v>
      </c>
      <c r="AJ61" s="517">
        <v>226100.81</v>
      </c>
      <c r="AK61" s="517">
        <f>47.96+65.57+344.94+193.62+433.49+284.91+284.91+134.21+65.96+34.53</f>
        <v>1890.1000000000001</v>
      </c>
      <c r="AL61" s="517">
        <v>10</v>
      </c>
      <c r="AM61" s="517">
        <f t="shared" si="52"/>
        <v>228000.91</v>
      </c>
      <c r="AN61" s="518">
        <v>5.1111000000000004</v>
      </c>
      <c r="AO61" s="519">
        <f t="shared" si="53"/>
        <v>1165335.4511010002</v>
      </c>
      <c r="AP61" s="519">
        <v>10598.57</v>
      </c>
      <c r="AQ61" s="519">
        <v>117593.33</v>
      </c>
      <c r="AR61" s="519">
        <v>24472.03</v>
      </c>
      <c r="AS61" s="519">
        <v>112454.83</v>
      </c>
      <c r="AT61" s="519">
        <v>288876.48</v>
      </c>
      <c r="AU61" s="519">
        <v>0</v>
      </c>
      <c r="AV61" s="510">
        <v>8</v>
      </c>
      <c r="AW61" s="519">
        <v>367.9</v>
      </c>
      <c r="AX61" s="510" t="s">
        <v>3139</v>
      </c>
      <c r="AY61" s="520">
        <f t="shared" si="54"/>
        <v>44039</v>
      </c>
      <c r="AZ61" s="510" t="s">
        <v>1771</v>
      </c>
      <c r="BA61" s="519">
        <v>1210.5</v>
      </c>
      <c r="BB61" s="519">
        <f t="shared" si="55"/>
        <v>1165335.4511010002</v>
      </c>
      <c r="BC61" s="519">
        <f t="shared" si="56"/>
        <v>1748003.1766515002</v>
      </c>
      <c r="BD61" s="521">
        <f t="shared" si="57"/>
        <v>1</v>
      </c>
      <c r="BE61" s="519">
        <f t="shared" si="58"/>
        <v>1748003.1766515002</v>
      </c>
      <c r="BF61" s="519">
        <v>506.47</v>
      </c>
      <c r="BG61" s="519">
        <f t="shared" si="59"/>
        <v>-20</v>
      </c>
      <c r="BH61" s="519">
        <f t="shared" si="60"/>
        <v>486.47</v>
      </c>
      <c r="BI61" s="581">
        <v>2764.4</v>
      </c>
      <c r="BJ61" s="522"/>
    </row>
    <row r="62" spans="1:62" s="523" customFormat="1" ht="132">
      <c r="A62" s="579" t="s">
        <v>5186</v>
      </c>
      <c r="B62" s="507" t="s">
        <v>3042</v>
      </c>
      <c r="C62" s="507" t="s">
        <v>3043</v>
      </c>
      <c r="D62" s="508" t="s">
        <v>3604</v>
      </c>
      <c r="E62" s="505" t="s">
        <v>3603</v>
      </c>
      <c r="F62" s="505" t="s">
        <v>4196</v>
      </c>
      <c r="G62" s="509">
        <v>607102987</v>
      </c>
      <c r="H62" s="507" t="s">
        <v>3605</v>
      </c>
      <c r="I62" s="510" t="s">
        <v>1771</v>
      </c>
      <c r="J62" s="510">
        <v>1</v>
      </c>
      <c r="K62" s="507">
        <f>38+9</f>
        <v>47</v>
      </c>
      <c r="L62" s="507">
        <f>5221+1590.5</f>
        <v>6811.5</v>
      </c>
      <c r="M62" s="511">
        <v>43997</v>
      </c>
      <c r="N62" s="511">
        <v>43998</v>
      </c>
      <c r="O62" s="511">
        <v>43998</v>
      </c>
      <c r="P62" s="511">
        <v>44031</v>
      </c>
      <c r="Q62" s="511">
        <v>44040</v>
      </c>
      <c r="R62" s="512" t="s">
        <v>4195</v>
      </c>
      <c r="S62" s="513" t="s">
        <v>1771</v>
      </c>
      <c r="T62" s="514" t="s">
        <v>1771</v>
      </c>
      <c r="U62" s="515" t="s">
        <v>3218</v>
      </c>
      <c r="V62" s="510" t="s">
        <v>3154</v>
      </c>
      <c r="W62" s="516" t="s">
        <v>3031</v>
      </c>
      <c r="X62" s="359">
        <v>44025</v>
      </c>
      <c r="Y62" s="510" t="s">
        <v>3147</v>
      </c>
      <c r="Z62" s="510" t="s">
        <v>3147</v>
      </c>
      <c r="AA62" s="511">
        <v>44032</v>
      </c>
      <c r="AB62" s="510" t="s">
        <v>3252</v>
      </c>
      <c r="AC62" s="510" t="s">
        <v>3548</v>
      </c>
      <c r="AD62" s="510" t="s">
        <v>3657</v>
      </c>
      <c r="AE62" s="510" t="s">
        <v>2146</v>
      </c>
      <c r="AF62" s="511">
        <v>44035</v>
      </c>
      <c r="AG62" s="516">
        <v>4488</v>
      </c>
      <c r="AH62" s="507" t="s">
        <v>3238</v>
      </c>
      <c r="AI62" s="510" t="s">
        <v>3108</v>
      </c>
      <c r="AJ62" s="517">
        <v>104164.18</v>
      </c>
      <c r="AK62" s="517">
        <f>757.5+1315.5</f>
        <v>2073</v>
      </c>
      <c r="AL62" s="517">
        <v>2</v>
      </c>
      <c r="AM62" s="517">
        <f t="shared" si="52"/>
        <v>106239.18</v>
      </c>
      <c r="AN62" s="518">
        <v>5.1111000000000004</v>
      </c>
      <c r="AO62" s="519">
        <f t="shared" si="53"/>
        <v>542999.07289800001</v>
      </c>
      <c r="AP62" s="519">
        <v>19709.84</v>
      </c>
      <c r="AQ62" s="519">
        <v>56270.879999999997</v>
      </c>
      <c r="AR62" s="519">
        <v>11402.98</v>
      </c>
      <c r="AS62" s="519">
        <v>52399.42</v>
      </c>
      <c r="AT62" s="519">
        <v>138265.45000000001</v>
      </c>
      <c r="AU62" s="519">
        <v>0</v>
      </c>
      <c r="AV62" s="510">
        <v>2</v>
      </c>
      <c r="AW62" s="519">
        <v>244</v>
      </c>
      <c r="AX62" s="510" t="s">
        <v>3139</v>
      </c>
      <c r="AY62" s="520">
        <f t="shared" si="54"/>
        <v>44040</v>
      </c>
      <c r="AZ62" s="510" t="s">
        <v>1771</v>
      </c>
      <c r="BA62" s="519">
        <v>2432.66</v>
      </c>
      <c r="BB62" s="519">
        <f t="shared" si="55"/>
        <v>542999.07289800001</v>
      </c>
      <c r="BC62" s="519">
        <f t="shared" si="56"/>
        <v>814498.60934700002</v>
      </c>
      <c r="BD62" s="521">
        <f t="shared" si="57"/>
        <v>1</v>
      </c>
      <c r="BE62" s="519">
        <f t="shared" si="58"/>
        <v>814498.60934700002</v>
      </c>
      <c r="BF62" s="519">
        <v>506.47</v>
      </c>
      <c r="BG62" s="519">
        <f t="shared" si="59"/>
        <v>-80</v>
      </c>
      <c r="BH62" s="519">
        <f t="shared" si="60"/>
        <v>426.47</v>
      </c>
      <c r="BI62" s="581">
        <v>3120.6</v>
      </c>
      <c r="BJ62" s="522"/>
    </row>
    <row r="63" spans="1:62" s="523" customFormat="1" ht="144">
      <c r="A63" s="579" t="s">
        <v>5187</v>
      </c>
      <c r="B63" s="507" t="s">
        <v>3042</v>
      </c>
      <c r="C63" s="507" t="s">
        <v>3043</v>
      </c>
      <c r="D63" s="508" t="s">
        <v>3613</v>
      </c>
      <c r="E63" s="505" t="s">
        <v>3612</v>
      </c>
      <c r="F63" s="505" t="s">
        <v>4194</v>
      </c>
      <c r="G63" s="509">
        <v>607144168</v>
      </c>
      <c r="H63" s="507" t="s">
        <v>3618</v>
      </c>
      <c r="I63" s="510">
        <v>1</v>
      </c>
      <c r="J63" s="510">
        <v>1</v>
      </c>
      <c r="K63" s="507">
        <f>13+14+13+1+25</f>
        <v>66</v>
      </c>
      <c r="L63" s="507">
        <f>2803.5+1842+2394.5+80.5+3179.5</f>
        <v>10300</v>
      </c>
      <c r="M63" s="511">
        <v>43998</v>
      </c>
      <c r="N63" s="511">
        <v>43999</v>
      </c>
      <c r="O63" s="511">
        <v>43999</v>
      </c>
      <c r="P63" s="511">
        <v>44031</v>
      </c>
      <c r="Q63" s="511">
        <v>44040</v>
      </c>
      <c r="R63" s="512" t="s">
        <v>4193</v>
      </c>
      <c r="S63" s="513" t="s">
        <v>1771</v>
      </c>
      <c r="T63" s="514" t="s">
        <v>1771</v>
      </c>
      <c r="U63" s="515" t="s">
        <v>3218</v>
      </c>
      <c r="V63" s="510" t="s">
        <v>3154</v>
      </c>
      <c r="W63" s="516" t="s">
        <v>3031</v>
      </c>
      <c r="X63" s="359">
        <v>44026</v>
      </c>
      <c r="Y63" s="510" t="s">
        <v>3261</v>
      </c>
      <c r="Z63" s="510" t="s">
        <v>3262</v>
      </c>
      <c r="AA63" s="510"/>
      <c r="AB63" s="510" t="s">
        <v>3252</v>
      </c>
      <c r="AC63" s="510" t="s">
        <v>3548</v>
      </c>
      <c r="AD63" s="510" t="s">
        <v>3658</v>
      </c>
      <c r="AE63" s="510" t="s">
        <v>2146</v>
      </c>
      <c r="AF63" s="511">
        <v>44035</v>
      </c>
      <c r="AG63" s="515">
        <v>6991.84</v>
      </c>
      <c r="AH63" s="507" t="s">
        <v>3306</v>
      </c>
      <c r="AI63" s="510" t="s">
        <v>3108</v>
      </c>
      <c r="AJ63" s="517">
        <v>338141.08</v>
      </c>
      <c r="AK63" s="517">
        <f>48.39+950.39+821.25+880.78+1044.19</f>
        <v>3745</v>
      </c>
      <c r="AL63" s="517">
        <v>5</v>
      </c>
      <c r="AM63" s="517">
        <f t="shared" ref="AM63:AM81" si="61">SUM(AJ63:AL63)</f>
        <v>341891.08</v>
      </c>
      <c r="AN63" s="518">
        <v>5.1111000000000004</v>
      </c>
      <c r="AO63" s="519">
        <f t="shared" ref="AO63:AO81" si="62">AM63*AN63</f>
        <v>1747439.4989880002</v>
      </c>
      <c r="AP63" s="519">
        <v>6517.22</v>
      </c>
      <c r="AQ63" s="519">
        <v>175047.98</v>
      </c>
      <c r="AR63" s="519">
        <v>36696.239999999998</v>
      </c>
      <c r="AS63" s="519">
        <v>168627.92</v>
      </c>
      <c r="AT63" s="519">
        <v>431384.52</v>
      </c>
      <c r="AU63" s="519">
        <v>0</v>
      </c>
      <c r="AV63" s="510">
        <v>5</v>
      </c>
      <c r="AW63" s="519">
        <v>314.8</v>
      </c>
      <c r="AX63" s="510" t="s">
        <v>3139</v>
      </c>
      <c r="AY63" s="520">
        <f t="shared" ref="AY63:AY81" si="63">Q63</f>
        <v>44040</v>
      </c>
      <c r="AZ63" s="510" t="s">
        <v>1771</v>
      </c>
      <c r="BA63" s="519">
        <v>5631.02</v>
      </c>
      <c r="BB63" s="519">
        <f t="shared" ref="BB63:BB81" si="64">AO63</f>
        <v>1747439.4989880002</v>
      </c>
      <c r="BC63" s="519">
        <f t="shared" ref="BC63:BC81" si="65">(BB63*50%)+BB63</f>
        <v>2621159.2484820001</v>
      </c>
      <c r="BD63" s="521">
        <f t="shared" ref="BD63:BD81" si="66">SUM(I63:J63)</f>
        <v>2</v>
      </c>
      <c r="BE63" s="519">
        <f t="shared" ref="BE63:BE81" si="67">BC63/BD63</f>
        <v>1310579.624241</v>
      </c>
      <c r="BF63" s="519">
        <v>506.47</v>
      </c>
      <c r="BG63" s="519">
        <f t="shared" ref="BG63:BG81" si="68">(AV63-10)*10</f>
        <v>-50</v>
      </c>
      <c r="BH63" s="519">
        <f t="shared" ref="BH63:BH81" si="69">SUM(BF63:BG63)</f>
        <v>456.47</v>
      </c>
      <c r="BI63" s="581">
        <v>5600.27</v>
      </c>
      <c r="BJ63" s="522"/>
    </row>
    <row r="64" spans="1:62" s="523" customFormat="1" ht="120">
      <c r="A64" s="579" t="s">
        <v>5188</v>
      </c>
      <c r="B64" s="507" t="s">
        <v>3042</v>
      </c>
      <c r="C64" s="507" t="s">
        <v>3043</v>
      </c>
      <c r="D64" s="508" t="s">
        <v>3616</v>
      </c>
      <c r="E64" s="505" t="s">
        <v>3617</v>
      </c>
      <c r="F64" s="505" t="s">
        <v>4192</v>
      </c>
      <c r="G64" s="509" t="s">
        <v>3624</v>
      </c>
      <c r="H64" s="507" t="s">
        <v>3622</v>
      </c>
      <c r="I64" s="510">
        <v>1</v>
      </c>
      <c r="J64" s="510">
        <v>1</v>
      </c>
      <c r="K64" s="507">
        <f>23+25+9+11+10+20</f>
        <v>98</v>
      </c>
      <c r="L64" s="507">
        <f>1883+3506+1602+140.28+194.97+1504.74</f>
        <v>8830.99</v>
      </c>
      <c r="M64" s="511">
        <v>44001</v>
      </c>
      <c r="N64" s="511">
        <v>44002</v>
      </c>
      <c r="O64" s="511">
        <v>44002</v>
      </c>
      <c r="P64" s="511">
        <v>44039</v>
      </c>
      <c r="Q64" s="511">
        <v>44046</v>
      </c>
      <c r="R64" s="512" t="s">
        <v>4191</v>
      </c>
      <c r="S64" s="513" t="s">
        <v>1771</v>
      </c>
      <c r="T64" s="514" t="s">
        <v>1771</v>
      </c>
      <c r="U64" s="515" t="s">
        <v>3218</v>
      </c>
      <c r="V64" s="510" t="s">
        <v>3154</v>
      </c>
      <c r="W64" s="516" t="s">
        <v>3031</v>
      </c>
      <c r="X64" s="359">
        <v>44032</v>
      </c>
      <c r="Y64" s="510" t="s">
        <v>3337</v>
      </c>
      <c r="Z64" s="510" t="s">
        <v>3354</v>
      </c>
      <c r="AA64" s="511">
        <v>44040</v>
      </c>
      <c r="AB64" s="510" t="s">
        <v>3252</v>
      </c>
      <c r="AC64" s="510" t="s">
        <v>3548</v>
      </c>
      <c r="AD64" s="510" t="s">
        <v>3664</v>
      </c>
      <c r="AE64" s="510" t="s">
        <v>2146</v>
      </c>
      <c r="AF64" s="511">
        <v>44042</v>
      </c>
      <c r="AG64" s="515">
        <v>5219.09</v>
      </c>
      <c r="AH64" s="507" t="s">
        <v>3582</v>
      </c>
      <c r="AI64" s="510" t="s">
        <v>3108</v>
      </c>
      <c r="AJ64" s="517">
        <v>175571.36</v>
      </c>
      <c r="AK64" s="517">
        <f>89.16+49.04+552.78+1008.22+924.46+811.34</f>
        <v>3435</v>
      </c>
      <c r="AL64" s="517">
        <v>6</v>
      </c>
      <c r="AM64" s="517">
        <f t="shared" si="61"/>
        <v>179012.36</v>
      </c>
      <c r="AN64" s="518">
        <v>5.1395</v>
      </c>
      <c r="AO64" s="519">
        <f t="shared" si="62"/>
        <v>920034.0242199999</v>
      </c>
      <c r="AP64" s="519">
        <v>56980.43</v>
      </c>
      <c r="AQ64" s="519">
        <v>108414.01</v>
      </c>
      <c r="AR64" s="519">
        <v>19320.71</v>
      </c>
      <c r="AS64" s="519">
        <v>88783.32</v>
      </c>
      <c r="AT64" s="519">
        <v>224398.13</v>
      </c>
      <c r="AU64" s="519">
        <v>0</v>
      </c>
      <c r="AV64" s="510">
        <v>18</v>
      </c>
      <c r="AW64" s="519">
        <v>497.7</v>
      </c>
      <c r="AX64" s="510" t="s">
        <v>3139</v>
      </c>
      <c r="AY64" s="520">
        <f t="shared" si="63"/>
        <v>44046</v>
      </c>
      <c r="AZ64" s="510" t="s">
        <v>1771</v>
      </c>
      <c r="BA64" s="519">
        <v>2421</v>
      </c>
      <c r="BB64" s="519">
        <f t="shared" si="64"/>
        <v>920034.0242199999</v>
      </c>
      <c r="BC64" s="519">
        <f t="shared" si="65"/>
        <v>1380051.0363299998</v>
      </c>
      <c r="BD64" s="521">
        <f t="shared" si="66"/>
        <v>2</v>
      </c>
      <c r="BE64" s="519">
        <f t="shared" si="67"/>
        <v>690025.5181649999</v>
      </c>
      <c r="BF64" s="519">
        <v>601.75</v>
      </c>
      <c r="BG64" s="519">
        <f t="shared" si="68"/>
        <v>80</v>
      </c>
      <c r="BH64" s="519">
        <f t="shared" si="69"/>
        <v>681.75</v>
      </c>
      <c r="BI64" s="581">
        <v>4902.16</v>
      </c>
      <c r="BJ64" s="522"/>
    </row>
    <row r="65" spans="1:62" s="523" customFormat="1" ht="120">
      <c r="A65" s="579" t="s">
        <v>5189</v>
      </c>
      <c r="B65" s="507" t="s">
        <v>3042</v>
      </c>
      <c r="C65" s="507" t="s">
        <v>3043</v>
      </c>
      <c r="D65" s="508" t="s">
        <v>3611</v>
      </c>
      <c r="E65" s="505" t="s">
        <v>3610</v>
      </c>
      <c r="F65" s="505" t="s">
        <v>4190</v>
      </c>
      <c r="G65" s="509" t="s">
        <v>3621</v>
      </c>
      <c r="H65" s="507" t="s">
        <v>3622</v>
      </c>
      <c r="I65" s="510" t="s">
        <v>1771</v>
      </c>
      <c r="J65" s="510">
        <v>1</v>
      </c>
      <c r="K65" s="507">
        <f>25+9+13+3</f>
        <v>50</v>
      </c>
      <c r="L65" s="507">
        <f>3516+1925+2841+34.67</f>
        <v>8316.67</v>
      </c>
      <c r="M65" s="511">
        <v>43999</v>
      </c>
      <c r="N65" s="511">
        <v>43999</v>
      </c>
      <c r="O65" s="511">
        <v>43999</v>
      </c>
      <c r="P65" s="511">
        <v>44039</v>
      </c>
      <c r="Q65" s="511">
        <v>44046</v>
      </c>
      <c r="R65" s="512" t="s">
        <v>4189</v>
      </c>
      <c r="S65" s="513" t="s">
        <v>1771</v>
      </c>
      <c r="T65" s="514" t="s">
        <v>1771</v>
      </c>
      <c r="U65" s="515" t="s">
        <v>3218</v>
      </c>
      <c r="V65" s="510" t="s">
        <v>3154</v>
      </c>
      <c r="W65" s="516" t="s">
        <v>3031</v>
      </c>
      <c r="X65" s="359">
        <v>44032</v>
      </c>
      <c r="Y65" s="510" t="s">
        <v>3337</v>
      </c>
      <c r="Z65" s="510" t="s">
        <v>3354</v>
      </c>
      <c r="AA65" s="511">
        <v>44040</v>
      </c>
      <c r="AB65" s="510" t="s">
        <v>3252</v>
      </c>
      <c r="AC65" s="510" t="s">
        <v>3548</v>
      </c>
      <c r="AD65" s="510" t="s">
        <v>3663</v>
      </c>
      <c r="AE65" s="510" t="s">
        <v>2146</v>
      </c>
      <c r="AF65" s="511">
        <v>44042</v>
      </c>
      <c r="AG65" s="515">
        <v>5629.87</v>
      </c>
      <c r="AH65" s="507" t="s">
        <v>3306</v>
      </c>
      <c r="AI65" s="510" t="s">
        <v>3108</v>
      </c>
      <c r="AJ65" s="517">
        <v>246589.6</v>
      </c>
      <c r="AK65" s="517">
        <f>11.95+656.8+445.03+776.22</f>
        <v>1890</v>
      </c>
      <c r="AL65" s="517">
        <v>4</v>
      </c>
      <c r="AM65" s="517">
        <f t="shared" si="61"/>
        <v>248483.6</v>
      </c>
      <c r="AN65" s="518">
        <v>5.1395</v>
      </c>
      <c r="AO65" s="519">
        <f t="shared" si="62"/>
        <v>1277081.4622</v>
      </c>
      <c r="AP65" s="519">
        <v>16365.69</v>
      </c>
      <c r="AQ65" s="519">
        <v>130557.92</v>
      </c>
      <c r="AR65" s="519">
        <v>26818.7</v>
      </c>
      <c r="AS65" s="519">
        <v>123336.46</v>
      </c>
      <c r="AT65" s="519">
        <v>316511.12</v>
      </c>
      <c r="AU65" s="519">
        <v>0</v>
      </c>
      <c r="AV65" s="510">
        <v>5</v>
      </c>
      <c r="AW65" s="519">
        <v>314.8</v>
      </c>
      <c r="AX65" s="510" t="s">
        <v>3139</v>
      </c>
      <c r="AY65" s="520">
        <f t="shared" si="63"/>
        <v>44046</v>
      </c>
      <c r="AZ65" s="510" t="s">
        <v>1771</v>
      </c>
      <c r="BA65" s="519">
        <v>1210.5</v>
      </c>
      <c r="BB65" s="519">
        <f t="shared" si="64"/>
        <v>1277081.4622</v>
      </c>
      <c r="BC65" s="519">
        <f t="shared" si="65"/>
        <v>1915622.1932999999</v>
      </c>
      <c r="BD65" s="521">
        <f t="shared" si="66"/>
        <v>1</v>
      </c>
      <c r="BE65" s="519">
        <f t="shared" si="67"/>
        <v>1915622.1932999999</v>
      </c>
      <c r="BF65" s="519">
        <v>506.47</v>
      </c>
      <c r="BG65" s="519">
        <f t="shared" si="68"/>
        <v>-50</v>
      </c>
      <c r="BH65" s="519">
        <f t="shared" si="69"/>
        <v>456.47</v>
      </c>
      <c r="BI65" s="581">
        <v>2685.45</v>
      </c>
      <c r="BJ65" s="522"/>
    </row>
    <row r="66" spans="1:62" s="523" customFormat="1" ht="120">
      <c r="A66" s="579" t="s">
        <v>5190</v>
      </c>
      <c r="B66" s="507" t="s">
        <v>3042</v>
      </c>
      <c r="C66" s="507" t="s">
        <v>3043</v>
      </c>
      <c r="D66" s="508" t="s">
        <v>3615</v>
      </c>
      <c r="E66" s="505" t="s">
        <v>3614</v>
      </c>
      <c r="F66" s="505" t="s">
        <v>4188</v>
      </c>
      <c r="G66" s="509" t="s">
        <v>3623</v>
      </c>
      <c r="H66" s="507" t="s">
        <v>3622</v>
      </c>
      <c r="I66" s="510" t="s">
        <v>1771</v>
      </c>
      <c r="J66" s="510">
        <v>1</v>
      </c>
      <c r="K66" s="507">
        <f>5+38+2+13</f>
        <v>58</v>
      </c>
      <c r="L66" s="507">
        <f>363.9+4783.5+13.29+377.24</f>
        <v>5537.9299999999994</v>
      </c>
      <c r="M66" s="511">
        <v>44000</v>
      </c>
      <c r="N66" s="511">
        <v>44001</v>
      </c>
      <c r="O66" s="511">
        <v>44001</v>
      </c>
      <c r="P66" s="511">
        <v>44039</v>
      </c>
      <c r="Q66" s="511">
        <v>44046</v>
      </c>
      <c r="R66" s="512" t="s">
        <v>4187</v>
      </c>
      <c r="S66" s="513" t="s">
        <v>1771</v>
      </c>
      <c r="T66" s="514" t="s">
        <v>1771</v>
      </c>
      <c r="U66" s="515" t="s">
        <v>3218</v>
      </c>
      <c r="V66" s="510" t="s">
        <v>3154</v>
      </c>
      <c r="W66" s="516" t="s">
        <v>3031</v>
      </c>
      <c r="X66" s="359">
        <v>44032</v>
      </c>
      <c r="Y66" s="510" t="s">
        <v>3337</v>
      </c>
      <c r="Z66" s="510" t="s">
        <v>3354</v>
      </c>
      <c r="AA66" s="511">
        <v>44039</v>
      </c>
      <c r="AB66" s="510" t="s">
        <v>3252</v>
      </c>
      <c r="AC66" s="510" t="s">
        <v>3548</v>
      </c>
      <c r="AD66" s="510" t="s">
        <v>3665</v>
      </c>
      <c r="AE66" s="510" t="s">
        <v>2146</v>
      </c>
      <c r="AF66" s="511">
        <v>44042</v>
      </c>
      <c r="AG66" s="515">
        <v>3559.942</v>
      </c>
      <c r="AH66" s="507" t="s">
        <v>3306</v>
      </c>
      <c r="AI66" s="510" t="s">
        <v>3108</v>
      </c>
      <c r="AJ66" s="517">
        <v>207832.72</v>
      </c>
      <c r="AK66" s="517">
        <f>154.55+3.94+1624.04+107.47</f>
        <v>1890</v>
      </c>
      <c r="AL66" s="517">
        <v>4</v>
      </c>
      <c r="AM66" s="517">
        <f t="shared" si="61"/>
        <v>209726.72</v>
      </c>
      <c r="AN66" s="518">
        <v>5.1395</v>
      </c>
      <c r="AO66" s="519">
        <f t="shared" si="62"/>
        <v>1077890.47744</v>
      </c>
      <c r="AP66" s="519">
        <v>6583.92</v>
      </c>
      <c r="AQ66" s="519">
        <v>110748.76</v>
      </c>
      <c r="AR66" s="519">
        <v>22635.72</v>
      </c>
      <c r="AS66" s="519">
        <v>104183.13</v>
      </c>
      <c r="AT66" s="519">
        <v>264509.89</v>
      </c>
      <c r="AU66" s="519">
        <v>0</v>
      </c>
      <c r="AV66" s="510">
        <v>12</v>
      </c>
      <c r="AW66" s="519">
        <v>426.9</v>
      </c>
      <c r="AX66" s="510" t="s">
        <v>3139</v>
      </c>
      <c r="AY66" s="520">
        <f t="shared" si="63"/>
        <v>44046</v>
      </c>
      <c r="AZ66" s="510" t="s">
        <v>1771</v>
      </c>
      <c r="BA66" s="519">
        <v>1210.5</v>
      </c>
      <c r="BB66" s="519">
        <f t="shared" si="64"/>
        <v>1077890.47744</v>
      </c>
      <c r="BC66" s="519">
        <f t="shared" si="65"/>
        <v>1616835.7161600001</v>
      </c>
      <c r="BD66" s="521">
        <f t="shared" si="66"/>
        <v>1</v>
      </c>
      <c r="BE66" s="519">
        <f t="shared" si="67"/>
        <v>1616835.7161600001</v>
      </c>
      <c r="BF66" s="519">
        <v>530.29</v>
      </c>
      <c r="BG66" s="519">
        <f t="shared" si="68"/>
        <v>20</v>
      </c>
      <c r="BH66" s="519">
        <f t="shared" si="69"/>
        <v>550.29</v>
      </c>
      <c r="BI66" s="581">
        <v>2697.59</v>
      </c>
      <c r="BJ66" s="522"/>
    </row>
    <row r="67" spans="1:62" s="523" customFormat="1" ht="156">
      <c r="A67" s="579" t="s">
        <v>5191</v>
      </c>
      <c r="B67" s="507" t="s">
        <v>3042</v>
      </c>
      <c r="C67" s="507" t="s">
        <v>3043</v>
      </c>
      <c r="D67" s="508" t="s">
        <v>3627</v>
      </c>
      <c r="E67" s="505" t="s">
        <v>3625</v>
      </c>
      <c r="F67" s="505" t="s">
        <v>4186</v>
      </c>
      <c r="G67" s="509" t="s">
        <v>3632</v>
      </c>
      <c r="H67" s="507" t="s">
        <v>3633</v>
      </c>
      <c r="I67" s="510" t="s">
        <v>1771</v>
      </c>
      <c r="J67" s="510">
        <v>1</v>
      </c>
      <c r="K67" s="507">
        <f>1+38+3+2+1+5+1+5+8+13+1</f>
        <v>78</v>
      </c>
      <c r="L67" s="507">
        <f>50+5305.5+219.9+4.7+0.52+398.48+1.02+96.76+161.28+60.89+23.84</f>
        <v>6322.8900000000012</v>
      </c>
      <c r="M67" s="511">
        <v>44011</v>
      </c>
      <c r="N67" s="511">
        <v>44011</v>
      </c>
      <c r="O67" s="511">
        <v>44011</v>
      </c>
      <c r="P67" s="511">
        <v>44043</v>
      </c>
      <c r="Q67" s="511">
        <v>44050</v>
      </c>
      <c r="R67" s="512" t="s">
        <v>4185</v>
      </c>
      <c r="S67" s="513" t="s">
        <v>1771</v>
      </c>
      <c r="T67" s="514" t="s">
        <v>1771</v>
      </c>
      <c r="U67" s="515" t="s">
        <v>3218</v>
      </c>
      <c r="V67" s="510" t="s">
        <v>3154</v>
      </c>
      <c r="W67" s="516" t="s">
        <v>3031</v>
      </c>
      <c r="X67" s="359">
        <v>44040</v>
      </c>
      <c r="Y67" s="510" t="s">
        <v>3337</v>
      </c>
      <c r="Z67" s="510" t="s">
        <v>3354</v>
      </c>
      <c r="AA67" s="511">
        <v>44043</v>
      </c>
      <c r="AB67" s="510" t="s">
        <v>3252</v>
      </c>
      <c r="AC67" s="510" t="s">
        <v>3548</v>
      </c>
      <c r="AD67" s="510" t="s">
        <v>3666</v>
      </c>
      <c r="AE67" s="510" t="s">
        <v>2146</v>
      </c>
      <c r="AF67" s="511">
        <v>44049</v>
      </c>
      <c r="AG67" s="515">
        <v>3828.90834</v>
      </c>
      <c r="AH67" s="507" t="s">
        <v>3626</v>
      </c>
      <c r="AI67" s="510" t="s">
        <v>3108</v>
      </c>
      <c r="AJ67" s="517">
        <v>207445.82</v>
      </c>
      <c r="AK67" s="517">
        <f>30.25+86.9+52.4+26.48+112.46+26.48+79.27+56.21+1033.12+15.34+6.09</f>
        <v>1524.9999999999998</v>
      </c>
      <c r="AL67" s="517">
        <v>11</v>
      </c>
      <c r="AM67" s="517">
        <f t="shared" si="61"/>
        <v>208981.82</v>
      </c>
      <c r="AN67" s="518">
        <v>5.2759999999999998</v>
      </c>
      <c r="AO67" s="519">
        <f t="shared" si="62"/>
        <v>1102588.08232</v>
      </c>
      <c r="AP67" s="519">
        <v>44089.13</v>
      </c>
      <c r="AQ67" s="519">
        <v>72059.17</v>
      </c>
      <c r="AR67" s="519">
        <v>23154.36</v>
      </c>
      <c r="AS67" s="519">
        <v>106505.5</v>
      </c>
      <c r="AT67" s="519">
        <v>206054.35</v>
      </c>
      <c r="AU67" s="519">
        <v>0</v>
      </c>
      <c r="AV67" s="510">
        <v>17</v>
      </c>
      <c r="AW67" s="519">
        <v>485.9</v>
      </c>
      <c r="AX67" s="510" t="s">
        <v>3139</v>
      </c>
      <c r="AY67" s="520">
        <f t="shared" si="63"/>
        <v>44050</v>
      </c>
      <c r="AZ67" s="510" t="s">
        <v>1771</v>
      </c>
      <c r="BA67" s="519">
        <v>1210.5</v>
      </c>
      <c r="BB67" s="519">
        <f t="shared" si="64"/>
        <v>1102588.08232</v>
      </c>
      <c r="BC67" s="519">
        <f t="shared" si="65"/>
        <v>1653882.1234800001</v>
      </c>
      <c r="BD67" s="521">
        <f t="shared" si="66"/>
        <v>1</v>
      </c>
      <c r="BE67" s="519">
        <f t="shared" si="67"/>
        <v>1653882.1234800001</v>
      </c>
      <c r="BF67" s="519">
        <v>589.84</v>
      </c>
      <c r="BG67" s="519">
        <f t="shared" si="68"/>
        <v>70</v>
      </c>
      <c r="BH67" s="519">
        <f t="shared" si="69"/>
        <v>659.84</v>
      </c>
      <c r="BI67" s="581">
        <v>2209.98</v>
      </c>
      <c r="BJ67" s="522"/>
    </row>
    <row r="68" spans="1:62" s="523" customFormat="1" ht="120">
      <c r="A68" s="579" t="s">
        <v>5192</v>
      </c>
      <c r="B68" s="507" t="s">
        <v>3042</v>
      </c>
      <c r="C68" s="507" t="s">
        <v>3043</v>
      </c>
      <c r="D68" s="508" t="s">
        <v>3635</v>
      </c>
      <c r="E68" s="505" t="s">
        <v>3634</v>
      </c>
      <c r="F68" s="505" t="s">
        <v>4184</v>
      </c>
      <c r="G68" s="509" t="s">
        <v>3642</v>
      </c>
      <c r="H68" s="507" t="s">
        <v>3641</v>
      </c>
      <c r="I68" s="510" t="s">
        <v>1771</v>
      </c>
      <c r="J68" s="510">
        <v>1</v>
      </c>
      <c r="K68" s="507">
        <f>1+1+1+20+20</f>
        <v>43</v>
      </c>
      <c r="L68" s="507">
        <f>0.5+0.5+0.24+2742+2728.5</f>
        <v>5471.74</v>
      </c>
      <c r="M68" s="511">
        <v>44013</v>
      </c>
      <c r="N68" s="511">
        <v>44013</v>
      </c>
      <c r="O68" s="511">
        <v>44013</v>
      </c>
      <c r="P68" s="511">
        <v>44050</v>
      </c>
      <c r="Q68" s="511">
        <v>44057</v>
      </c>
      <c r="R68" s="512" t="s">
        <v>4183</v>
      </c>
      <c r="S68" s="513" t="s">
        <v>1771</v>
      </c>
      <c r="T68" s="514" t="s">
        <v>1771</v>
      </c>
      <c r="U68" s="515" t="s">
        <v>3218</v>
      </c>
      <c r="V68" s="510" t="s">
        <v>3154</v>
      </c>
      <c r="W68" s="516" t="s">
        <v>3031</v>
      </c>
      <c r="X68" s="359">
        <v>44047</v>
      </c>
      <c r="Y68" s="510" t="s">
        <v>3337</v>
      </c>
      <c r="Z68" s="510" t="s">
        <v>3354</v>
      </c>
      <c r="AA68" s="511">
        <v>44050</v>
      </c>
      <c r="AB68" s="510" t="s">
        <v>3252</v>
      </c>
      <c r="AC68" s="510" t="s">
        <v>3548</v>
      </c>
      <c r="AD68" s="510" t="s">
        <v>3674</v>
      </c>
      <c r="AE68" s="510" t="s">
        <v>2146</v>
      </c>
      <c r="AF68" s="511">
        <v>44054</v>
      </c>
      <c r="AG68" s="515">
        <v>3537.9</v>
      </c>
      <c r="AH68" s="507" t="s">
        <v>3359</v>
      </c>
      <c r="AI68" s="510" t="s">
        <v>3108</v>
      </c>
      <c r="AJ68" s="517">
        <v>41378.269999999997</v>
      </c>
      <c r="AK68" s="517">
        <f>762.22+762.22+0.06+0.39+0.11</f>
        <v>1525</v>
      </c>
      <c r="AL68" s="517">
        <v>5</v>
      </c>
      <c r="AM68" s="517">
        <f t="shared" si="61"/>
        <v>42908.27</v>
      </c>
      <c r="AN68" s="518">
        <v>5.3933</v>
      </c>
      <c r="AO68" s="519">
        <f t="shared" si="62"/>
        <v>231417.17259099998</v>
      </c>
      <c r="AP68" s="519">
        <v>18513.37</v>
      </c>
      <c r="AQ68" s="519">
        <v>24993.03</v>
      </c>
      <c r="AR68" s="519">
        <v>4859.76</v>
      </c>
      <c r="AS68" s="519">
        <v>22331.759999999998</v>
      </c>
      <c r="AT68" s="519">
        <v>61388.86</v>
      </c>
      <c r="AU68" s="519">
        <v>0</v>
      </c>
      <c r="AV68" s="510">
        <v>3</v>
      </c>
      <c r="AW68" s="519">
        <v>267.60000000000002</v>
      </c>
      <c r="AX68" s="510" t="s">
        <v>3139</v>
      </c>
      <c r="AY68" s="520">
        <f t="shared" si="63"/>
        <v>44057</v>
      </c>
      <c r="AZ68" s="510" t="s">
        <v>1771</v>
      </c>
      <c r="BA68" s="519">
        <v>1210.5</v>
      </c>
      <c r="BB68" s="519">
        <f t="shared" si="64"/>
        <v>231417.17259099998</v>
      </c>
      <c r="BC68" s="519">
        <f t="shared" si="65"/>
        <v>347125.75888649997</v>
      </c>
      <c r="BD68" s="521">
        <f t="shared" si="66"/>
        <v>1</v>
      </c>
      <c r="BE68" s="519">
        <f t="shared" si="67"/>
        <v>347125.75888649997</v>
      </c>
      <c r="BF68" s="519">
        <v>506.47</v>
      </c>
      <c r="BG68" s="519">
        <f t="shared" si="68"/>
        <v>-70</v>
      </c>
      <c r="BH68" s="519">
        <f t="shared" si="69"/>
        <v>436.47</v>
      </c>
      <c r="BI68" s="581">
        <v>2270.75</v>
      </c>
      <c r="BJ68" s="522"/>
    </row>
    <row r="69" spans="1:62" s="523" customFormat="1" ht="132">
      <c r="A69" s="579" t="s">
        <v>5193</v>
      </c>
      <c r="B69" s="507" t="s">
        <v>3042</v>
      </c>
      <c r="C69" s="507" t="s">
        <v>3043</v>
      </c>
      <c r="D69" s="508" t="s">
        <v>3630</v>
      </c>
      <c r="E69" s="505" t="s">
        <v>3631</v>
      </c>
      <c r="F69" s="505" t="s">
        <v>4182</v>
      </c>
      <c r="G69" s="509">
        <v>607144171</v>
      </c>
      <c r="H69" s="507" t="s">
        <v>3636</v>
      </c>
      <c r="I69" s="510">
        <v>1</v>
      </c>
      <c r="J69" s="510">
        <v>1</v>
      </c>
      <c r="K69" s="507">
        <f>25+2+9+13+1+4+9</f>
        <v>63</v>
      </c>
      <c r="L69" s="507">
        <f>3186+170.76+1599+2406+49.6+347.98+1609.5</f>
        <v>9368.84</v>
      </c>
      <c r="M69" s="511">
        <v>44012</v>
      </c>
      <c r="N69" s="511">
        <v>44012</v>
      </c>
      <c r="O69" s="511">
        <v>44012</v>
      </c>
      <c r="P69" s="511">
        <v>44049</v>
      </c>
      <c r="Q69" s="511">
        <v>44057</v>
      </c>
      <c r="R69" s="512" t="s">
        <v>4181</v>
      </c>
      <c r="S69" s="513" t="s">
        <v>1771</v>
      </c>
      <c r="T69" s="514" t="s">
        <v>1771</v>
      </c>
      <c r="U69" s="515" t="s">
        <v>3218</v>
      </c>
      <c r="V69" s="510" t="s">
        <v>3154</v>
      </c>
      <c r="W69" s="516" t="s">
        <v>3031</v>
      </c>
      <c r="X69" s="359">
        <v>44040</v>
      </c>
      <c r="Y69" s="510" t="s">
        <v>3261</v>
      </c>
      <c r="Z69" s="510" t="s">
        <v>3261</v>
      </c>
      <c r="AA69" s="511">
        <v>44050</v>
      </c>
      <c r="AB69" s="510" t="s">
        <v>3252</v>
      </c>
      <c r="AC69" s="510" t="s">
        <v>3548</v>
      </c>
      <c r="AD69" s="510" t="s">
        <v>3673</v>
      </c>
      <c r="AE69" s="510" t="s">
        <v>2146</v>
      </c>
      <c r="AF69" s="511">
        <v>44054</v>
      </c>
      <c r="AG69" s="515">
        <v>6473.5</v>
      </c>
      <c r="AH69" s="507" t="s">
        <v>3359</v>
      </c>
      <c r="AI69" s="510" t="s">
        <v>3108</v>
      </c>
      <c r="AJ69" s="517">
        <v>319905.19</v>
      </c>
      <c r="AK69" s="517">
        <f>682.18+456.01+47.1+787.71+792.94+368.75+63.31</f>
        <v>3198</v>
      </c>
      <c r="AL69" s="517">
        <v>7</v>
      </c>
      <c r="AM69" s="517">
        <f t="shared" si="61"/>
        <v>323110.19</v>
      </c>
      <c r="AN69" s="518">
        <v>5.3933</v>
      </c>
      <c r="AO69" s="519">
        <f t="shared" si="62"/>
        <v>1742630.1877270001</v>
      </c>
      <c r="AP69" s="519">
        <v>3755.07</v>
      </c>
      <c r="AQ69" s="519">
        <v>174638.5</v>
      </c>
      <c r="AR69" s="519">
        <v>36595.24</v>
      </c>
      <c r="AS69" s="519">
        <v>168163.81</v>
      </c>
      <c r="AT69" s="519">
        <v>429433.82</v>
      </c>
      <c r="AU69" s="519">
        <v>0</v>
      </c>
      <c r="AV69" s="510">
        <v>5</v>
      </c>
      <c r="AW69" s="519">
        <v>314.8</v>
      </c>
      <c r="AX69" s="510" t="s">
        <v>3139</v>
      </c>
      <c r="AY69" s="520">
        <f t="shared" si="63"/>
        <v>44057</v>
      </c>
      <c r="AZ69" s="510" t="s">
        <v>1771</v>
      </c>
      <c r="BA69" s="519">
        <v>5617</v>
      </c>
      <c r="BB69" s="519">
        <f t="shared" si="64"/>
        <v>1742630.1877270001</v>
      </c>
      <c r="BC69" s="519">
        <f t="shared" si="65"/>
        <v>2613945.2815904999</v>
      </c>
      <c r="BD69" s="521">
        <f t="shared" si="66"/>
        <v>2</v>
      </c>
      <c r="BE69" s="519">
        <f t="shared" si="67"/>
        <v>1306972.64079525</v>
      </c>
      <c r="BF69" s="519">
        <v>506.47</v>
      </c>
      <c r="BG69" s="519">
        <f t="shared" si="68"/>
        <v>-50</v>
      </c>
      <c r="BH69" s="519">
        <f t="shared" si="69"/>
        <v>456.47</v>
      </c>
      <c r="BI69" s="581">
        <v>4850.5</v>
      </c>
      <c r="BJ69" s="522"/>
    </row>
    <row r="70" spans="1:62" s="523" customFormat="1" ht="120">
      <c r="A70" s="579" t="s">
        <v>5194</v>
      </c>
      <c r="B70" s="507" t="s">
        <v>3042</v>
      </c>
      <c r="C70" s="507" t="s">
        <v>3043</v>
      </c>
      <c r="D70" s="508" t="s">
        <v>3650</v>
      </c>
      <c r="E70" s="505" t="s">
        <v>3648</v>
      </c>
      <c r="F70" s="505" t="s">
        <v>4180</v>
      </c>
      <c r="G70" s="509" t="s">
        <v>3652</v>
      </c>
      <c r="H70" s="507" t="s">
        <v>3651</v>
      </c>
      <c r="I70" s="510" t="s">
        <v>1771</v>
      </c>
      <c r="J70" s="510">
        <v>1</v>
      </c>
      <c r="K70" s="507">
        <f>9+14+3+22+10+24</f>
        <v>82</v>
      </c>
      <c r="L70" s="507">
        <f>1910.5+1820+263+813.4+142.75+374.1</f>
        <v>5323.75</v>
      </c>
      <c r="M70" s="511">
        <v>44028</v>
      </c>
      <c r="N70" s="511">
        <v>44024</v>
      </c>
      <c r="O70" s="511">
        <v>44024</v>
      </c>
      <c r="P70" s="511">
        <v>44060</v>
      </c>
      <c r="Q70" s="511">
        <v>44067</v>
      </c>
      <c r="R70" s="512" t="s">
        <v>4179</v>
      </c>
      <c r="S70" s="513" t="s">
        <v>1771</v>
      </c>
      <c r="T70" s="514" t="s">
        <v>1771</v>
      </c>
      <c r="U70" s="515" t="s">
        <v>3218</v>
      </c>
      <c r="V70" s="510" t="s">
        <v>3154</v>
      </c>
      <c r="W70" s="516" t="s">
        <v>3031</v>
      </c>
      <c r="X70" s="359">
        <v>44054</v>
      </c>
      <c r="Y70" s="510" t="s">
        <v>3337</v>
      </c>
      <c r="Z70" s="510" t="s">
        <v>3354</v>
      </c>
      <c r="AA70" s="511">
        <v>44060</v>
      </c>
      <c r="AB70" s="510" t="s">
        <v>3252</v>
      </c>
      <c r="AC70" s="510" t="s">
        <v>3548</v>
      </c>
      <c r="AD70" s="510" t="s">
        <v>3686</v>
      </c>
      <c r="AE70" s="510" t="s">
        <v>2146</v>
      </c>
      <c r="AF70" s="511">
        <v>44063</v>
      </c>
      <c r="AG70" s="515">
        <v>3559.3809999999999</v>
      </c>
      <c r="AH70" s="507" t="s">
        <v>3649</v>
      </c>
      <c r="AI70" s="510" t="s">
        <v>3108</v>
      </c>
      <c r="AJ70" s="517">
        <v>296503.02</v>
      </c>
      <c r="AK70" s="517">
        <f>189.09+56.47+368.77+67.51+482.77+360.39</f>
        <v>1525</v>
      </c>
      <c r="AL70" s="517">
        <v>6</v>
      </c>
      <c r="AM70" s="517">
        <f t="shared" si="61"/>
        <v>298034.02</v>
      </c>
      <c r="AN70" s="518">
        <v>5.4905999999999997</v>
      </c>
      <c r="AO70" s="519">
        <f t="shared" si="62"/>
        <v>1636385.5902120001</v>
      </c>
      <c r="AP70" s="519">
        <v>160412.79</v>
      </c>
      <c r="AQ70" s="519">
        <v>239171.62</v>
      </c>
      <c r="AR70" s="519">
        <v>34364.11</v>
      </c>
      <c r="AS70" s="519">
        <v>158586.74</v>
      </c>
      <c r="AT70" s="519">
        <v>401609.78</v>
      </c>
      <c r="AU70" s="519">
        <v>0</v>
      </c>
      <c r="AV70" s="510">
        <v>18</v>
      </c>
      <c r="AW70" s="519">
        <v>497.7</v>
      </c>
      <c r="AX70" s="510" t="s">
        <v>3139</v>
      </c>
      <c r="AY70" s="520">
        <f t="shared" si="63"/>
        <v>44067</v>
      </c>
      <c r="AZ70" s="510" t="s">
        <v>1771</v>
      </c>
      <c r="BA70" s="519">
        <v>1210.5</v>
      </c>
      <c r="BB70" s="519">
        <f t="shared" si="64"/>
        <v>1636385.5902120001</v>
      </c>
      <c r="BC70" s="519">
        <f t="shared" si="65"/>
        <v>2454578.3853179999</v>
      </c>
      <c r="BD70" s="521">
        <f t="shared" si="66"/>
        <v>1</v>
      </c>
      <c r="BE70" s="519">
        <f t="shared" si="67"/>
        <v>2454578.3853179999</v>
      </c>
      <c r="BF70" s="519">
        <v>601.75</v>
      </c>
      <c r="BG70" s="519">
        <f t="shared" si="68"/>
        <v>80</v>
      </c>
      <c r="BH70" s="519">
        <f t="shared" si="69"/>
        <v>681.75</v>
      </c>
      <c r="BI70" s="581">
        <v>2286.8000000000002</v>
      </c>
      <c r="BJ70" s="522"/>
    </row>
    <row r="71" spans="1:62" s="523" customFormat="1" ht="132">
      <c r="A71" s="579" t="s">
        <v>5195</v>
      </c>
      <c r="B71" s="507" t="s">
        <v>3042</v>
      </c>
      <c r="C71" s="507" t="s">
        <v>3043</v>
      </c>
      <c r="D71" s="508" t="s">
        <v>3655</v>
      </c>
      <c r="E71" s="505" t="s">
        <v>3653</v>
      </c>
      <c r="F71" s="505" t="s">
        <v>4178</v>
      </c>
      <c r="G71" s="509" t="s">
        <v>3662</v>
      </c>
      <c r="H71" s="507" t="s">
        <v>3661</v>
      </c>
      <c r="I71" s="510">
        <v>1</v>
      </c>
      <c r="J71" s="510" t="s">
        <v>1771</v>
      </c>
      <c r="K71" s="507">
        <f>25+28</f>
        <v>53</v>
      </c>
      <c r="L71" s="507">
        <f>440.96+924.5</f>
        <v>1365.46</v>
      </c>
      <c r="M71" s="511">
        <v>44032</v>
      </c>
      <c r="N71" s="511">
        <v>44030</v>
      </c>
      <c r="O71" s="511">
        <v>44030</v>
      </c>
      <c r="P71" s="511">
        <v>44063</v>
      </c>
      <c r="Q71" s="511">
        <v>44070</v>
      </c>
      <c r="R71" s="512" t="s">
        <v>4177</v>
      </c>
      <c r="S71" s="513" t="s">
        <v>1771</v>
      </c>
      <c r="T71" s="514" t="s">
        <v>1771</v>
      </c>
      <c r="U71" s="515" t="s">
        <v>3218</v>
      </c>
      <c r="V71" s="510" t="s">
        <v>3154</v>
      </c>
      <c r="W71" s="516" t="s">
        <v>3031</v>
      </c>
      <c r="X71" s="359">
        <v>44061</v>
      </c>
      <c r="Y71" s="510" t="s">
        <v>3337</v>
      </c>
      <c r="Z71" s="510" t="s">
        <v>3354</v>
      </c>
      <c r="AA71" s="511">
        <v>44066</v>
      </c>
      <c r="AB71" s="510" t="s">
        <v>3252</v>
      </c>
      <c r="AC71" s="510" t="s">
        <v>3548</v>
      </c>
      <c r="AD71" s="510" t="s">
        <v>3690</v>
      </c>
      <c r="AE71" s="510" t="s">
        <v>2146</v>
      </c>
      <c r="AF71" s="511">
        <v>44070</v>
      </c>
      <c r="AG71" s="510">
        <v>895.79502000000002</v>
      </c>
      <c r="AH71" s="507" t="s">
        <v>3654</v>
      </c>
      <c r="AI71" s="510" t="s">
        <v>3108</v>
      </c>
      <c r="AJ71" s="517">
        <v>346853.25</v>
      </c>
      <c r="AK71" s="517">
        <v>1363</v>
      </c>
      <c r="AL71" s="517">
        <v>2</v>
      </c>
      <c r="AM71" s="517">
        <f t="shared" si="61"/>
        <v>348218.25</v>
      </c>
      <c r="AN71" s="518">
        <v>5.5679999999999996</v>
      </c>
      <c r="AO71" s="519">
        <f t="shared" si="62"/>
        <v>1938879.2159999998</v>
      </c>
      <c r="AP71" s="519">
        <v>268059.90999999997</v>
      </c>
      <c r="AQ71" s="519">
        <v>325858.75</v>
      </c>
      <c r="AR71" s="519">
        <v>40716.46</v>
      </c>
      <c r="AS71" s="519">
        <v>187314.6</v>
      </c>
      <c r="AT71" s="519">
        <v>457657.9</v>
      </c>
      <c r="AU71" s="519">
        <v>0</v>
      </c>
      <c r="AV71" s="510">
        <v>16</v>
      </c>
      <c r="AW71" s="519">
        <v>474.1</v>
      </c>
      <c r="AX71" s="510" t="s">
        <v>3139</v>
      </c>
      <c r="AY71" s="520">
        <f t="shared" si="63"/>
        <v>44070</v>
      </c>
      <c r="AZ71" s="510" t="s">
        <v>1771</v>
      </c>
      <c r="BA71" s="519">
        <v>1210.5</v>
      </c>
      <c r="BB71" s="519">
        <f t="shared" si="64"/>
        <v>1938879.2159999998</v>
      </c>
      <c r="BC71" s="519">
        <f t="shared" si="65"/>
        <v>2908318.8239999996</v>
      </c>
      <c r="BD71" s="521">
        <f t="shared" si="66"/>
        <v>1</v>
      </c>
      <c r="BE71" s="519">
        <f t="shared" si="67"/>
        <v>2908318.8239999996</v>
      </c>
      <c r="BF71" s="519">
        <v>577.92999999999995</v>
      </c>
      <c r="BG71" s="519">
        <f t="shared" si="68"/>
        <v>60</v>
      </c>
      <c r="BH71" s="519">
        <f t="shared" si="69"/>
        <v>637.92999999999995</v>
      </c>
      <c r="BI71" s="581">
        <v>2144.08</v>
      </c>
      <c r="BJ71" s="522"/>
    </row>
    <row r="72" spans="1:62" s="523" customFormat="1" ht="132">
      <c r="A72" s="579" t="s">
        <v>5196</v>
      </c>
      <c r="B72" s="507" t="s">
        <v>3042</v>
      </c>
      <c r="C72" s="507" t="s">
        <v>3043</v>
      </c>
      <c r="D72" s="508" t="s">
        <v>3668</v>
      </c>
      <c r="E72" s="505" t="s">
        <v>3667</v>
      </c>
      <c r="F72" s="505" t="s">
        <v>4176</v>
      </c>
      <c r="G72" s="509" t="s">
        <v>3705</v>
      </c>
      <c r="H72" s="507" t="s">
        <v>3684</v>
      </c>
      <c r="I72" s="510" t="s">
        <v>1771</v>
      </c>
      <c r="J72" s="510">
        <v>1</v>
      </c>
      <c r="K72" s="507">
        <f>31+5+9+9+13+5+1</f>
        <v>73</v>
      </c>
      <c r="L72" s="507">
        <f>371.24+805.5+1615.5+1613.5+2411+801.86+109.5</f>
        <v>7728.0999999999995</v>
      </c>
      <c r="M72" s="511">
        <v>44050</v>
      </c>
      <c r="N72" s="511">
        <v>44051</v>
      </c>
      <c r="O72" s="511">
        <v>44051</v>
      </c>
      <c r="P72" s="511">
        <v>44091</v>
      </c>
      <c r="Q72" s="511">
        <v>44095</v>
      </c>
      <c r="R72" s="512" t="s">
        <v>4175</v>
      </c>
      <c r="S72" s="513" t="s">
        <v>1771</v>
      </c>
      <c r="T72" s="514" t="s">
        <v>1771</v>
      </c>
      <c r="U72" s="515" t="s">
        <v>3218</v>
      </c>
      <c r="V72" s="510" t="s">
        <v>3154</v>
      </c>
      <c r="W72" s="516" t="s">
        <v>3031</v>
      </c>
      <c r="X72" s="359">
        <v>44089</v>
      </c>
      <c r="Y72" s="510" t="s">
        <v>3337</v>
      </c>
      <c r="Z72" s="510" t="s">
        <v>3354</v>
      </c>
      <c r="AA72" s="511">
        <v>44091</v>
      </c>
      <c r="AB72" s="510" t="s">
        <v>3252</v>
      </c>
      <c r="AC72" s="510" t="s">
        <v>3548</v>
      </c>
      <c r="AD72" s="510" t="s">
        <v>3715</v>
      </c>
      <c r="AE72" s="510" t="s">
        <v>2146</v>
      </c>
      <c r="AF72" s="511">
        <v>44092</v>
      </c>
      <c r="AG72" s="515">
        <v>5656.7303300000003</v>
      </c>
      <c r="AH72" s="507" t="s">
        <v>3306</v>
      </c>
      <c r="AI72" s="510" t="s">
        <v>3108</v>
      </c>
      <c r="AJ72" s="517">
        <v>286875.83</v>
      </c>
      <c r="AK72" s="517">
        <f>151.84+24.69+187.54+407.73+282.83+282.83+187.54</f>
        <v>1524.9999999999998</v>
      </c>
      <c r="AL72" s="517">
        <v>7</v>
      </c>
      <c r="AM72" s="517">
        <f t="shared" si="61"/>
        <v>288407.83</v>
      </c>
      <c r="AN72" s="518">
        <v>5.2592999999999996</v>
      </c>
      <c r="AO72" s="519">
        <f t="shared" si="62"/>
        <v>1516823.3003189999</v>
      </c>
      <c r="AP72" s="519">
        <v>15716.03</v>
      </c>
      <c r="AQ72" s="519">
        <v>159500.26999999999</v>
      </c>
      <c r="AR72" s="519">
        <v>31853.27</v>
      </c>
      <c r="AS72" s="519">
        <v>146473.82</v>
      </c>
      <c r="AT72" s="519">
        <v>370269.86</v>
      </c>
      <c r="AU72" s="519">
        <v>0</v>
      </c>
      <c r="AV72" s="510">
        <v>18</v>
      </c>
      <c r="AW72" s="519">
        <v>497.7</v>
      </c>
      <c r="AX72" s="510" t="s">
        <v>3139</v>
      </c>
      <c r="AY72" s="520">
        <f t="shared" si="63"/>
        <v>44095</v>
      </c>
      <c r="AZ72" s="519" t="s">
        <v>1771</v>
      </c>
      <c r="BA72" s="519">
        <v>1210.5</v>
      </c>
      <c r="BB72" s="519">
        <f t="shared" si="64"/>
        <v>1516823.3003189999</v>
      </c>
      <c r="BC72" s="519">
        <f t="shared" si="65"/>
        <v>2275234.9504784998</v>
      </c>
      <c r="BD72" s="521">
        <f t="shared" si="66"/>
        <v>1</v>
      </c>
      <c r="BE72" s="519">
        <f t="shared" si="67"/>
        <v>2275234.9504784998</v>
      </c>
      <c r="BF72" s="519">
        <v>601.75</v>
      </c>
      <c r="BG72" s="519">
        <f t="shared" si="68"/>
        <v>80</v>
      </c>
      <c r="BH72" s="519">
        <f t="shared" si="69"/>
        <v>681.75</v>
      </c>
      <c r="BI72" s="581">
        <v>2236.48</v>
      </c>
      <c r="BJ72" s="522"/>
    </row>
    <row r="73" spans="1:62" s="523" customFormat="1" ht="192">
      <c r="A73" s="579" t="s">
        <v>5197</v>
      </c>
      <c r="B73" s="507" t="s">
        <v>3042</v>
      </c>
      <c r="C73" s="507" t="s">
        <v>3043</v>
      </c>
      <c r="D73" s="508" t="s">
        <v>3672</v>
      </c>
      <c r="E73" s="505" t="s">
        <v>3671</v>
      </c>
      <c r="F73" s="505" t="s">
        <v>4174</v>
      </c>
      <c r="G73" s="509">
        <v>608028949</v>
      </c>
      <c r="H73" s="507" t="s">
        <v>3680</v>
      </c>
      <c r="I73" s="510">
        <v>1</v>
      </c>
      <c r="J73" s="510">
        <v>2</v>
      </c>
      <c r="K73" s="507">
        <f>149.5+1612.5+1890+4775.5+1780+1787+1659.56+844+240.5+922+670.24+754.5+57+56.5+261</f>
        <v>17459.8</v>
      </c>
      <c r="L73" s="507">
        <f>1+9+14+38+13+13+20+5+2+8+9+5+1+1+2</f>
        <v>141</v>
      </c>
      <c r="M73" s="511">
        <v>44053</v>
      </c>
      <c r="N73" s="511">
        <v>44054</v>
      </c>
      <c r="O73" s="511">
        <v>44054</v>
      </c>
      <c r="P73" s="511">
        <v>44087</v>
      </c>
      <c r="Q73" s="511">
        <v>44096</v>
      </c>
      <c r="R73" s="512" t="s">
        <v>4173</v>
      </c>
      <c r="S73" s="513" t="s">
        <v>1771</v>
      </c>
      <c r="T73" s="514" t="s">
        <v>1771</v>
      </c>
      <c r="U73" s="515" t="s">
        <v>3218</v>
      </c>
      <c r="V73" s="510" t="s">
        <v>3681</v>
      </c>
      <c r="W73" s="516" t="s">
        <v>3031</v>
      </c>
      <c r="X73" s="359">
        <v>44088</v>
      </c>
      <c r="Y73" s="510" t="s">
        <v>3147</v>
      </c>
      <c r="Z73" s="510" t="s">
        <v>3147</v>
      </c>
      <c r="AA73" s="511">
        <v>44089</v>
      </c>
      <c r="AB73" s="510" t="s">
        <v>3252</v>
      </c>
      <c r="AC73" s="510" t="s">
        <v>3548</v>
      </c>
      <c r="AD73" s="510" t="s">
        <v>3713</v>
      </c>
      <c r="AE73" s="510" t="s">
        <v>2146</v>
      </c>
      <c r="AF73" s="511">
        <v>44091</v>
      </c>
      <c r="AG73" s="515">
        <v>11237.371999999999</v>
      </c>
      <c r="AH73" s="507" t="s">
        <v>3268</v>
      </c>
      <c r="AI73" s="510" t="s">
        <v>3108</v>
      </c>
      <c r="AJ73" s="517">
        <v>318471.52</v>
      </c>
      <c r="AK73" s="517">
        <f>335.8+601.15+1340.9+540.52+540.96+390.72+222.47+63.39+348.82+176.67+198.88+17.57+17.57+71.17+39.41</f>
        <v>4905.9999999999991</v>
      </c>
      <c r="AL73" s="517">
        <v>15</v>
      </c>
      <c r="AM73" s="517">
        <f t="shared" si="61"/>
        <v>323392.52</v>
      </c>
      <c r="AN73" s="518">
        <v>5.2531999999999996</v>
      </c>
      <c r="AO73" s="519">
        <f t="shared" si="62"/>
        <v>1698845.5860639999</v>
      </c>
      <c r="AP73" s="519">
        <v>42629.77</v>
      </c>
      <c r="AQ73" s="519">
        <v>174147.54</v>
      </c>
      <c r="AR73" s="519">
        <v>35675.769999999997</v>
      </c>
      <c r="AS73" s="519">
        <v>163938.66</v>
      </c>
      <c r="AT73" s="519">
        <v>427788.39</v>
      </c>
      <c r="AU73" s="519">
        <v>0</v>
      </c>
      <c r="AV73" s="510">
        <v>11</v>
      </c>
      <c r="AW73" s="519">
        <v>415.1</v>
      </c>
      <c r="AX73" s="510" t="s">
        <v>3139</v>
      </c>
      <c r="AY73" s="520">
        <f t="shared" si="63"/>
        <v>44096</v>
      </c>
      <c r="AZ73" s="510" t="s">
        <v>1771</v>
      </c>
      <c r="BA73" s="519">
        <v>7460.85</v>
      </c>
      <c r="BB73" s="519">
        <f t="shared" si="64"/>
        <v>1698845.5860639999</v>
      </c>
      <c r="BC73" s="519">
        <f t="shared" si="65"/>
        <v>2548268.379096</v>
      </c>
      <c r="BD73" s="521">
        <f t="shared" si="66"/>
        <v>3</v>
      </c>
      <c r="BE73" s="519">
        <f t="shared" si="67"/>
        <v>849422.79303199996</v>
      </c>
      <c r="BF73" s="519">
        <v>518.38</v>
      </c>
      <c r="BG73" s="519">
        <f t="shared" si="68"/>
        <v>10</v>
      </c>
      <c r="BH73" s="519">
        <f t="shared" si="69"/>
        <v>528.38</v>
      </c>
      <c r="BI73" s="581">
        <v>7308.43</v>
      </c>
      <c r="BJ73" s="522"/>
    </row>
    <row r="74" spans="1:62" s="523" customFormat="1" ht="132">
      <c r="A74" s="579" t="s">
        <v>5198</v>
      </c>
      <c r="B74" s="507" t="s">
        <v>3042</v>
      </c>
      <c r="C74" s="507" t="s">
        <v>3043</v>
      </c>
      <c r="D74" s="508" t="s">
        <v>3670</v>
      </c>
      <c r="E74" s="505" t="s">
        <v>3669</v>
      </c>
      <c r="F74" s="505" t="s">
        <v>4172</v>
      </c>
      <c r="G74" s="509" t="s">
        <v>3706</v>
      </c>
      <c r="H74" s="507" t="s">
        <v>3684</v>
      </c>
      <c r="I74" s="510" t="s">
        <v>1771</v>
      </c>
      <c r="J74" s="510">
        <v>1</v>
      </c>
      <c r="K74" s="507">
        <f>192.5+798.98+2808.5+795+1899</f>
        <v>6493.98</v>
      </c>
      <c r="L74" s="507">
        <f>2+5+20+5+14</f>
        <v>46</v>
      </c>
      <c r="M74" s="511">
        <v>44053</v>
      </c>
      <c r="N74" s="511">
        <v>44053</v>
      </c>
      <c r="O74" s="511">
        <v>44053</v>
      </c>
      <c r="P74" s="511">
        <v>44091</v>
      </c>
      <c r="Q74" s="511">
        <v>44098</v>
      </c>
      <c r="R74" s="512" t="s">
        <v>4171</v>
      </c>
      <c r="S74" s="513" t="s">
        <v>1771</v>
      </c>
      <c r="T74" s="514" t="s">
        <v>1771</v>
      </c>
      <c r="U74" s="515" t="s">
        <v>3218</v>
      </c>
      <c r="V74" s="510" t="s">
        <v>3154</v>
      </c>
      <c r="W74" s="516" t="s">
        <v>3031</v>
      </c>
      <c r="X74" s="359">
        <v>44089</v>
      </c>
      <c r="Y74" s="510" t="s">
        <v>3337</v>
      </c>
      <c r="Z74" s="510" t="s">
        <v>3354</v>
      </c>
      <c r="AA74" s="511">
        <v>44091</v>
      </c>
      <c r="AB74" s="510" t="s">
        <v>3252</v>
      </c>
      <c r="AC74" s="510" t="s">
        <v>3548</v>
      </c>
      <c r="AD74" s="510" t="s">
        <v>3716</v>
      </c>
      <c r="AE74" s="510" t="s">
        <v>2146</v>
      </c>
      <c r="AF74" s="511">
        <v>44095</v>
      </c>
      <c r="AG74" s="515">
        <v>4379.32</v>
      </c>
      <c r="AH74" s="507" t="s">
        <v>3268</v>
      </c>
      <c r="AI74" s="510" t="s">
        <v>3108</v>
      </c>
      <c r="AJ74" s="517">
        <v>88719.23</v>
      </c>
      <c r="AK74" s="517">
        <v>1525</v>
      </c>
      <c r="AL74" s="517">
        <v>5</v>
      </c>
      <c r="AM74" s="517">
        <f t="shared" si="61"/>
        <v>90249.23</v>
      </c>
      <c r="AN74" s="518">
        <v>5.2888999999999999</v>
      </c>
      <c r="AO74" s="519">
        <f t="shared" si="62"/>
        <v>477319.15254699998</v>
      </c>
      <c r="AP74" s="519">
        <v>13724.58</v>
      </c>
      <c r="AQ74" s="519">
        <v>49104.35</v>
      </c>
      <c r="AR74" s="519">
        <v>10023.700000000001</v>
      </c>
      <c r="AS74" s="519">
        <v>46061.29</v>
      </c>
      <c r="AT74" s="519">
        <v>120661.46</v>
      </c>
      <c r="AU74" s="519">
        <v>0</v>
      </c>
      <c r="AV74" s="510">
        <v>5</v>
      </c>
      <c r="AW74" s="519">
        <v>314.8</v>
      </c>
      <c r="AX74" s="510" t="s">
        <v>3139</v>
      </c>
      <c r="AY74" s="520">
        <f t="shared" si="63"/>
        <v>44098</v>
      </c>
      <c r="AZ74" s="510" t="s">
        <v>1771</v>
      </c>
      <c r="BA74" s="519">
        <v>1210.5</v>
      </c>
      <c r="BB74" s="519">
        <f t="shared" si="64"/>
        <v>477319.15254699998</v>
      </c>
      <c r="BC74" s="519">
        <f t="shared" si="65"/>
        <v>715978.72882049996</v>
      </c>
      <c r="BD74" s="521">
        <f t="shared" si="66"/>
        <v>1</v>
      </c>
      <c r="BE74" s="519">
        <f t="shared" si="67"/>
        <v>715978.72882049996</v>
      </c>
      <c r="BF74" s="519">
        <v>506.47</v>
      </c>
      <c r="BG74" s="519">
        <f t="shared" si="68"/>
        <v>-50</v>
      </c>
      <c r="BH74" s="519">
        <f t="shared" si="69"/>
        <v>456.47</v>
      </c>
      <c r="BI74" s="581">
        <v>2236.48</v>
      </c>
      <c r="BJ74" s="522"/>
    </row>
    <row r="75" spans="1:62" s="523" customFormat="1" ht="120">
      <c r="A75" s="579" t="s">
        <v>5199</v>
      </c>
      <c r="B75" s="507" t="s">
        <v>3042</v>
      </c>
      <c r="C75" s="507" t="s">
        <v>3043</v>
      </c>
      <c r="D75" s="508" t="s">
        <v>3677</v>
      </c>
      <c r="E75" s="505" t="s">
        <v>3678</v>
      </c>
      <c r="F75" s="505" t="s">
        <v>4170</v>
      </c>
      <c r="G75" s="509">
        <v>911113404</v>
      </c>
      <c r="H75" s="507" t="s">
        <v>3679</v>
      </c>
      <c r="I75" s="510" t="s">
        <v>1771</v>
      </c>
      <c r="J75" s="510">
        <v>1</v>
      </c>
      <c r="K75" s="507">
        <f>8+8+5+13+13</f>
        <v>47</v>
      </c>
      <c r="L75" s="507">
        <f>938.5+936+951.15+1601.5+1597.5</f>
        <v>6024.65</v>
      </c>
      <c r="M75" s="511">
        <v>44057</v>
      </c>
      <c r="N75" s="511">
        <v>44058</v>
      </c>
      <c r="O75" s="511">
        <v>44058</v>
      </c>
      <c r="P75" s="511">
        <v>44089</v>
      </c>
      <c r="Q75" s="511">
        <v>44098</v>
      </c>
      <c r="R75" s="512" t="s">
        <v>4169</v>
      </c>
      <c r="S75" s="513" t="s">
        <v>1771</v>
      </c>
      <c r="T75" s="514" t="s">
        <v>1771</v>
      </c>
      <c r="U75" s="515" t="s">
        <v>3218</v>
      </c>
      <c r="V75" s="510" t="s">
        <v>3154</v>
      </c>
      <c r="W75" s="516" t="s">
        <v>3031</v>
      </c>
      <c r="X75" s="359">
        <v>44090</v>
      </c>
      <c r="Y75" s="510" t="s">
        <v>3687</v>
      </c>
      <c r="Z75" s="510" t="s">
        <v>3687</v>
      </c>
      <c r="AA75" s="511">
        <v>44089</v>
      </c>
      <c r="AB75" s="510" t="s">
        <v>3252</v>
      </c>
      <c r="AC75" s="510" t="s">
        <v>3548</v>
      </c>
      <c r="AD75" s="510" t="s">
        <v>3717</v>
      </c>
      <c r="AE75" s="510" t="s">
        <v>2146</v>
      </c>
      <c r="AF75" s="511">
        <v>44092</v>
      </c>
      <c r="AG75" s="515">
        <v>3780</v>
      </c>
      <c r="AH75" s="507" t="s">
        <v>3238</v>
      </c>
      <c r="AI75" s="510" t="s">
        <v>3108</v>
      </c>
      <c r="AJ75" s="517">
        <v>165919.96</v>
      </c>
      <c r="AK75" s="517">
        <f>498.21+498.21+174.98+268.3+268.3</f>
        <v>1707.9999999999998</v>
      </c>
      <c r="AL75" s="517">
        <v>5</v>
      </c>
      <c r="AM75" s="517">
        <f t="shared" si="61"/>
        <v>167632.95999999999</v>
      </c>
      <c r="AN75" s="518">
        <v>5.2592999999999996</v>
      </c>
      <c r="AO75" s="519">
        <f t="shared" si="62"/>
        <v>881632.0265279999</v>
      </c>
      <c r="AP75" s="519">
        <v>6707.68</v>
      </c>
      <c r="AQ75" s="519">
        <v>88833.96</v>
      </c>
      <c r="AR75" s="519">
        <v>18514.259999999998</v>
      </c>
      <c r="AS75" s="519">
        <v>85077.5</v>
      </c>
      <c r="AT75" s="519">
        <v>218377.86</v>
      </c>
      <c r="AU75" s="519">
        <v>0</v>
      </c>
      <c r="AV75" s="510">
        <v>4</v>
      </c>
      <c r="AW75" s="519">
        <v>291.2</v>
      </c>
      <c r="AX75" s="510" t="s">
        <v>3139</v>
      </c>
      <c r="AY75" s="520">
        <f t="shared" si="63"/>
        <v>44098</v>
      </c>
      <c r="AZ75" s="510" t="s">
        <v>1771</v>
      </c>
      <c r="BA75" s="519">
        <v>2838.58</v>
      </c>
      <c r="BB75" s="519">
        <f t="shared" si="64"/>
        <v>881632.0265279999</v>
      </c>
      <c r="BC75" s="519">
        <f t="shared" si="65"/>
        <v>1322448.0397919999</v>
      </c>
      <c r="BD75" s="521">
        <f t="shared" si="66"/>
        <v>1</v>
      </c>
      <c r="BE75" s="519">
        <f t="shared" si="67"/>
        <v>1322448.0397919999</v>
      </c>
      <c r="BF75" s="519">
        <v>506.47</v>
      </c>
      <c r="BG75" s="519">
        <f t="shared" si="68"/>
        <v>-60</v>
      </c>
      <c r="BH75" s="519">
        <f t="shared" si="69"/>
        <v>446.47</v>
      </c>
      <c r="BI75" s="581">
        <v>2609.86</v>
      </c>
      <c r="BJ75" s="522"/>
    </row>
    <row r="76" spans="1:62" s="523" customFormat="1" ht="156">
      <c r="A76" s="579" t="s">
        <v>5200</v>
      </c>
      <c r="B76" s="507" t="s">
        <v>3042</v>
      </c>
      <c r="C76" s="507" t="s">
        <v>3043</v>
      </c>
      <c r="D76" s="508" t="s">
        <v>3676</v>
      </c>
      <c r="E76" s="505" t="s">
        <v>3675</v>
      </c>
      <c r="F76" s="505" t="s">
        <v>4168</v>
      </c>
      <c r="G76" s="509">
        <v>608043806</v>
      </c>
      <c r="H76" s="507" t="s">
        <v>3679</v>
      </c>
      <c r="I76" s="510" t="s">
        <v>1771</v>
      </c>
      <c r="J76" s="510">
        <v>2</v>
      </c>
      <c r="K76" s="507">
        <f>1+7+7+5+5+8+5+8+5+13+13+17+13</f>
        <v>107</v>
      </c>
      <c r="L76" s="507">
        <f>60.5+949+940+958.2+951.23+928+953.3+930+954+1792+1746.5+1451.14+1622.5</f>
        <v>14236.369999999999</v>
      </c>
      <c r="M76" s="511">
        <v>44057</v>
      </c>
      <c r="N76" s="511">
        <v>44058</v>
      </c>
      <c r="O76" s="511">
        <v>44058</v>
      </c>
      <c r="P76" s="511">
        <v>44088</v>
      </c>
      <c r="Q76" s="511">
        <v>44099</v>
      </c>
      <c r="R76" s="512" t="s">
        <v>4167</v>
      </c>
      <c r="S76" s="513" t="s">
        <v>1771</v>
      </c>
      <c r="T76" s="514" t="s">
        <v>1771</v>
      </c>
      <c r="U76" s="515" t="s">
        <v>3218</v>
      </c>
      <c r="V76" s="510" t="s">
        <v>3154</v>
      </c>
      <c r="W76" s="516" t="s">
        <v>3031</v>
      </c>
      <c r="X76" s="359">
        <v>44084</v>
      </c>
      <c r="Y76" s="510" t="s">
        <v>3687</v>
      </c>
      <c r="Z76" s="510" t="s">
        <v>3687</v>
      </c>
      <c r="AA76" s="511">
        <v>44089</v>
      </c>
      <c r="AB76" s="510" t="s">
        <v>3252</v>
      </c>
      <c r="AC76" s="510" t="s">
        <v>3712</v>
      </c>
      <c r="AD76" s="510" t="s">
        <v>3714</v>
      </c>
      <c r="AE76" s="510" t="s">
        <v>2146</v>
      </c>
      <c r="AF76" s="511">
        <v>44092</v>
      </c>
      <c r="AG76" s="515">
        <v>9054.8333500000008</v>
      </c>
      <c r="AH76" s="507" t="s">
        <v>3268</v>
      </c>
      <c r="AI76" s="510" t="s">
        <v>3108</v>
      </c>
      <c r="AJ76" s="517">
        <v>301553.17</v>
      </c>
      <c r="AK76" s="517">
        <f>347.23+328.6+400.25+400.63+216.02+299.66+215.87+249.63+215.4+216.97+255.32+255.32+15.1</f>
        <v>3416.0000000000005</v>
      </c>
      <c r="AL76" s="517">
        <v>13</v>
      </c>
      <c r="AM76" s="517">
        <f t="shared" si="61"/>
        <v>304982.17</v>
      </c>
      <c r="AN76" s="518">
        <v>5.2592999999999996</v>
      </c>
      <c r="AO76" s="519">
        <f t="shared" si="62"/>
        <v>1603992.7266809999</v>
      </c>
      <c r="AP76" s="519">
        <v>33626.29</v>
      </c>
      <c r="AQ76" s="519">
        <v>163761.9</v>
      </c>
      <c r="AR76" s="519">
        <v>33683.85</v>
      </c>
      <c r="AS76" s="519">
        <v>154785.32999999999</v>
      </c>
      <c r="AT76" s="519">
        <v>402457.33</v>
      </c>
      <c r="AU76" s="519">
        <v>0</v>
      </c>
      <c r="AV76" s="510">
        <v>7</v>
      </c>
      <c r="AW76" s="519">
        <v>350.2</v>
      </c>
      <c r="AX76" s="510" t="s">
        <v>3139</v>
      </c>
      <c r="AY76" s="520">
        <f t="shared" si="63"/>
        <v>44099</v>
      </c>
      <c r="AZ76" s="510" t="s">
        <v>1771</v>
      </c>
      <c r="BA76" s="519">
        <v>5212.8</v>
      </c>
      <c r="BB76" s="519">
        <f t="shared" si="64"/>
        <v>1603992.7266809999</v>
      </c>
      <c r="BC76" s="519">
        <f t="shared" si="65"/>
        <v>2405989.0900214999</v>
      </c>
      <c r="BD76" s="521">
        <f t="shared" si="66"/>
        <v>2</v>
      </c>
      <c r="BE76" s="519">
        <f t="shared" si="67"/>
        <v>1202994.5450107499</v>
      </c>
      <c r="BF76" s="519">
        <v>506.47</v>
      </c>
      <c r="BG76" s="519">
        <f t="shared" si="68"/>
        <v>-30</v>
      </c>
      <c r="BH76" s="519">
        <f t="shared" si="69"/>
        <v>476.47</v>
      </c>
      <c r="BI76" s="581">
        <v>6978.03</v>
      </c>
      <c r="BJ76" s="522"/>
    </row>
    <row r="77" spans="1:62" s="523" customFormat="1" ht="120">
      <c r="A77" s="579" t="s">
        <v>5201</v>
      </c>
      <c r="B77" s="507" t="s">
        <v>3042</v>
      </c>
      <c r="C77" s="507" t="s">
        <v>3043</v>
      </c>
      <c r="D77" s="508" t="s">
        <v>3689</v>
      </c>
      <c r="E77" s="505" t="s">
        <v>3688</v>
      </c>
      <c r="F77" s="505" t="s">
        <v>4166</v>
      </c>
      <c r="G77" s="509" t="s">
        <v>3707</v>
      </c>
      <c r="H77" s="507" t="s">
        <v>3699</v>
      </c>
      <c r="I77" s="510" t="s">
        <v>1771</v>
      </c>
      <c r="J77" s="510">
        <v>1</v>
      </c>
      <c r="K77" s="507">
        <f>1+5+5+5+13+15</f>
        <v>44</v>
      </c>
      <c r="L77" s="507">
        <f>8.15+1022+929+944.69+1596.5+773.12</f>
        <v>5273.46</v>
      </c>
      <c r="M77" s="511">
        <v>44068</v>
      </c>
      <c r="N77" s="511">
        <v>44066</v>
      </c>
      <c r="O77" s="511">
        <v>44066</v>
      </c>
      <c r="P77" s="511">
        <v>44099</v>
      </c>
      <c r="Q77" s="511">
        <v>44106</v>
      </c>
      <c r="R77" s="512" t="s">
        <v>4165</v>
      </c>
      <c r="S77" s="513" t="s">
        <v>1771</v>
      </c>
      <c r="T77" s="514" t="s">
        <v>1771</v>
      </c>
      <c r="U77" s="515" t="s">
        <v>3724</v>
      </c>
      <c r="V77" s="510" t="s">
        <v>3154</v>
      </c>
      <c r="W77" s="516" t="s">
        <v>3031</v>
      </c>
      <c r="X77" s="359">
        <v>44099</v>
      </c>
      <c r="Y77" s="510" t="s">
        <v>3337</v>
      </c>
      <c r="Z77" s="510" t="s">
        <v>3354</v>
      </c>
      <c r="AA77" s="511">
        <v>44102</v>
      </c>
      <c r="AB77" s="510" t="s">
        <v>3252</v>
      </c>
      <c r="AC77" s="510" t="s">
        <v>3548</v>
      </c>
      <c r="AD77" s="510" t="s">
        <v>3719</v>
      </c>
      <c r="AE77" s="510" t="s">
        <v>2146</v>
      </c>
      <c r="AF77" s="511">
        <v>44105</v>
      </c>
      <c r="AG77" s="515">
        <v>3536.692</v>
      </c>
      <c r="AH77" s="507" t="s">
        <v>3306</v>
      </c>
      <c r="AI77" s="510" t="s">
        <v>3108</v>
      </c>
      <c r="AJ77" s="517">
        <v>195800.44</v>
      </c>
      <c r="AK77" s="517">
        <f>281.07+463.63+279.88+275.23+222.78+2.41</f>
        <v>1525</v>
      </c>
      <c r="AL77" s="517">
        <v>6</v>
      </c>
      <c r="AM77" s="517">
        <f t="shared" si="61"/>
        <v>197331.44</v>
      </c>
      <c r="AN77" s="518">
        <v>5.6406999999999998</v>
      </c>
      <c r="AO77" s="519">
        <f t="shared" si="62"/>
        <v>1113087.453608</v>
      </c>
      <c r="AP77" s="519">
        <v>7225.53</v>
      </c>
      <c r="AQ77" s="519">
        <v>114369.25</v>
      </c>
      <c r="AR77" s="519">
        <v>23374.85</v>
      </c>
      <c r="AS77" s="519">
        <v>107412.96</v>
      </c>
      <c r="AT77" s="519">
        <v>270417.59999999998</v>
      </c>
      <c r="AU77" s="519">
        <v>0</v>
      </c>
      <c r="AV77" s="510">
        <v>9</v>
      </c>
      <c r="AW77" s="519">
        <v>385.6</v>
      </c>
      <c r="AX77" s="510" t="s">
        <v>3139</v>
      </c>
      <c r="AY77" s="520">
        <f t="shared" si="63"/>
        <v>44106</v>
      </c>
      <c r="AZ77" s="510" t="s">
        <v>1771</v>
      </c>
      <c r="BA77" s="519">
        <v>1210.5</v>
      </c>
      <c r="BB77" s="519">
        <f t="shared" si="64"/>
        <v>1113087.453608</v>
      </c>
      <c r="BC77" s="519">
        <f t="shared" si="65"/>
        <v>1669631.180412</v>
      </c>
      <c r="BD77" s="521">
        <f t="shared" si="66"/>
        <v>1</v>
      </c>
      <c r="BE77" s="519">
        <f t="shared" si="67"/>
        <v>1669631.180412</v>
      </c>
      <c r="BF77" s="519">
        <v>506.47</v>
      </c>
      <c r="BG77" s="519">
        <f t="shared" si="68"/>
        <v>-10</v>
      </c>
      <c r="BH77" s="519">
        <f t="shared" si="69"/>
        <v>496.47</v>
      </c>
      <c r="BI77" s="581">
        <v>2356</v>
      </c>
      <c r="BJ77" s="522"/>
    </row>
    <row r="78" spans="1:62" s="523" customFormat="1" ht="120">
      <c r="A78" s="579" t="s">
        <v>5202</v>
      </c>
      <c r="B78" s="507" t="s">
        <v>3042</v>
      </c>
      <c r="C78" s="507" t="s">
        <v>3043</v>
      </c>
      <c r="D78" s="508" t="s">
        <v>3694</v>
      </c>
      <c r="E78" s="505" t="s">
        <v>3693</v>
      </c>
      <c r="F78" s="505" t="s">
        <v>4164</v>
      </c>
      <c r="G78" s="509" t="s">
        <v>3708</v>
      </c>
      <c r="H78" s="507" t="s">
        <v>3703</v>
      </c>
      <c r="I78" s="510" t="s">
        <v>1771</v>
      </c>
      <c r="J78" s="510">
        <v>1</v>
      </c>
      <c r="K78" s="507">
        <f>9+8+13+13+4</f>
        <v>47</v>
      </c>
      <c r="L78" s="507">
        <f>1884+940+1814.5+1777.5+317</f>
        <v>6733</v>
      </c>
      <c r="M78" s="511">
        <v>44074</v>
      </c>
      <c r="N78" s="511">
        <v>44073</v>
      </c>
      <c r="O78" s="511">
        <v>44073</v>
      </c>
      <c r="P78" s="511">
        <v>44107</v>
      </c>
      <c r="Q78" s="511">
        <v>44112</v>
      </c>
      <c r="R78" s="512" t="s">
        <v>4163</v>
      </c>
      <c r="S78" s="513" t="s">
        <v>1771</v>
      </c>
      <c r="T78" s="514" t="s">
        <v>1771</v>
      </c>
      <c r="U78" s="515" t="s">
        <v>3218</v>
      </c>
      <c r="V78" s="510" t="s">
        <v>3154</v>
      </c>
      <c r="W78" s="516" t="s">
        <v>3031</v>
      </c>
      <c r="X78" s="359">
        <v>44103</v>
      </c>
      <c r="Y78" s="510" t="s">
        <v>3337</v>
      </c>
      <c r="Z78" s="510" t="s">
        <v>3354</v>
      </c>
      <c r="AA78" s="511">
        <v>44109</v>
      </c>
      <c r="AB78" s="510" t="s">
        <v>3252</v>
      </c>
      <c r="AC78" s="510" t="s">
        <v>3548</v>
      </c>
      <c r="AD78" s="510" t="s">
        <v>3720</v>
      </c>
      <c r="AE78" s="510" t="s">
        <v>2146</v>
      </c>
      <c r="AF78" s="511">
        <v>44111</v>
      </c>
      <c r="AG78" s="515">
        <v>4297.3</v>
      </c>
      <c r="AH78" s="507" t="s">
        <v>3238</v>
      </c>
      <c r="AI78" s="510" t="s">
        <v>3108</v>
      </c>
      <c r="AJ78" s="517">
        <v>126384.17</v>
      </c>
      <c r="AK78" s="517">
        <f>103.01+414.76+414.13+285.97+307.13</f>
        <v>1525</v>
      </c>
      <c r="AL78" s="517">
        <v>5</v>
      </c>
      <c r="AM78" s="517">
        <f t="shared" si="61"/>
        <v>127914.17</v>
      </c>
      <c r="AN78" s="518">
        <v>5.5205000000000002</v>
      </c>
      <c r="AO78" s="519">
        <f t="shared" si="62"/>
        <v>706150.17548500001</v>
      </c>
      <c r="AP78" s="519">
        <v>18795.55</v>
      </c>
      <c r="AQ78" s="519">
        <v>72494.559999999998</v>
      </c>
      <c r="AR78" s="519">
        <v>14829.15</v>
      </c>
      <c r="AS78" s="519">
        <v>68143.5</v>
      </c>
      <c r="AT78" s="519">
        <v>177930.52</v>
      </c>
      <c r="AU78" s="519">
        <v>0</v>
      </c>
      <c r="AV78" s="510">
        <v>3</v>
      </c>
      <c r="AW78" s="519">
        <v>267.60000000000002</v>
      </c>
      <c r="AX78" s="510" t="s">
        <v>3139</v>
      </c>
      <c r="AY78" s="520">
        <f t="shared" si="63"/>
        <v>44112</v>
      </c>
      <c r="AZ78" s="510" t="s">
        <v>1771</v>
      </c>
      <c r="BA78" s="519">
        <v>1210.5</v>
      </c>
      <c r="BB78" s="519">
        <f t="shared" si="64"/>
        <v>706150.17548500001</v>
      </c>
      <c r="BC78" s="519">
        <f t="shared" si="65"/>
        <v>1059225.2632275</v>
      </c>
      <c r="BD78" s="521">
        <f t="shared" si="66"/>
        <v>1</v>
      </c>
      <c r="BE78" s="519">
        <f t="shared" si="67"/>
        <v>1059225.2632275</v>
      </c>
      <c r="BF78" s="519">
        <v>506.47</v>
      </c>
      <c r="BG78" s="519">
        <f t="shared" si="68"/>
        <v>-70</v>
      </c>
      <c r="BH78" s="519">
        <f t="shared" si="69"/>
        <v>436.47</v>
      </c>
      <c r="BI78" s="581">
        <v>2386.38</v>
      </c>
      <c r="BJ78" s="522"/>
    </row>
    <row r="79" spans="1:62" s="523" customFormat="1" ht="120">
      <c r="A79" s="579" t="s">
        <v>5203</v>
      </c>
      <c r="B79" s="507" t="s">
        <v>3042</v>
      </c>
      <c r="C79" s="507" t="s">
        <v>3043</v>
      </c>
      <c r="D79" s="508" t="s">
        <v>3696</v>
      </c>
      <c r="E79" s="505" t="s">
        <v>3695</v>
      </c>
      <c r="F79" s="505" t="s">
        <v>4162</v>
      </c>
      <c r="G79" s="509">
        <v>608045375</v>
      </c>
      <c r="H79" s="507" t="s">
        <v>3700</v>
      </c>
      <c r="I79" s="510" t="s">
        <v>1771</v>
      </c>
      <c r="J79" s="510">
        <v>1</v>
      </c>
      <c r="K79" s="507">
        <f>14+5+8+1+13+9</f>
        <v>50</v>
      </c>
      <c r="L79" s="507">
        <f>1903+933+938+106.5+1753.5+779</f>
        <v>6413</v>
      </c>
      <c r="M79" s="511">
        <v>44074</v>
      </c>
      <c r="N79" s="511">
        <v>44071</v>
      </c>
      <c r="O79" s="511">
        <v>44071</v>
      </c>
      <c r="P79" s="511">
        <v>44102</v>
      </c>
      <c r="Q79" s="511">
        <v>44112</v>
      </c>
      <c r="R79" s="512" t="s">
        <v>4161</v>
      </c>
      <c r="S79" s="513" t="s">
        <v>1771</v>
      </c>
      <c r="T79" s="514" t="s">
        <v>1771</v>
      </c>
      <c r="U79" s="515" t="s">
        <v>3218</v>
      </c>
      <c r="V79" s="510" t="s">
        <v>3154</v>
      </c>
      <c r="W79" s="516" t="s">
        <v>3031</v>
      </c>
      <c r="X79" s="359">
        <v>44099</v>
      </c>
      <c r="Y79" s="510" t="s">
        <v>3687</v>
      </c>
      <c r="Z79" s="510" t="s">
        <v>3687</v>
      </c>
      <c r="AA79" s="511">
        <v>44102</v>
      </c>
      <c r="AB79" s="510" t="s">
        <v>3252</v>
      </c>
      <c r="AC79" s="510" t="s">
        <v>3548</v>
      </c>
      <c r="AD79" s="510" t="s">
        <v>3721</v>
      </c>
      <c r="AE79" s="510" t="s">
        <v>2146</v>
      </c>
      <c r="AF79" s="511">
        <v>44111</v>
      </c>
      <c r="AG79" s="515">
        <v>3974.6666700000001</v>
      </c>
      <c r="AH79" s="507" t="s">
        <v>3268</v>
      </c>
      <c r="AI79" s="510" t="s">
        <v>3108</v>
      </c>
      <c r="AJ79" s="517">
        <v>88522.44</v>
      </c>
      <c r="AK79" s="517">
        <f>211.44+471.7+29.22+262.23+227.18+506.23</f>
        <v>1708</v>
      </c>
      <c r="AL79" s="517">
        <v>6</v>
      </c>
      <c r="AM79" s="517">
        <f t="shared" si="61"/>
        <v>90236.44</v>
      </c>
      <c r="AN79" s="518">
        <v>5.5205000000000002</v>
      </c>
      <c r="AO79" s="519">
        <f t="shared" si="62"/>
        <v>498150.26702000003</v>
      </c>
      <c r="AP79" s="519">
        <v>21107.65</v>
      </c>
      <c r="AQ79" s="519">
        <v>51925.75</v>
      </c>
      <c r="AR79" s="519">
        <v>10461.15</v>
      </c>
      <c r="AS79" s="519">
        <v>48071.49</v>
      </c>
      <c r="AT79" s="519">
        <v>127518.64</v>
      </c>
      <c r="AU79" s="519">
        <v>0</v>
      </c>
      <c r="AV79" s="510">
        <v>10</v>
      </c>
      <c r="AW79" s="519">
        <v>403.3</v>
      </c>
      <c r="AX79" s="510" t="s">
        <v>3139</v>
      </c>
      <c r="AY79" s="520">
        <f t="shared" si="63"/>
        <v>44112</v>
      </c>
      <c r="AZ79" s="510" t="s">
        <v>1771</v>
      </c>
      <c r="BA79" s="519">
        <v>1720.56</v>
      </c>
      <c r="BB79" s="519">
        <f t="shared" si="64"/>
        <v>498150.26702000003</v>
      </c>
      <c r="BC79" s="519">
        <f t="shared" si="65"/>
        <v>747225.40052999998</v>
      </c>
      <c r="BD79" s="521">
        <f t="shared" si="66"/>
        <v>1</v>
      </c>
      <c r="BE79" s="519">
        <f t="shared" si="67"/>
        <v>747225.40052999998</v>
      </c>
      <c r="BF79" s="519">
        <v>506.47</v>
      </c>
      <c r="BG79" s="519">
        <f t="shared" si="68"/>
        <v>0</v>
      </c>
      <c r="BH79" s="519">
        <f t="shared" si="69"/>
        <v>506.47</v>
      </c>
      <c r="BI79" s="581">
        <v>2724.43</v>
      </c>
      <c r="BJ79" s="522"/>
    </row>
    <row r="80" spans="1:62" s="523" customFormat="1" ht="156">
      <c r="A80" s="579" t="s">
        <v>5204</v>
      </c>
      <c r="B80" s="507" t="s">
        <v>3042</v>
      </c>
      <c r="C80" s="507" t="s">
        <v>3043</v>
      </c>
      <c r="D80" s="508" t="s">
        <v>3683</v>
      </c>
      <c r="E80" s="505" t="s">
        <v>3682</v>
      </c>
      <c r="F80" s="505" t="s">
        <v>4160</v>
      </c>
      <c r="G80" s="509">
        <v>608049018</v>
      </c>
      <c r="H80" s="507" t="s">
        <v>3685</v>
      </c>
      <c r="I80" s="510" t="s">
        <v>1771</v>
      </c>
      <c r="J80" s="510">
        <v>1</v>
      </c>
      <c r="K80" s="507">
        <f>8+8+5+2+19+5</f>
        <v>47</v>
      </c>
      <c r="L80" s="507">
        <f>931+939.5+954+226+2622.5+777.75</f>
        <v>6450.75</v>
      </c>
      <c r="M80" s="511">
        <v>44061</v>
      </c>
      <c r="N80" s="511">
        <v>44062</v>
      </c>
      <c r="O80" s="511">
        <v>44062</v>
      </c>
      <c r="P80" s="511">
        <v>44100</v>
      </c>
      <c r="Q80" s="511">
        <v>44113</v>
      </c>
      <c r="R80" s="512" t="s">
        <v>4159</v>
      </c>
      <c r="S80" s="513" t="s">
        <v>1771</v>
      </c>
      <c r="T80" s="514" t="s">
        <v>1771</v>
      </c>
      <c r="U80" s="515" t="s">
        <v>3218</v>
      </c>
      <c r="V80" s="510" t="s">
        <v>3154</v>
      </c>
      <c r="W80" s="516" t="s">
        <v>3031</v>
      </c>
      <c r="X80" s="359">
        <v>44091</v>
      </c>
      <c r="Y80" s="510" t="s">
        <v>3687</v>
      </c>
      <c r="Z80" s="510" t="s">
        <v>3687</v>
      </c>
      <c r="AA80" s="511">
        <v>44102</v>
      </c>
      <c r="AB80" s="510" t="s">
        <v>3252</v>
      </c>
      <c r="AC80" s="510" t="s">
        <v>3712</v>
      </c>
      <c r="AD80" s="510" t="s">
        <v>3723</v>
      </c>
      <c r="AE80" s="510" t="s">
        <v>2146</v>
      </c>
      <c r="AF80" s="511">
        <v>44111</v>
      </c>
      <c r="AG80" s="516">
        <v>4267</v>
      </c>
      <c r="AH80" s="507" t="s">
        <v>3238</v>
      </c>
      <c r="AI80" s="510" t="s">
        <v>3108</v>
      </c>
      <c r="AJ80" s="517">
        <v>105163.72</v>
      </c>
      <c r="AK80" s="517">
        <f>203.96+540.48+80.52+233.96+324.54+324.54</f>
        <v>1708</v>
      </c>
      <c r="AL80" s="517">
        <v>6</v>
      </c>
      <c r="AM80" s="517">
        <f t="shared" si="61"/>
        <v>106877.72</v>
      </c>
      <c r="AN80" s="518">
        <v>5.5205000000000002</v>
      </c>
      <c r="AO80" s="519">
        <f t="shared" si="62"/>
        <v>590018.45325999998</v>
      </c>
      <c r="AP80" s="519">
        <v>15416.78</v>
      </c>
      <c r="AQ80" s="519">
        <v>60543.5</v>
      </c>
      <c r="AR80" s="519">
        <v>12390.4</v>
      </c>
      <c r="AS80" s="519">
        <v>56936.78</v>
      </c>
      <c r="AT80" s="519">
        <v>148963.18</v>
      </c>
      <c r="AU80" s="519">
        <v>0</v>
      </c>
      <c r="AV80" s="510">
        <v>4</v>
      </c>
      <c r="AW80" s="519">
        <v>291.2</v>
      </c>
      <c r="AX80" s="510" t="s">
        <v>3139</v>
      </c>
      <c r="AY80" s="520">
        <f t="shared" si="63"/>
        <v>44113</v>
      </c>
      <c r="AZ80" s="510" t="s">
        <v>1771</v>
      </c>
      <c r="BA80" s="519">
        <v>1988.39</v>
      </c>
      <c r="BB80" s="519">
        <f t="shared" si="64"/>
        <v>590018.45325999998</v>
      </c>
      <c r="BC80" s="519">
        <f t="shared" si="65"/>
        <v>885027.67989000003</v>
      </c>
      <c r="BD80" s="521">
        <f t="shared" si="66"/>
        <v>1</v>
      </c>
      <c r="BE80" s="519">
        <f t="shared" si="67"/>
        <v>885027.67989000003</v>
      </c>
      <c r="BF80" s="519">
        <v>506.47</v>
      </c>
      <c r="BG80" s="519">
        <f t="shared" si="68"/>
        <v>-60</v>
      </c>
      <c r="BH80" s="519">
        <f t="shared" si="69"/>
        <v>446.47</v>
      </c>
      <c r="BI80" s="581">
        <v>3556.43</v>
      </c>
      <c r="BJ80" s="522"/>
    </row>
    <row r="81" spans="1:62" s="523" customFormat="1" ht="120">
      <c r="A81" s="579" t="s">
        <v>5205</v>
      </c>
      <c r="B81" s="507" t="s">
        <v>3042</v>
      </c>
      <c r="C81" s="507" t="s">
        <v>3043</v>
      </c>
      <c r="D81" s="508" t="s">
        <v>3698</v>
      </c>
      <c r="E81" s="505" t="s">
        <v>3697</v>
      </c>
      <c r="F81" s="505" t="s">
        <v>4158</v>
      </c>
      <c r="G81" s="509">
        <v>911094653</v>
      </c>
      <c r="H81" s="507" t="s">
        <v>3700</v>
      </c>
      <c r="I81" s="510" t="s">
        <v>1771</v>
      </c>
      <c r="J81" s="510">
        <v>1</v>
      </c>
      <c r="K81" s="507">
        <f>3+1+4+18+13+1+34+9</f>
        <v>83</v>
      </c>
      <c r="L81" s="507">
        <f>330+2.78+489+2451.42+1788.5+10.34+3036+1577.5</f>
        <v>9685.5400000000009</v>
      </c>
      <c r="M81" s="511">
        <v>44074</v>
      </c>
      <c r="N81" s="511">
        <v>44070</v>
      </c>
      <c r="O81" s="511">
        <v>44070</v>
      </c>
      <c r="P81" s="511">
        <v>44102</v>
      </c>
      <c r="Q81" s="511">
        <v>44113</v>
      </c>
      <c r="R81" s="512" t="s">
        <v>4157</v>
      </c>
      <c r="S81" s="513" t="s">
        <v>1771</v>
      </c>
      <c r="T81" s="514" t="s">
        <v>1771</v>
      </c>
      <c r="U81" s="515" t="s">
        <v>3218</v>
      </c>
      <c r="V81" s="510" t="s">
        <v>3154</v>
      </c>
      <c r="W81" s="516" t="s">
        <v>3031</v>
      </c>
      <c r="X81" s="359">
        <v>44099</v>
      </c>
      <c r="Y81" s="510" t="s">
        <v>3687</v>
      </c>
      <c r="Z81" s="510" t="s">
        <v>3687</v>
      </c>
      <c r="AA81" s="511">
        <v>44102</v>
      </c>
      <c r="AB81" s="510" t="s">
        <v>3252</v>
      </c>
      <c r="AC81" s="510" t="s">
        <v>3548</v>
      </c>
      <c r="AD81" s="510" t="s">
        <v>3722</v>
      </c>
      <c r="AE81" s="510" t="s">
        <v>2146</v>
      </c>
      <c r="AF81" s="511">
        <v>44111</v>
      </c>
      <c r="AG81" s="515">
        <v>6982.4078</v>
      </c>
      <c r="AH81" s="507" t="s">
        <v>3268</v>
      </c>
      <c r="AI81" s="510" t="s">
        <v>3108</v>
      </c>
      <c r="AJ81" s="517">
        <v>123240.26</v>
      </c>
      <c r="AK81" s="517">
        <f>301.68+0.56+567.08+2.1+299.08+438.47+65.63+33.4</f>
        <v>1708</v>
      </c>
      <c r="AL81" s="517">
        <v>8</v>
      </c>
      <c r="AM81" s="517">
        <f t="shared" si="61"/>
        <v>124956.26</v>
      </c>
      <c r="AN81" s="518">
        <v>5.5205000000000002</v>
      </c>
      <c r="AO81" s="519">
        <f t="shared" si="62"/>
        <v>689821.03333000001</v>
      </c>
      <c r="AP81" s="519">
        <v>29521.06</v>
      </c>
      <c r="AQ81" s="519">
        <v>71934.12</v>
      </c>
      <c r="AR81" s="519">
        <v>14486.23</v>
      </c>
      <c r="AS81" s="519">
        <v>66567.69</v>
      </c>
      <c r="AT81" s="519">
        <v>176396.18</v>
      </c>
      <c r="AU81" s="519">
        <v>0</v>
      </c>
      <c r="AV81" s="510">
        <v>15</v>
      </c>
      <c r="AW81" s="519">
        <v>462.3</v>
      </c>
      <c r="AX81" s="510" t="s">
        <v>3139</v>
      </c>
      <c r="AY81" s="520">
        <f t="shared" si="63"/>
        <v>44113</v>
      </c>
      <c r="AZ81" s="510" t="s">
        <v>1771</v>
      </c>
      <c r="BA81" s="519">
        <v>2279.36</v>
      </c>
      <c r="BB81" s="519">
        <f t="shared" si="64"/>
        <v>689821.03333000001</v>
      </c>
      <c r="BC81" s="519">
        <f t="shared" si="65"/>
        <v>1034731.549995</v>
      </c>
      <c r="BD81" s="521">
        <f t="shared" si="66"/>
        <v>1</v>
      </c>
      <c r="BE81" s="519">
        <f t="shared" si="67"/>
        <v>1034731.549995</v>
      </c>
      <c r="BF81" s="519">
        <v>566.02</v>
      </c>
      <c r="BG81" s="519">
        <f t="shared" si="68"/>
        <v>50</v>
      </c>
      <c r="BH81" s="519">
        <f t="shared" si="69"/>
        <v>616.02</v>
      </c>
      <c r="BI81" s="581">
        <v>2724.43</v>
      </c>
      <c r="BJ81" s="522"/>
    </row>
    <row r="82" spans="1:62" s="523" customFormat="1" ht="144">
      <c r="A82" s="579" t="s">
        <v>5206</v>
      </c>
      <c r="B82" s="507" t="s">
        <v>3042</v>
      </c>
      <c r="C82" s="507" t="s">
        <v>3043</v>
      </c>
      <c r="D82" s="508" t="s">
        <v>3692</v>
      </c>
      <c r="E82" s="505" t="s">
        <v>3691</v>
      </c>
      <c r="F82" s="505" t="s">
        <v>4156</v>
      </c>
      <c r="G82" s="509">
        <v>608045385</v>
      </c>
      <c r="H82" s="507" t="s">
        <v>3704</v>
      </c>
      <c r="I82" s="510" t="s">
        <v>1771</v>
      </c>
      <c r="J82" s="510">
        <v>1</v>
      </c>
      <c r="K82" s="507">
        <f>8+13+13+44</f>
        <v>78</v>
      </c>
      <c r="L82" s="507">
        <f>946.5+1621+1603+1001.73</f>
        <v>5172.2299999999996</v>
      </c>
      <c r="M82" s="511">
        <v>44074</v>
      </c>
      <c r="N82" s="511">
        <v>44075</v>
      </c>
      <c r="O82" s="511">
        <v>44088</v>
      </c>
      <c r="P82" s="511">
        <v>44118</v>
      </c>
      <c r="Q82" s="511">
        <v>44127</v>
      </c>
      <c r="R82" s="620" t="s">
        <v>4155</v>
      </c>
      <c r="S82" s="513" t="s">
        <v>1771</v>
      </c>
      <c r="T82" s="514" t="s">
        <v>1771</v>
      </c>
      <c r="U82" s="515" t="s">
        <v>3218</v>
      </c>
      <c r="V82" s="510" t="s">
        <v>3154</v>
      </c>
      <c r="W82" s="516" t="s">
        <v>3031</v>
      </c>
      <c r="X82" s="359">
        <v>44112</v>
      </c>
      <c r="Y82" s="510" t="s">
        <v>3687</v>
      </c>
      <c r="Z82" s="510" t="s">
        <v>3687</v>
      </c>
      <c r="AA82" s="511">
        <v>44123</v>
      </c>
      <c r="AB82" s="510" t="s">
        <v>3252</v>
      </c>
      <c r="AC82" s="510" t="s">
        <v>3548</v>
      </c>
      <c r="AD82" s="510" t="s">
        <v>3729</v>
      </c>
      <c r="AE82" s="510" t="s">
        <v>2146</v>
      </c>
      <c r="AF82" s="511">
        <v>44125</v>
      </c>
      <c r="AG82" s="510">
        <v>5172.2299999999996</v>
      </c>
      <c r="AH82" s="507" t="s">
        <v>3306</v>
      </c>
      <c r="AI82" s="510" t="s">
        <v>3108</v>
      </c>
      <c r="AJ82" s="517">
        <v>132500.85999999999</v>
      </c>
      <c r="AK82" s="517">
        <v>1708</v>
      </c>
      <c r="AL82" s="517">
        <v>4</v>
      </c>
      <c r="AM82" s="517">
        <f t="shared" ref="AM82:AM87" si="70">SUM(AJ82:AL82)</f>
        <v>134212.85999999999</v>
      </c>
      <c r="AN82" s="518">
        <v>5.5830000000000002</v>
      </c>
      <c r="AO82" s="519">
        <f t="shared" ref="AO82:AO87" si="71">AM82*AN82</f>
        <v>749310.39737999998</v>
      </c>
      <c r="AP82" s="519">
        <v>13716.44</v>
      </c>
      <c r="AQ82" s="519">
        <v>79310.47</v>
      </c>
      <c r="AR82" s="519">
        <v>15735.51</v>
      </c>
      <c r="AS82" s="519">
        <v>72308.47</v>
      </c>
      <c r="AT82" s="519">
        <v>181309.14</v>
      </c>
      <c r="AU82" s="519">
        <v>0</v>
      </c>
      <c r="AV82" s="510">
        <v>11</v>
      </c>
      <c r="AW82" s="519">
        <v>415.1</v>
      </c>
      <c r="AX82" s="510" t="s">
        <v>3139</v>
      </c>
      <c r="AY82" s="520">
        <f t="shared" ref="AY82:AY87" si="72">Q82</f>
        <v>44127</v>
      </c>
      <c r="AZ82" s="510" t="s">
        <v>1771</v>
      </c>
      <c r="BA82" s="519">
        <v>2452.8000000000002</v>
      </c>
      <c r="BB82" s="519">
        <f t="shared" ref="BB82:BB87" si="73">AO82</f>
        <v>749310.39737999998</v>
      </c>
      <c r="BC82" s="519">
        <f t="shared" ref="BC82:BC87" si="74">(BB82*50%)+BB82</f>
        <v>1123965.59607</v>
      </c>
      <c r="BD82" s="521">
        <f t="shared" ref="BD82:BD87" si="75">SUM(I82:J82)</f>
        <v>1</v>
      </c>
      <c r="BE82" s="519">
        <f t="shared" ref="BE82:BE87" si="76">BC82/BD82</f>
        <v>1123965.59607</v>
      </c>
      <c r="BF82" s="519">
        <v>518.38</v>
      </c>
      <c r="BG82" s="519">
        <f t="shared" ref="BG82:BG87" si="77">(AV82-10)*10</f>
        <v>10</v>
      </c>
      <c r="BH82" s="519">
        <f t="shared" ref="BH82:BH87" si="78">SUM(BF82:BG82)</f>
        <v>528.38</v>
      </c>
      <c r="BI82" s="581">
        <v>2748.3</v>
      </c>
      <c r="BJ82" s="522"/>
    </row>
    <row r="83" spans="1:62" s="523" customFormat="1" ht="108">
      <c r="A83" s="579" t="s">
        <v>5207</v>
      </c>
      <c r="B83" s="507" t="s">
        <v>3042</v>
      </c>
      <c r="C83" s="507" t="s">
        <v>3043</v>
      </c>
      <c r="D83" s="508" t="s">
        <v>3710</v>
      </c>
      <c r="E83" s="505" t="s">
        <v>3709</v>
      </c>
      <c r="F83" s="505" t="s">
        <v>4154</v>
      </c>
      <c r="G83" s="509">
        <v>911207930</v>
      </c>
      <c r="H83" s="507" t="s">
        <v>3711</v>
      </c>
      <c r="I83" s="510">
        <v>1</v>
      </c>
      <c r="J83" s="510" t="s">
        <v>1771</v>
      </c>
      <c r="K83" s="507">
        <f>11+13</f>
        <v>24</v>
      </c>
      <c r="L83" s="507">
        <f>353.17+1639.5</f>
        <v>1992.67</v>
      </c>
      <c r="M83" s="511">
        <v>44088</v>
      </c>
      <c r="N83" s="511">
        <v>44086</v>
      </c>
      <c r="O83" s="511">
        <v>44086</v>
      </c>
      <c r="P83" s="511">
        <v>44122</v>
      </c>
      <c r="Q83" s="511">
        <v>44127</v>
      </c>
      <c r="R83" s="620" t="s">
        <v>4153</v>
      </c>
      <c r="S83" s="513" t="s">
        <v>1771</v>
      </c>
      <c r="T83" s="514" t="s">
        <v>1771</v>
      </c>
      <c r="U83" s="515" t="s">
        <v>3218</v>
      </c>
      <c r="V83" s="510" t="s">
        <v>3146</v>
      </c>
      <c r="W83" s="516" t="s">
        <v>3031</v>
      </c>
      <c r="X83" s="359">
        <v>44118</v>
      </c>
      <c r="Y83" s="510" t="s">
        <v>3147</v>
      </c>
      <c r="Z83" s="510" t="s">
        <v>3147</v>
      </c>
      <c r="AA83" s="511">
        <v>44123</v>
      </c>
      <c r="AB83" s="510" t="s">
        <v>3252</v>
      </c>
      <c r="AC83" s="510" t="s">
        <v>3548</v>
      </c>
      <c r="AD83" s="510" t="s">
        <v>3730</v>
      </c>
      <c r="AE83" s="510" t="s">
        <v>2146</v>
      </c>
      <c r="AF83" s="511">
        <v>44125</v>
      </c>
      <c r="AG83" s="510">
        <v>1992.67</v>
      </c>
      <c r="AH83" s="507" t="s">
        <v>3306</v>
      </c>
      <c r="AI83" s="510" t="s">
        <v>3108</v>
      </c>
      <c r="AJ83" s="517">
        <v>83092.78</v>
      </c>
      <c r="AK83" s="517">
        <f>257.52+1232.48</f>
        <v>1490</v>
      </c>
      <c r="AL83" s="517">
        <v>2</v>
      </c>
      <c r="AM83" s="517">
        <f t="shared" si="70"/>
        <v>84584.78</v>
      </c>
      <c r="AN83" s="518">
        <v>5.5830000000000002</v>
      </c>
      <c r="AO83" s="519">
        <f t="shared" si="71"/>
        <v>472236.82673999999</v>
      </c>
      <c r="AP83" s="519">
        <v>21665.34</v>
      </c>
      <c r="AQ83" s="519">
        <v>58017.63</v>
      </c>
      <c r="AR83" s="519">
        <v>9916.9699999999993</v>
      </c>
      <c r="AS83" s="519">
        <v>45902.23</v>
      </c>
      <c r="AT83" s="519">
        <v>110618.28</v>
      </c>
      <c r="AU83" s="519">
        <v>0</v>
      </c>
      <c r="AV83" s="510">
        <v>8</v>
      </c>
      <c r="AW83" s="519">
        <v>367.9</v>
      </c>
      <c r="AX83" s="510" t="s">
        <v>3139</v>
      </c>
      <c r="AY83" s="520">
        <f t="shared" si="72"/>
        <v>44127</v>
      </c>
      <c r="AZ83" s="510" t="s">
        <v>1771</v>
      </c>
      <c r="BA83" s="519">
        <v>2267.61</v>
      </c>
      <c r="BB83" s="519">
        <f t="shared" si="73"/>
        <v>472236.82673999999</v>
      </c>
      <c r="BC83" s="519">
        <f t="shared" si="74"/>
        <v>708355.24011000001</v>
      </c>
      <c r="BD83" s="521">
        <f t="shared" si="75"/>
        <v>1</v>
      </c>
      <c r="BE83" s="519">
        <f t="shared" si="76"/>
        <v>708355.24011000001</v>
      </c>
      <c r="BF83" s="519">
        <v>506.47</v>
      </c>
      <c r="BG83" s="519">
        <f t="shared" si="77"/>
        <v>-20</v>
      </c>
      <c r="BH83" s="519">
        <f t="shared" si="78"/>
        <v>486.47</v>
      </c>
      <c r="BI83" s="581">
        <v>2441.86</v>
      </c>
      <c r="BJ83" s="522"/>
    </row>
    <row r="84" spans="1:62" s="523" customFormat="1" ht="168">
      <c r="A84" s="579" t="s">
        <v>5208</v>
      </c>
      <c r="B84" s="507" t="s">
        <v>3042</v>
      </c>
      <c r="C84" s="507" t="s">
        <v>3043</v>
      </c>
      <c r="D84" s="508" t="s">
        <v>3702</v>
      </c>
      <c r="E84" s="505" t="s">
        <v>3701</v>
      </c>
      <c r="F84" s="505" t="s">
        <v>4152</v>
      </c>
      <c r="G84" s="509">
        <v>911181262</v>
      </c>
      <c r="H84" s="507" t="s">
        <v>3725</v>
      </c>
      <c r="I84" s="510" t="s">
        <v>1771</v>
      </c>
      <c r="J84" s="510">
        <v>1</v>
      </c>
      <c r="K84" s="507">
        <f>5+13+13+13+5</f>
        <v>49</v>
      </c>
      <c r="L84" s="507">
        <f>936.5+1777.5+1603+1773.5+938.26</f>
        <v>7028.76</v>
      </c>
      <c r="M84" s="511">
        <v>44077</v>
      </c>
      <c r="N84" s="511">
        <v>44077</v>
      </c>
      <c r="O84" s="511">
        <v>44088</v>
      </c>
      <c r="P84" s="511">
        <v>44128</v>
      </c>
      <c r="Q84" s="511">
        <v>44134</v>
      </c>
      <c r="R84" s="620" t="s">
        <v>4151</v>
      </c>
      <c r="S84" s="513" t="s">
        <v>1771</v>
      </c>
      <c r="T84" s="514" t="s">
        <v>1771</v>
      </c>
      <c r="U84" s="515" t="s">
        <v>3218</v>
      </c>
      <c r="V84" s="510" t="s">
        <v>3154</v>
      </c>
      <c r="W84" s="516" t="s">
        <v>3031</v>
      </c>
      <c r="X84" s="359">
        <v>44112</v>
      </c>
      <c r="Y84" s="510" t="s">
        <v>3687</v>
      </c>
      <c r="Z84" s="510" t="s">
        <v>3687</v>
      </c>
      <c r="AA84" s="511">
        <v>44130</v>
      </c>
      <c r="AB84" s="510" t="s">
        <v>3252</v>
      </c>
      <c r="AC84" s="510" t="s">
        <v>3548</v>
      </c>
      <c r="AD84" s="510" t="s">
        <v>3738</v>
      </c>
      <c r="AE84" s="510" t="s">
        <v>2146</v>
      </c>
      <c r="AF84" s="511">
        <v>44130</v>
      </c>
      <c r="AG84" s="510">
        <v>7028.76</v>
      </c>
      <c r="AH84" s="507" t="s">
        <v>3238</v>
      </c>
      <c r="AI84" s="510" t="s">
        <v>3108</v>
      </c>
      <c r="AJ84" s="517">
        <v>169949.05</v>
      </c>
      <c r="AK84" s="517">
        <v>1708</v>
      </c>
      <c r="AL84" s="517">
        <v>5</v>
      </c>
      <c r="AM84" s="517">
        <f t="shared" si="70"/>
        <v>171662.05</v>
      </c>
      <c r="AN84" s="518">
        <v>5.6120000000000001</v>
      </c>
      <c r="AO84" s="519">
        <f t="shared" si="71"/>
        <v>963367.42459999991</v>
      </c>
      <c r="AP84" s="519">
        <v>14421.81</v>
      </c>
      <c r="AQ84" s="519">
        <v>97778.91</v>
      </c>
      <c r="AR84" s="519">
        <v>20230.72</v>
      </c>
      <c r="AS84" s="519">
        <v>92964.96</v>
      </c>
      <c r="AT84" s="519">
        <v>240145.54</v>
      </c>
      <c r="AU84" s="519">
        <v>0</v>
      </c>
      <c r="AV84" s="510">
        <v>3</v>
      </c>
      <c r="AW84" s="519">
        <v>267.60000000000002</v>
      </c>
      <c r="AX84" s="510" t="s">
        <v>3139</v>
      </c>
      <c r="AY84" s="520">
        <f t="shared" si="72"/>
        <v>44134</v>
      </c>
      <c r="AZ84" s="510" t="s">
        <v>1771</v>
      </c>
      <c r="BA84" s="519">
        <v>3076.87</v>
      </c>
      <c r="BB84" s="519">
        <f t="shared" si="73"/>
        <v>963367.42459999991</v>
      </c>
      <c r="BC84" s="519">
        <f t="shared" si="74"/>
        <v>1445051.1368999998</v>
      </c>
      <c r="BD84" s="521">
        <f t="shared" si="75"/>
        <v>1</v>
      </c>
      <c r="BE84" s="519">
        <f t="shared" si="76"/>
        <v>1445051.1368999998</v>
      </c>
      <c r="BF84" s="519">
        <v>506.47</v>
      </c>
      <c r="BG84" s="519">
        <f t="shared" si="77"/>
        <v>-70</v>
      </c>
      <c r="BH84" s="519">
        <f t="shared" si="78"/>
        <v>436.47</v>
      </c>
      <c r="BI84" s="581">
        <v>2743.77</v>
      </c>
      <c r="BJ84" s="522"/>
    </row>
    <row r="85" spans="1:62" s="523" customFormat="1" ht="216">
      <c r="A85" s="579" t="s">
        <v>5209</v>
      </c>
      <c r="B85" s="507" t="s">
        <v>3042</v>
      </c>
      <c r="C85" s="507" t="s">
        <v>3043</v>
      </c>
      <c r="D85" s="508" t="s">
        <v>3718</v>
      </c>
      <c r="E85" s="505" t="s">
        <v>3726</v>
      </c>
      <c r="F85" s="505" t="s">
        <v>4150</v>
      </c>
      <c r="G85" s="509">
        <v>911226198</v>
      </c>
      <c r="H85" s="507" t="s">
        <v>3731</v>
      </c>
      <c r="I85" s="510" t="s">
        <v>1771</v>
      </c>
      <c r="J85" s="510">
        <v>1</v>
      </c>
      <c r="K85" s="507">
        <f>1+38+2+5+5+5+5+5+5+13</f>
        <v>84</v>
      </c>
      <c r="L85" s="507">
        <f>33.56+378.07+155+312+314+284+284+288+271+680.25</f>
        <v>2999.88</v>
      </c>
      <c r="M85" s="511">
        <v>44103</v>
      </c>
      <c r="N85" s="511">
        <v>44104</v>
      </c>
      <c r="O85" s="511">
        <v>44104</v>
      </c>
      <c r="P85" s="511">
        <v>44142</v>
      </c>
      <c r="Q85" s="511">
        <f>P85+9</f>
        <v>44151</v>
      </c>
      <c r="R85" s="512" t="s">
        <v>4149</v>
      </c>
      <c r="S85" s="513" t="s">
        <v>1771</v>
      </c>
      <c r="T85" s="514" t="s">
        <v>1771</v>
      </c>
      <c r="U85" s="515" t="s">
        <v>3218</v>
      </c>
      <c r="V85" s="510" t="s">
        <v>3154</v>
      </c>
      <c r="W85" s="516" t="s">
        <v>3031</v>
      </c>
      <c r="X85" s="359">
        <v>44127</v>
      </c>
      <c r="Y85" s="510" t="s">
        <v>3687</v>
      </c>
      <c r="Z85" s="510" t="s">
        <v>3687</v>
      </c>
      <c r="AA85" s="511">
        <v>44143</v>
      </c>
      <c r="AB85" s="510" t="s">
        <v>3252</v>
      </c>
      <c r="AC85" s="510" t="s">
        <v>3548</v>
      </c>
      <c r="AD85" s="510" t="s">
        <v>3739</v>
      </c>
      <c r="AE85" s="510" t="s">
        <v>2146</v>
      </c>
      <c r="AF85" s="511">
        <v>44147</v>
      </c>
      <c r="AG85" s="515">
        <v>1621.2560000000001</v>
      </c>
      <c r="AH85" s="507" t="s">
        <v>3654</v>
      </c>
      <c r="AI85" s="510" t="s">
        <v>3108</v>
      </c>
      <c r="AJ85" s="517">
        <v>80998.34</v>
      </c>
      <c r="AK85" s="517">
        <v>1759</v>
      </c>
      <c r="AL85" s="517">
        <v>10</v>
      </c>
      <c r="AM85" s="517">
        <f t="shared" si="70"/>
        <v>82767.34</v>
      </c>
      <c r="AN85" s="518">
        <v>5.4020000000000001</v>
      </c>
      <c r="AO85" s="519">
        <f t="shared" si="71"/>
        <v>447109.17067999998</v>
      </c>
      <c r="AP85" s="519">
        <v>52687.63</v>
      </c>
      <c r="AQ85" s="519">
        <v>65634.350000000006</v>
      </c>
      <c r="AR85" s="519">
        <v>9389.2999999999993</v>
      </c>
      <c r="AS85" s="519">
        <v>44472.24</v>
      </c>
      <c r="AT85" s="519">
        <v>86894.34</v>
      </c>
      <c r="AU85" s="519">
        <v>0</v>
      </c>
      <c r="AV85" s="510">
        <v>17</v>
      </c>
      <c r="AW85" s="519">
        <v>485.9</v>
      </c>
      <c r="AX85" s="510" t="s">
        <v>3139</v>
      </c>
      <c r="AY85" s="520">
        <f t="shared" si="72"/>
        <v>44151</v>
      </c>
      <c r="AZ85" s="510" t="s">
        <v>1771</v>
      </c>
      <c r="BA85" s="519">
        <v>1571.74</v>
      </c>
      <c r="BB85" s="519">
        <f t="shared" si="73"/>
        <v>447109.17067999998</v>
      </c>
      <c r="BC85" s="519">
        <f t="shared" si="74"/>
        <v>670663.75601999997</v>
      </c>
      <c r="BD85" s="521">
        <f t="shared" si="75"/>
        <v>1</v>
      </c>
      <c r="BE85" s="519">
        <f t="shared" si="76"/>
        <v>670663.75601999997</v>
      </c>
      <c r="BF85" s="519">
        <v>589.84</v>
      </c>
      <c r="BG85" s="519">
        <f t="shared" si="77"/>
        <v>70</v>
      </c>
      <c r="BH85" s="519">
        <f t="shared" si="78"/>
        <v>659.84</v>
      </c>
      <c r="BI85" s="581">
        <v>2779.83</v>
      </c>
      <c r="BJ85" s="522"/>
    </row>
    <row r="86" spans="1:62" s="523" customFormat="1" ht="168">
      <c r="A86" s="579" t="s">
        <v>5210</v>
      </c>
      <c r="B86" s="507" t="s">
        <v>3042</v>
      </c>
      <c r="C86" s="507" t="s">
        <v>3043</v>
      </c>
      <c r="D86" s="508" t="s">
        <v>3728</v>
      </c>
      <c r="E86" s="505" t="s">
        <v>3727</v>
      </c>
      <c r="F86" s="505" t="s">
        <v>4148</v>
      </c>
      <c r="G86" s="509">
        <v>911224561</v>
      </c>
      <c r="H86" s="507" t="s">
        <v>3734</v>
      </c>
      <c r="I86" s="510">
        <v>1</v>
      </c>
      <c r="J86" s="510" t="s">
        <v>1771</v>
      </c>
      <c r="K86" s="507">
        <v>81</v>
      </c>
      <c r="L86" s="507">
        <v>1791.53</v>
      </c>
      <c r="M86" s="511">
        <v>44117</v>
      </c>
      <c r="N86" s="511">
        <v>44128</v>
      </c>
      <c r="O86" s="511">
        <v>44128</v>
      </c>
      <c r="P86" s="511">
        <v>44158</v>
      </c>
      <c r="Q86" s="511">
        <v>44161</v>
      </c>
      <c r="R86" s="512" t="s">
        <v>4147</v>
      </c>
      <c r="S86" s="513" t="s">
        <v>1771</v>
      </c>
      <c r="T86" s="514" t="s">
        <v>1771</v>
      </c>
      <c r="U86" s="515" t="s">
        <v>3218</v>
      </c>
      <c r="V86" s="510" t="s">
        <v>3146</v>
      </c>
      <c r="W86" s="516" t="s">
        <v>3031</v>
      </c>
      <c r="X86" s="359" t="s">
        <v>1771</v>
      </c>
      <c r="Y86" s="510" t="s">
        <v>3147</v>
      </c>
      <c r="Z86" s="510" t="s">
        <v>3147</v>
      </c>
      <c r="AA86" s="511">
        <v>44159</v>
      </c>
      <c r="AB86" s="510" t="s">
        <v>3252</v>
      </c>
      <c r="AC86" s="510" t="s">
        <v>3548</v>
      </c>
      <c r="AD86" s="510" t="s">
        <v>3741</v>
      </c>
      <c r="AE86" s="510" t="s">
        <v>2146</v>
      </c>
      <c r="AF86" s="511">
        <v>44159</v>
      </c>
      <c r="AG86" s="515">
        <v>1115.9069999999999</v>
      </c>
      <c r="AH86" s="507" t="s">
        <v>3654</v>
      </c>
      <c r="AI86" s="510" t="s">
        <v>3108</v>
      </c>
      <c r="AJ86" s="517">
        <v>226093.14</v>
      </c>
      <c r="AK86" s="517">
        <v>1650.09</v>
      </c>
      <c r="AL86" s="517">
        <v>8</v>
      </c>
      <c r="AM86" s="517">
        <f t="shared" si="70"/>
        <v>227751.23</v>
      </c>
      <c r="AN86" s="518">
        <v>5.3827999999999996</v>
      </c>
      <c r="AO86" s="519">
        <f t="shared" si="71"/>
        <v>1225939.320844</v>
      </c>
      <c r="AP86" s="519">
        <v>91135.39</v>
      </c>
      <c r="AQ86" s="519">
        <v>171937.17</v>
      </c>
      <c r="AR86" s="519">
        <v>25744.74</v>
      </c>
      <c r="AS86" s="519">
        <v>118553.64</v>
      </c>
      <c r="AT86" s="519">
        <v>252725.19</v>
      </c>
      <c r="AU86" s="519">
        <v>0</v>
      </c>
      <c r="AV86" s="510">
        <v>21</v>
      </c>
      <c r="AW86" s="519">
        <v>527.20000000000005</v>
      </c>
      <c r="AX86" s="510" t="s">
        <v>3139</v>
      </c>
      <c r="AY86" s="520">
        <f t="shared" si="72"/>
        <v>44161</v>
      </c>
      <c r="AZ86" s="510" t="s">
        <v>1771</v>
      </c>
      <c r="BA86" s="519">
        <v>4025.52</v>
      </c>
      <c r="BB86" s="519">
        <f t="shared" si="73"/>
        <v>1225939.320844</v>
      </c>
      <c r="BC86" s="519">
        <f t="shared" si="74"/>
        <v>1838908.9812659998</v>
      </c>
      <c r="BD86" s="521">
        <f t="shared" si="75"/>
        <v>1</v>
      </c>
      <c r="BE86" s="519">
        <f t="shared" si="76"/>
        <v>1838908.9812659998</v>
      </c>
      <c r="BF86" s="519">
        <v>637.48</v>
      </c>
      <c r="BG86" s="519">
        <f t="shared" si="77"/>
        <v>110</v>
      </c>
      <c r="BH86" s="519">
        <f t="shared" si="78"/>
        <v>747.48</v>
      </c>
      <c r="BI86" s="581">
        <v>2472.98</v>
      </c>
      <c r="BJ86" s="522"/>
    </row>
    <row r="87" spans="1:62" s="523" customFormat="1" ht="132">
      <c r="A87" s="579" t="s">
        <v>5211</v>
      </c>
      <c r="B87" s="507" t="s">
        <v>3042</v>
      </c>
      <c r="C87" s="507" t="s">
        <v>3043</v>
      </c>
      <c r="D87" s="508" t="s">
        <v>3733</v>
      </c>
      <c r="E87" s="505" t="s">
        <v>3732</v>
      </c>
      <c r="F87" s="505" t="s">
        <v>4146</v>
      </c>
      <c r="G87" s="509">
        <v>911225598</v>
      </c>
      <c r="H87" s="507" t="s">
        <v>3734</v>
      </c>
      <c r="I87" s="510" t="s">
        <v>1771</v>
      </c>
      <c r="J87" s="510">
        <v>1</v>
      </c>
      <c r="K87" s="507">
        <v>116</v>
      </c>
      <c r="L87" s="507">
        <v>2809.75</v>
      </c>
      <c r="M87" s="511">
        <v>44125</v>
      </c>
      <c r="N87" s="511">
        <v>44125</v>
      </c>
      <c r="O87" s="511">
        <v>44127</v>
      </c>
      <c r="P87" s="511">
        <v>44158</v>
      </c>
      <c r="Q87" s="511">
        <v>44161</v>
      </c>
      <c r="R87" s="512" t="s">
        <v>4145</v>
      </c>
      <c r="S87" s="513" t="s">
        <v>1771</v>
      </c>
      <c r="T87" s="514" t="s">
        <v>1771</v>
      </c>
      <c r="U87" s="515" t="s">
        <v>3218</v>
      </c>
      <c r="V87" s="510" t="s">
        <v>3146</v>
      </c>
      <c r="W87" s="516" t="s">
        <v>3031</v>
      </c>
      <c r="X87" s="359" t="s">
        <v>1771</v>
      </c>
      <c r="Y87" s="510" t="s">
        <v>3147</v>
      </c>
      <c r="Z87" s="510" t="s">
        <v>3147</v>
      </c>
      <c r="AA87" s="511">
        <v>44158</v>
      </c>
      <c r="AB87" s="510" t="s">
        <v>3252</v>
      </c>
      <c r="AC87" s="510" t="s">
        <v>3548</v>
      </c>
      <c r="AD87" s="510" t="s">
        <v>3740</v>
      </c>
      <c r="AE87" s="510" t="s">
        <v>2146</v>
      </c>
      <c r="AF87" s="511">
        <v>44159</v>
      </c>
      <c r="AG87" s="515">
        <v>1337.854</v>
      </c>
      <c r="AH87" s="507" t="s">
        <v>3654</v>
      </c>
      <c r="AI87" s="510" t="s">
        <v>3108</v>
      </c>
      <c r="AJ87" s="517">
        <v>107957.64</v>
      </c>
      <c r="AK87" s="517">
        <v>1829.59</v>
      </c>
      <c r="AL87" s="517">
        <v>8</v>
      </c>
      <c r="AM87" s="517">
        <f t="shared" si="70"/>
        <v>109795.23</v>
      </c>
      <c r="AN87" s="518">
        <v>5.3827999999999996</v>
      </c>
      <c r="AO87" s="519">
        <f t="shared" si="71"/>
        <v>591005.76404399995</v>
      </c>
      <c r="AP87" s="519">
        <v>68679.460000000006</v>
      </c>
      <c r="AQ87" s="519">
        <v>91818.18</v>
      </c>
      <c r="AR87" s="519">
        <v>12411.14</v>
      </c>
      <c r="AS87" s="519">
        <v>57416.56</v>
      </c>
      <c r="AT87" s="519">
        <v>131018.46</v>
      </c>
      <c r="AU87" s="519">
        <v>0</v>
      </c>
      <c r="AV87" s="510">
        <v>25</v>
      </c>
      <c r="AW87" s="519">
        <v>550.79999999999995</v>
      </c>
      <c r="AX87" s="510" t="s">
        <v>3139</v>
      </c>
      <c r="AY87" s="520">
        <f t="shared" si="72"/>
        <v>44161</v>
      </c>
      <c r="AZ87" s="510" t="s">
        <v>1771</v>
      </c>
      <c r="BA87" s="519">
        <v>2544.62</v>
      </c>
      <c r="BB87" s="519">
        <f t="shared" si="73"/>
        <v>591005.76404399995</v>
      </c>
      <c r="BC87" s="519">
        <f t="shared" si="74"/>
        <v>886508.64606599999</v>
      </c>
      <c r="BD87" s="521">
        <f t="shared" si="75"/>
        <v>1</v>
      </c>
      <c r="BE87" s="519">
        <f t="shared" si="76"/>
        <v>886508.64606599999</v>
      </c>
      <c r="BF87" s="519">
        <v>685.12</v>
      </c>
      <c r="BG87" s="519">
        <f t="shared" si="77"/>
        <v>150</v>
      </c>
      <c r="BH87" s="519">
        <f t="shared" si="78"/>
        <v>835.12</v>
      </c>
      <c r="BI87" s="581">
        <v>2700.33</v>
      </c>
      <c r="BJ87" s="522"/>
    </row>
    <row r="88" spans="1:62" s="523" customFormat="1" ht="132">
      <c r="A88" s="579" t="s">
        <v>5212</v>
      </c>
      <c r="B88" s="507" t="s">
        <v>3042</v>
      </c>
      <c r="C88" s="507" t="s">
        <v>3043</v>
      </c>
      <c r="D88" s="508" t="s">
        <v>3736</v>
      </c>
      <c r="E88" s="505" t="s">
        <v>3735</v>
      </c>
      <c r="F88" s="505" t="s">
        <v>4144</v>
      </c>
      <c r="G88" s="509">
        <v>206057349</v>
      </c>
      <c r="H88" s="507" t="s">
        <v>3737</v>
      </c>
      <c r="I88" s="510">
        <v>1</v>
      </c>
      <c r="J88" s="510" t="s">
        <v>1771</v>
      </c>
      <c r="K88" s="507">
        <v>43</v>
      </c>
      <c r="L88" s="507">
        <v>1629.22</v>
      </c>
      <c r="M88" s="511">
        <v>44127</v>
      </c>
      <c r="N88" s="511">
        <v>44127</v>
      </c>
      <c r="O88" s="511">
        <v>44130</v>
      </c>
      <c r="P88" s="511">
        <v>44160</v>
      </c>
      <c r="Q88" s="511">
        <v>44162</v>
      </c>
      <c r="R88" s="512" t="s">
        <v>4143</v>
      </c>
      <c r="S88" s="513" t="s">
        <v>1771</v>
      </c>
      <c r="T88" s="514" t="s">
        <v>1771</v>
      </c>
      <c r="U88" s="515" t="s">
        <v>3218</v>
      </c>
      <c r="V88" s="510" t="s">
        <v>3154</v>
      </c>
      <c r="W88" s="516" t="s">
        <v>3031</v>
      </c>
      <c r="X88" s="359" t="s">
        <v>1771</v>
      </c>
      <c r="Y88" s="510" t="s">
        <v>3147</v>
      </c>
      <c r="Z88" s="510" t="s">
        <v>3147</v>
      </c>
      <c r="AA88" s="511">
        <v>44161</v>
      </c>
      <c r="AB88" s="510" t="s">
        <v>3252</v>
      </c>
      <c r="AC88" s="510" t="s">
        <v>3548</v>
      </c>
      <c r="AD88" s="510" t="s">
        <v>3742</v>
      </c>
      <c r="AE88" s="510" t="s">
        <v>2146</v>
      </c>
      <c r="AF88" s="511">
        <v>44161</v>
      </c>
      <c r="AG88" s="510">
        <v>488.80000999999999</v>
      </c>
      <c r="AH88" s="507" t="s">
        <v>3296</v>
      </c>
      <c r="AI88" s="510" t="s">
        <v>3108</v>
      </c>
      <c r="AJ88" s="517">
        <v>19504.45</v>
      </c>
      <c r="AK88" s="517">
        <v>1586.01</v>
      </c>
      <c r="AL88" s="517">
        <v>5</v>
      </c>
      <c r="AM88" s="517">
        <f>SUM(AJ88:AL88)</f>
        <v>21095.46</v>
      </c>
      <c r="AN88" s="518">
        <v>5.3507999999999996</v>
      </c>
      <c r="AO88" s="519">
        <f>AM88*AN88</f>
        <v>112877.58736799999</v>
      </c>
      <c r="AP88" s="519">
        <v>11907.96</v>
      </c>
      <c r="AQ88" s="519">
        <v>14258.14</v>
      </c>
      <c r="AR88" s="519">
        <v>2370.4299999999998</v>
      </c>
      <c r="AS88" s="519">
        <v>10892.7</v>
      </c>
      <c r="AT88" s="519">
        <v>28000.46</v>
      </c>
      <c r="AU88" s="519">
        <v>0</v>
      </c>
      <c r="AV88" s="510">
        <v>7</v>
      </c>
      <c r="AW88" s="519">
        <v>350.2</v>
      </c>
      <c r="AX88" s="510" t="s">
        <v>3139</v>
      </c>
      <c r="AY88" s="520">
        <f>Q88</f>
        <v>44162</v>
      </c>
      <c r="AZ88" s="510" t="s">
        <v>1771</v>
      </c>
      <c r="BA88" s="519">
        <v>1429.45</v>
      </c>
      <c r="BB88" s="519">
        <f>AO88</f>
        <v>112877.58736799999</v>
      </c>
      <c r="BC88" s="519">
        <f>(BB88*50%)+BB88</f>
        <v>169316.38105199998</v>
      </c>
      <c r="BD88" s="521">
        <f>SUM(I88:J88)</f>
        <v>1</v>
      </c>
      <c r="BE88" s="519">
        <f>BC88/BD88</f>
        <v>169316.38105199998</v>
      </c>
      <c r="BF88" s="519">
        <v>506.47</v>
      </c>
      <c r="BG88" s="519">
        <f>(AV88-10)*10</f>
        <v>-30</v>
      </c>
      <c r="BH88" s="519">
        <f>SUM(BF88:BG88)</f>
        <v>476.47</v>
      </c>
      <c r="BI88" s="581">
        <v>2374.06</v>
      </c>
      <c r="BJ88" s="522"/>
    </row>
  </sheetData>
  <sheetProtection selectLockedCells="1" autoFilter="0" selectUnlockedCells="1"/>
  <autoFilter ref="A1:BI88"/>
  <conditionalFormatting sqref="X1:X18">
    <cfRule type="cellIs" dxfId="306" priority="115" stopIfTrue="1" operator="equal">
      <formula>0</formula>
    </cfRule>
  </conditionalFormatting>
  <conditionalFormatting sqref="X19">
    <cfRule type="cellIs" dxfId="305" priority="106" stopIfTrue="1" operator="equal">
      <formula>0</formula>
    </cfRule>
  </conditionalFormatting>
  <conditionalFormatting sqref="X20">
    <cfRule type="cellIs" dxfId="304" priority="105" stopIfTrue="1" operator="equal">
      <formula>0</formula>
    </cfRule>
  </conditionalFormatting>
  <conditionalFormatting sqref="X21">
    <cfRule type="cellIs" dxfId="303" priority="104" stopIfTrue="1" operator="equal">
      <formula>0</formula>
    </cfRule>
  </conditionalFormatting>
  <conditionalFormatting sqref="X22">
    <cfRule type="cellIs" dxfId="302" priority="103" stopIfTrue="1" operator="equal">
      <formula>0</formula>
    </cfRule>
  </conditionalFormatting>
  <conditionalFormatting sqref="X23">
    <cfRule type="cellIs" dxfId="301" priority="102" stopIfTrue="1" operator="equal">
      <formula>0</formula>
    </cfRule>
  </conditionalFormatting>
  <conditionalFormatting sqref="X24">
    <cfRule type="cellIs" dxfId="300" priority="101" stopIfTrue="1" operator="equal">
      <formula>0</formula>
    </cfRule>
  </conditionalFormatting>
  <conditionalFormatting sqref="X25">
    <cfRule type="cellIs" dxfId="299" priority="100" stopIfTrue="1" operator="equal">
      <formula>0</formula>
    </cfRule>
  </conditionalFormatting>
  <conditionalFormatting sqref="X26">
    <cfRule type="cellIs" dxfId="298" priority="99" stopIfTrue="1" operator="equal">
      <formula>0</formula>
    </cfRule>
  </conditionalFormatting>
  <conditionalFormatting sqref="X27">
    <cfRule type="cellIs" dxfId="297" priority="98" stopIfTrue="1" operator="equal">
      <formula>0</formula>
    </cfRule>
  </conditionalFormatting>
  <conditionalFormatting sqref="X28">
    <cfRule type="cellIs" dxfId="296" priority="97" stopIfTrue="1" operator="equal">
      <formula>0</formula>
    </cfRule>
  </conditionalFormatting>
  <conditionalFormatting sqref="X29">
    <cfRule type="cellIs" dxfId="295" priority="96" stopIfTrue="1" operator="equal">
      <formula>0</formula>
    </cfRule>
  </conditionalFormatting>
  <conditionalFormatting sqref="X30">
    <cfRule type="cellIs" dxfId="294" priority="95" stopIfTrue="1" operator="equal">
      <formula>0</formula>
    </cfRule>
  </conditionalFormatting>
  <conditionalFormatting sqref="X31">
    <cfRule type="cellIs" dxfId="293" priority="94" stopIfTrue="1" operator="equal">
      <formula>0</formula>
    </cfRule>
  </conditionalFormatting>
  <conditionalFormatting sqref="X32">
    <cfRule type="cellIs" dxfId="292" priority="93" stopIfTrue="1" operator="equal">
      <formula>0</formula>
    </cfRule>
  </conditionalFormatting>
  <conditionalFormatting sqref="X33">
    <cfRule type="cellIs" dxfId="291" priority="92" stopIfTrue="1" operator="equal">
      <formula>0</formula>
    </cfRule>
  </conditionalFormatting>
  <conditionalFormatting sqref="X34">
    <cfRule type="cellIs" dxfId="290" priority="91" stopIfTrue="1" operator="equal">
      <formula>0</formula>
    </cfRule>
  </conditionalFormatting>
  <conditionalFormatting sqref="X35">
    <cfRule type="cellIs" dxfId="289" priority="90" stopIfTrue="1" operator="equal">
      <formula>0</formula>
    </cfRule>
  </conditionalFormatting>
  <conditionalFormatting sqref="X36">
    <cfRule type="cellIs" dxfId="288" priority="89" stopIfTrue="1" operator="equal">
      <formula>0</formula>
    </cfRule>
  </conditionalFormatting>
  <conditionalFormatting sqref="X19">
    <cfRule type="cellIs" dxfId="287" priority="72" stopIfTrue="1" operator="equal">
      <formula>0</formula>
    </cfRule>
  </conditionalFormatting>
  <conditionalFormatting sqref="X20:X21">
    <cfRule type="cellIs" dxfId="286" priority="71" stopIfTrue="1" operator="equal">
      <formula>0</formula>
    </cfRule>
  </conditionalFormatting>
  <conditionalFormatting sqref="X22:X23">
    <cfRule type="cellIs" dxfId="285" priority="70" stopIfTrue="1" operator="equal">
      <formula>0</formula>
    </cfRule>
  </conditionalFormatting>
  <conditionalFormatting sqref="X24">
    <cfRule type="cellIs" dxfId="284" priority="69" stopIfTrue="1" operator="equal">
      <formula>0</formula>
    </cfRule>
  </conditionalFormatting>
  <conditionalFormatting sqref="X25">
    <cfRule type="cellIs" dxfId="283" priority="68" stopIfTrue="1" operator="equal">
      <formula>0</formula>
    </cfRule>
  </conditionalFormatting>
  <conditionalFormatting sqref="X26">
    <cfRule type="cellIs" dxfId="282" priority="67" stopIfTrue="1" operator="equal">
      <formula>0</formula>
    </cfRule>
  </conditionalFormatting>
  <conditionalFormatting sqref="X27">
    <cfRule type="cellIs" dxfId="281" priority="66" stopIfTrue="1" operator="equal">
      <formula>0</formula>
    </cfRule>
  </conditionalFormatting>
  <conditionalFormatting sqref="X28">
    <cfRule type="cellIs" dxfId="280" priority="65" stopIfTrue="1" operator="equal">
      <formula>0</formula>
    </cfRule>
  </conditionalFormatting>
  <conditionalFormatting sqref="X29">
    <cfRule type="cellIs" dxfId="279" priority="64" stopIfTrue="1" operator="equal">
      <formula>0</formula>
    </cfRule>
  </conditionalFormatting>
  <conditionalFormatting sqref="X30">
    <cfRule type="cellIs" dxfId="278" priority="63" stopIfTrue="1" operator="equal">
      <formula>0</formula>
    </cfRule>
  </conditionalFormatting>
  <conditionalFormatting sqref="X31">
    <cfRule type="cellIs" dxfId="277" priority="62" stopIfTrue="1" operator="equal">
      <formula>0</formula>
    </cfRule>
  </conditionalFormatting>
  <conditionalFormatting sqref="X32">
    <cfRule type="cellIs" dxfId="276" priority="61" stopIfTrue="1" operator="equal">
      <formula>0</formula>
    </cfRule>
  </conditionalFormatting>
  <conditionalFormatting sqref="X33">
    <cfRule type="cellIs" dxfId="275" priority="60" stopIfTrue="1" operator="equal">
      <formula>0</formula>
    </cfRule>
  </conditionalFormatting>
  <conditionalFormatting sqref="X34">
    <cfRule type="cellIs" dxfId="274" priority="59" stopIfTrue="1" operator="equal">
      <formula>0</formula>
    </cfRule>
  </conditionalFormatting>
  <conditionalFormatting sqref="X35:X36">
    <cfRule type="cellIs" dxfId="273" priority="58" stopIfTrue="1" operator="equal">
      <formula>0</formula>
    </cfRule>
  </conditionalFormatting>
  <conditionalFormatting sqref="X37">
    <cfRule type="cellIs" dxfId="272" priority="57" stopIfTrue="1" operator="equal">
      <formula>0</formula>
    </cfRule>
  </conditionalFormatting>
  <conditionalFormatting sqref="X38">
    <cfRule type="cellIs" dxfId="271" priority="56" stopIfTrue="1" operator="equal">
      <formula>0</formula>
    </cfRule>
  </conditionalFormatting>
  <conditionalFormatting sqref="X39">
    <cfRule type="cellIs" dxfId="270" priority="55" stopIfTrue="1" operator="equal">
      <formula>0</formula>
    </cfRule>
  </conditionalFormatting>
  <conditionalFormatting sqref="X40">
    <cfRule type="cellIs" dxfId="269" priority="54" stopIfTrue="1" operator="equal">
      <formula>0</formula>
    </cfRule>
  </conditionalFormatting>
  <conditionalFormatting sqref="X41">
    <cfRule type="cellIs" dxfId="268" priority="53" stopIfTrue="1" operator="equal">
      <formula>0</formula>
    </cfRule>
  </conditionalFormatting>
  <conditionalFormatting sqref="X42">
    <cfRule type="cellIs" dxfId="267" priority="52" stopIfTrue="1" operator="equal">
      <formula>0</formula>
    </cfRule>
  </conditionalFormatting>
  <conditionalFormatting sqref="X43">
    <cfRule type="cellIs" dxfId="266" priority="51" stopIfTrue="1" operator="equal">
      <formula>0</formula>
    </cfRule>
  </conditionalFormatting>
  <conditionalFormatting sqref="X44">
    <cfRule type="cellIs" dxfId="265" priority="50" stopIfTrue="1" operator="equal">
      <formula>0</formula>
    </cfRule>
  </conditionalFormatting>
  <conditionalFormatting sqref="X45">
    <cfRule type="cellIs" dxfId="264" priority="49" stopIfTrue="1" operator="equal">
      <formula>0</formula>
    </cfRule>
  </conditionalFormatting>
  <conditionalFormatting sqref="X46">
    <cfRule type="cellIs" dxfId="263" priority="48" stopIfTrue="1" operator="equal">
      <formula>0</formula>
    </cfRule>
  </conditionalFormatting>
  <conditionalFormatting sqref="X47">
    <cfRule type="cellIs" dxfId="262" priority="47" stopIfTrue="1" operator="equal">
      <formula>0</formula>
    </cfRule>
  </conditionalFormatting>
  <conditionalFormatting sqref="X48">
    <cfRule type="cellIs" dxfId="261" priority="46" stopIfTrue="1" operator="equal">
      <formula>0</formula>
    </cfRule>
  </conditionalFormatting>
  <conditionalFormatting sqref="X49">
    <cfRule type="cellIs" dxfId="260" priority="45" stopIfTrue="1" operator="equal">
      <formula>0</formula>
    </cfRule>
  </conditionalFormatting>
  <conditionalFormatting sqref="X50">
    <cfRule type="cellIs" dxfId="259" priority="44" stopIfTrue="1" operator="equal">
      <formula>0</formula>
    </cfRule>
  </conditionalFormatting>
  <conditionalFormatting sqref="X51">
    <cfRule type="cellIs" dxfId="258" priority="43" stopIfTrue="1" operator="equal">
      <formula>0</formula>
    </cfRule>
  </conditionalFormatting>
  <conditionalFormatting sqref="X52">
    <cfRule type="cellIs" dxfId="257" priority="42" stopIfTrue="1" operator="equal">
      <formula>0</formula>
    </cfRule>
  </conditionalFormatting>
  <conditionalFormatting sqref="X53">
    <cfRule type="cellIs" dxfId="256" priority="41" stopIfTrue="1" operator="equal">
      <formula>0</formula>
    </cfRule>
  </conditionalFormatting>
  <conditionalFormatting sqref="X54">
    <cfRule type="cellIs" dxfId="255" priority="40" stopIfTrue="1" operator="equal">
      <formula>0</formula>
    </cfRule>
  </conditionalFormatting>
  <conditionalFormatting sqref="X55">
    <cfRule type="cellIs" dxfId="254" priority="39" stopIfTrue="1" operator="equal">
      <formula>0</formula>
    </cfRule>
  </conditionalFormatting>
  <conditionalFormatting sqref="X55">
    <cfRule type="cellIs" dxfId="253" priority="38" stopIfTrue="1" operator="equal">
      <formula>0</formula>
    </cfRule>
  </conditionalFormatting>
  <conditionalFormatting sqref="X56">
    <cfRule type="cellIs" dxfId="252" priority="37" stopIfTrue="1" operator="equal">
      <formula>0</formula>
    </cfRule>
  </conditionalFormatting>
  <conditionalFormatting sqref="X56">
    <cfRule type="cellIs" dxfId="251" priority="36" stopIfTrue="1" operator="equal">
      <formula>0</formula>
    </cfRule>
  </conditionalFormatting>
  <conditionalFormatting sqref="X56">
    <cfRule type="cellIs" dxfId="250" priority="35" stopIfTrue="1" operator="equal">
      <formula>0</formula>
    </cfRule>
  </conditionalFormatting>
  <conditionalFormatting sqref="X57">
    <cfRule type="cellIs" dxfId="249" priority="34" stopIfTrue="1" operator="equal">
      <formula>0</formula>
    </cfRule>
  </conditionalFormatting>
  <conditionalFormatting sqref="X57">
    <cfRule type="cellIs" dxfId="248" priority="33" stopIfTrue="1" operator="equal">
      <formula>0</formula>
    </cfRule>
  </conditionalFormatting>
  <conditionalFormatting sqref="X57">
    <cfRule type="cellIs" dxfId="247" priority="32" stopIfTrue="1" operator="equal">
      <formula>0</formula>
    </cfRule>
  </conditionalFormatting>
  <conditionalFormatting sqref="X57">
    <cfRule type="cellIs" dxfId="246" priority="31" stopIfTrue="1" operator="equal">
      <formula>0</formula>
    </cfRule>
  </conditionalFormatting>
  <conditionalFormatting sqref="X57">
    <cfRule type="cellIs" dxfId="245" priority="30" stopIfTrue="1" operator="equal">
      <formula>0</formula>
    </cfRule>
  </conditionalFormatting>
  <conditionalFormatting sqref="X58">
    <cfRule type="cellIs" dxfId="244" priority="29" stopIfTrue="1" operator="equal">
      <formula>0</formula>
    </cfRule>
  </conditionalFormatting>
  <conditionalFormatting sqref="X59">
    <cfRule type="cellIs" dxfId="243" priority="28" stopIfTrue="1" operator="equal">
      <formula>0</formula>
    </cfRule>
  </conditionalFormatting>
  <conditionalFormatting sqref="X59">
    <cfRule type="cellIs" dxfId="242" priority="27" stopIfTrue="1" operator="equal">
      <formula>0</formula>
    </cfRule>
  </conditionalFormatting>
  <conditionalFormatting sqref="X60">
    <cfRule type="cellIs" dxfId="241" priority="26" stopIfTrue="1" operator="equal">
      <formula>0</formula>
    </cfRule>
  </conditionalFormatting>
  <conditionalFormatting sqref="X61">
    <cfRule type="cellIs" dxfId="240" priority="25" stopIfTrue="1" operator="equal">
      <formula>0</formula>
    </cfRule>
  </conditionalFormatting>
  <conditionalFormatting sqref="X62">
    <cfRule type="cellIs" dxfId="239" priority="24" stopIfTrue="1" operator="equal">
      <formula>0</formula>
    </cfRule>
  </conditionalFormatting>
  <conditionalFormatting sqref="X63">
    <cfRule type="cellIs" dxfId="238" priority="23" stopIfTrue="1" operator="equal">
      <formula>0</formula>
    </cfRule>
  </conditionalFormatting>
  <conditionalFormatting sqref="X64">
    <cfRule type="cellIs" dxfId="237" priority="22" stopIfTrue="1" operator="equal">
      <formula>0</formula>
    </cfRule>
  </conditionalFormatting>
  <conditionalFormatting sqref="X65:X66">
    <cfRule type="cellIs" dxfId="236" priority="21" stopIfTrue="1" operator="equal">
      <formula>0</formula>
    </cfRule>
  </conditionalFormatting>
  <conditionalFormatting sqref="X67">
    <cfRule type="cellIs" dxfId="235" priority="20" stopIfTrue="1" operator="equal">
      <formula>0</formula>
    </cfRule>
  </conditionalFormatting>
  <conditionalFormatting sqref="X68">
    <cfRule type="cellIs" dxfId="234" priority="19" stopIfTrue="1" operator="equal">
      <formula>0</formula>
    </cfRule>
  </conditionalFormatting>
  <conditionalFormatting sqref="X69">
    <cfRule type="cellIs" dxfId="233" priority="18" stopIfTrue="1" operator="equal">
      <formula>0</formula>
    </cfRule>
  </conditionalFormatting>
  <conditionalFormatting sqref="X70">
    <cfRule type="cellIs" dxfId="232" priority="17" stopIfTrue="1" operator="equal">
      <formula>0</formula>
    </cfRule>
  </conditionalFormatting>
  <conditionalFormatting sqref="X71">
    <cfRule type="cellIs" dxfId="231" priority="16" stopIfTrue="1" operator="equal">
      <formula>0</formula>
    </cfRule>
  </conditionalFormatting>
  <conditionalFormatting sqref="X72">
    <cfRule type="cellIs" dxfId="230" priority="15" stopIfTrue="1" operator="equal">
      <formula>0</formula>
    </cfRule>
  </conditionalFormatting>
  <conditionalFormatting sqref="X73">
    <cfRule type="cellIs" dxfId="229" priority="14" stopIfTrue="1" operator="equal">
      <formula>0</formula>
    </cfRule>
  </conditionalFormatting>
  <conditionalFormatting sqref="X74">
    <cfRule type="cellIs" dxfId="228" priority="13" stopIfTrue="1" operator="equal">
      <formula>0</formula>
    </cfRule>
  </conditionalFormatting>
  <conditionalFormatting sqref="X75">
    <cfRule type="cellIs" dxfId="227" priority="12" stopIfTrue="1" operator="equal">
      <formula>0</formula>
    </cfRule>
  </conditionalFormatting>
  <conditionalFormatting sqref="X76">
    <cfRule type="cellIs" dxfId="226" priority="11" stopIfTrue="1" operator="equal">
      <formula>0</formula>
    </cfRule>
  </conditionalFormatting>
  <conditionalFormatting sqref="X77">
    <cfRule type="cellIs" dxfId="225" priority="10" stopIfTrue="1" operator="equal">
      <formula>0</formula>
    </cfRule>
  </conditionalFormatting>
  <conditionalFormatting sqref="X78:X79">
    <cfRule type="cellIs" dxfId="224" priority="9" stopIfTrue="1" operator="equal">
      <formula>0</formula>
    </cfRule>
  </conditionalFormatting>
  <conditionalFormatting sqref="X80">
    <cfRule type="cellIs" dxfId="223" priority="8" stopIfTrue="1" operator="equal">
      <formula>0</formula>
    </cfRule>
  </conditionalFormatting>
  <conditionalFormatting sqref="X81">
    <cfRule type="cellIs" dxfId="222" priority="7" stopIfTrue="1" operator="equal">
      <formula>0</formula>
    </cfRule>
  </conditionalFormatting>
  <conditionalFormatting sqref="X82">
    <cfRule type="cellIs" dxfId="221" priority="6" stopIfTrue="1" operator="equal">
      <formula>0</formula>
    </cfRule>
  </conditionalFormatting>
  <conditionalFormatting sqref="X83">
    <cfRule type="cellIs" dxfId="220" priority="5" stopIfTrue="1" operator="equal">
      <formula>0</formula>
    </cfRule>
  </conditionalFormatting>
  <conditionalFormatting sqref="X84">
    <cfRule type="cellIs" dxfId="219" priority="4" stopIfTrue="1" operator="equal">
      <formula>0</formula>
    </cfRule>
  </conditionalFormatting>
  <conditionalFormatting sqref="X85">
    <cfRule type="cellIs" dxfId="218" priority="3" stopIfTrue="1" operator="equal">
      <formula>0</formula>
    </cfRule>
  </conditionalFormatting>
  <conditionalFormatting sqref="X86:X87">
    <cfRule type="cellIs" dxfId="217" priority="2" stopIfTrue="1" operator="equal">
      <formula>0</formula>
    </cfRule>
  </conditionalFormatting>
  <conditionalFormatting sqref="X88">
    <cfRule type="cellIs" dxfId="216" priority="1" stopIfTrue="1" operator="equal">
      <formula>0</formula>
    </cfRule>
  </conditionalFormatting>
  <pageMargins left="0.78740157480314965" right="0.78740157480314965" top="0.98425196850393704" bottom="0.98425196850393704" header="0.51181102362204722" footer="0.51181102362204722"/>
  <pageSetup paperSize="9" scale="10" fitToHeight="4"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sheetPr>
    <tabColor theme="0" tint="-0.499984740745262"/>
    <pageSetUpPr fitToPage="1"/>
  </sheetPr>
  <dimension ref="A1:BJ38"/>
  <sheetViews>
    <sheetView showGridLines="0" zoomScale="90" zoomScaleNormal="90" workbookViewId="0">
      <pane xSplit="1" ySplit="1" topLeftCell="B37" activePane="bottomRight" state="frozen"/>
      <selection pane="topRight" activeCell="B1" sqref="B1"/>
      <selection pane="bottomLeft" activeCell="A2" sqref="A2"/>
      <selection pane="bottomRight" activeCell="A38" sqref="A38"/>
    </sheetView>
  </sheetViews>
  <sheetFormatPr defaultColWidth="36.140625" defaultRowHeight="12"/>
  <cols>
    <col min="1" max="1" width="13.42578125" style="368" bestFit="1" customWidth="1"/>
    <col min="2" max="2" width="12.42578125" style="369" bestFit="1" customWidth="1"/>
    <col min="3" max="3" width="11.140625" style="369" bestFit="1" customWidth="1"/>
    <col min="4" max="4" width="11.28515625" style="369" bestFit="1" customWidth="1"/>
    <col min="5" max="5" width="19.7109375" style="369" customWidth="1"/>
    <col min="6" max="6" width="24" style="369" customWidth="1"/>
    <col min="7" max="7" width="16.85546875" style="370" bestFit="1" customWidth="1"/>
    <col min="8" max="8" width="27" style="369" bestFit="1" customWidth="1"/>
    <col min="9" max="10" width="11.85546875" style="377" bestFit="1" customWidth="1"/>
    <col min="11" max="11" width="15.5703125" style="371" bestFit="1" customWidth="1"/>
    <col min="12" max="12" width="15.7109375" style="371" bestFit="1" customWidth="1"/>
    <col min="13" max="14" width="14.140625" style="374" customWidth="1"/>
    <col min="15" max="15" width="14.140625" style="371" customWidth="1"/>
    <col min="16" max="17" width="14.140625" style="372" customWidth="1"/>
    <col min="18" max="18" width="61.7109375" style="373" bestFit="1" customWidth="1"/>
    <col min="19" max="19" width="16.85546875" style="371" bestFit="1" customWidth="1"/>
    <col min="20" max="20" width="15.42578125" style="378" bestFit="1" customWidth="1"/>
    <col min="21" max="21" width="11.140625" style="373" customWidth="1"/>
    <col min="22" max="22" width="20.85546875" style="373" bestFit="1" customWidth="1"/>
    <col min="23" max="23" width="10.85546875" style="369" bestFit="1" customWidth="1"/>
    <col min="24" max="24" width="14.140625" style="369" bestFit="1" customWidth="1"/>
    <col min="25" max="25" width="20.5703125" style="369" bestFit="1" customWidth="1"/>
    <col min="26" max="26" width="19.85546875" style="371" bestFit="1" customWidth="1"/>
    <col min="27" max="27" width="19.5703125" style="369" bestFit="1" customWidth="1"/>
    <col min="28" max="28" width="10.7109375" style="369" bestFit="1" customWidth="1"/>
    <col min="29" max="29" width="17.7109375" style="369" bestFit="1" customWidth="1"/>
    <col min="30" max="30" width="12.28515625" style="369" bestFit="1" customWidth="1"/>
    <col min="31" max="31" width="11.85546875" style="375" bestFit="1" customWidth="1"/>
    <col min="32" max="32" width="17.85546875" style="375" bestFit="1" customWidth="1"/>
    <col min="33" max="33" width="9.28515625" style="376" bestFit="1" customWidth="1"/>
    <col min="34" max="34" width="12.85546875" style="377" bestFit="1" customWidth="1"/>
    <col min="35" max="35" width="12.7109375" style="377" bestFit="1" customWidth="1"/>
    <col min="36" max="36" width="12.28515625" style="377" bestFit="1" customWidth="1"/>
    <col min="37" max="37" width="13.42578125" style="377" bestFit="1" customWidth="1"/>
    <col min="38" max="38" width="14.5703125" style="377" bestFit="1" customWidth="1"/>
    <col min="39" max="39" width="11.85546875" style="377" bestFit="1" customWidth="1"/>
    <col min="40" max="40" width="11.7109375" style="377" bestFit="1" customWidth="1"/>
    <col min="41" max="41" width="15.28515625" style="377" bestFit="1" customWidth="1"/>
    <col min="42" max="43" width="13.85546875" style="377" bestFit="1" customWidth="1"/>
    <col min="44" max="44" width="12.7109375" style="377" bestFit="1" customWidth="1"/>
    <col min="45" max="46" width="13.85546875" style="377" bestFit="1" customWidth="1"/>
    <col min="47" max="47" width="10.140625" style="377" bestFit="1" customWidth="1"/>
    <col min="48" max="48" width="11.5703125" style="377" bestFit="1" customWidth="1"/>
    <col min="49" max="49" width="14.42578125" style="377" customWidth="1"/>
    <col min="50" max="50" width="19.85546875" style="377" customWidth="1"/>
    <col min="51" max="51" width="15.42578125" style="377" bestFit="1" customWidth="1"/>
    <col min="52" max="52" width="13.5703125" style="377" customWidth="1"/>
    <col min="53" max="53" width="16.85546875" style="377" customWidth="1"/>
    <col min="54" max="55" width="15.28515625" style="377" bestFit="1" customWidth="1"/>
    <col min="56" max="56" width="13.28515625" style="377" bestFit="1" customWidth="1"/>
    <col min="57" max="57" width="15.28515625" style="377" bestFit="1" customWidth="1"/>
    <col min="58" max="58" width="13" style="377" bestFit="1" customWidth="1"/>
    <col min="59" max="60" width="13" style="377" customWidth="1"/>
    <col min="61" max="61" width="17.140625" style="377" customWidth="1"/>
    <col min="62" max="16384" width="36.140625" style="377"/>
  </cols>
  <sheetData>
    <row r="1" spans="1:62" s="345" customFormat="1" ht="38.25">
      <c r="A1" s="308" t="s">
        <v>3138</v>
      </c>
      <c r="B1" s="309" t="s">
        <v>3022</v>
      </c>
      <c r="C1" s="309" t="s">
        <v>1470</v>
      </c>
      <c r="D1" s="309" t="s">
        <v>508</v>
      </c>
      <c r="E1" s="309" t="s">
        <v>1577</v>
      </c>
      <c r="F1" s="309" t="s">
        <v>3961</v>
      </c>
      <c r="G1" s="310" t="s">
        <v>59</v>
      </c>
      <c r="H1" s="310" t="s">
        <v>423</v>
      </c>
      <c r="I1" s="310" t="s">
        <v>3114</v>
      </c>
      <c r="J1" s="310" t="s">
        <v>3115</v>
      </c>
      <c r="K1" s="309" t="s">
        <v>3034</v>
      </c>
      <c r="L1" s="309" t="s">
        <v>3025</v>
      </c>
      <c r="M1" s="309" t="s">
        <v>3026</v>
      </c>
      <c r="N1" s="309" t="s">
        <v>3027</v>
      </c>
      <c r="O1" s="311" t="s">
        <v>2969</v>
      </c>
      <c r="P1" s="311" t="s">
        <v>2973</v>
      </c>
      <c r="Q1" s="312" t="s">
        <v>2974</v>
      </c>
      <c r="R1" s="312" t="s">
        <v>1205</v>
      </c>
      <c r="S1" s="312" t="s">
        <v>747</v>
      </c>
      <c r="T1" s="313" t="s">
        <v>3041</v>
      </c>
      <c r="U1" s="314" t="s">
        <v>2928</v>
      </c>
      <c r="V1" s="314" t="s">
        <v>3024</v>
      </c>
      <c r="W1" s="314" t="s">
        <v>1185</v>
      </c>
      <c r="X1" s="314" t="s">
        <v>3039</v>
      </c>
      <c r="Y1" s="314" t="s">
        <v>3035</v>
      </c>
      <c r="Z1" s="314" t="s">
        <v>3137</v>
      </c>
      <c r="AA1" s="314" t="s">
        <v>3032</v>
      </c>
      <c r="AB1" s="314" t="s">
        <v>3033</v>
      </c>
      <c r="AC1" s="314" t="s">
        <v>3162</v>
      </c>
      <c r="AD1" s="315" t="s">
        <v>2970</v>
      </c>
      <c r="AE1" s="315" t="s">
        <v>2930</v>
      </c>
      <c r="AF1" s="315" t="s">
        <v>3028</v>
      </c>
      <c r="AG1" s="315" t="s">
        <v>3080</v>
      </c>
      <c r="AH1" s="301" t="s">
        <v>3113</v>
      </c>
      <c r="AI1" s="301" t="s">
        <v>3023</v>
      </c>
      <c r="AJ1" s="303" t="s">
        <v>3116</v>
      </c>
      <c r="AK1" s="303" t="s">
        <v>3117</v>
      </c>
      <c r="AL1" s="303" t="s">
        <v>3118</v>
      </c>
      <c r="AM1" s="303" t="s">
        <v>3119</v>
      </c>
      <c r="AN1" s="304" t="s">
        <v>3120</v>
      </c>
      <c r="AO1" s="303" t="s">
        <v>3121</v>
      </c>
      <c r="AP1" s="303" t="s">
        <v>3156</v>
      </c>
      <c r="AQ1" s="303" t="s">
        <v>3187</v>
      </c>
      <c r="AR1" s="303" t="s">
        <v>3188</v>
      </c>
      <c r="AS1" s="303" t="s">
        <v>3189</v>
      </c>
      <c r="AT1" s="303" t="s">
        <v>3191</v>
      </c>
      <c r="AU1" s="303" t="s">
        <v>3190</v>
      </c>
      <c r="AV1" s="305" t="s">
        <v>3029</v>
      </c>
      <c r="AW1" s="303" t="s">
        <v>3122</v>
      </c>
      <c r="AX1" s="306" t="s">
        <v>3157</v>
      </c>
      <c r="AY1" s="301" t="s">
        <v>3123</v>
      </c>
      <c r="AZ1" s="301" t="s">
        <v>3124</v>
      </c>
      <c r="BA1" s="303" t="s">
        <v>3186</v>
      </c>
      <c r="BB1" s="303" t="s">
        <v>3121</v>
      </c>
      <c r="BC1" s="303" t="s">
        <v>3125</v>
      </c>
      <c r="BD1" s="302" t="s">
        <v>3126</v>
      </c>
      <c r="BE1" s="302" t="s">
        <v>3185</v>
      </c>
      <c r="BF1" s="303" t="s">
        <v>3182</v>
      </c>
      <c r="BG1" s="451" t="s">
        <v>3183</v>
      </c>
      <c r="BH1" s="451" t="s">
        <v>3184</v>
      </c>
      <c r="BI1" s="307" t="s">
        <v>3127</v>
      </c>
    </row>
    <row r="2" spans="1:62" s="384" customFormat="1" ht="108">
      <c r="A2" s="366" t="s">
        <v>5213</v>
      </c>
      <c r="B2" s="353" t="s">
        <v>3042</v>
      </c>
      <c r="C2" s="353" t="s">
        <v>3043</v>
      </c>
      <c r="D2" s="354" t="s">
        <v>3044</v>
      </c>
      <c r="E2" s="355" t="s">
        <v>3045</v>
      </c>
      <c r="F2" s="355"/>
      <c r="G2" s="355">
        <v>149805986749</v>
      </c>
      <c r="H2" s="353" t="s">
        <v>3094</v>
      </c>
      <c r="I2" s="361" t="s">
        <v>1771</v>
      </c>
      <c r="J2" s="361">
        <v>1</v>
      </c>
      <c r="K2" s="356">
        <v>21</v>
      </c>
      <c r="L2" s="353">
        <v>1517.5</v>
      </c>
      <c r="M2" s="363">
        <v>43475</v>
      </c>
      <c r="N2" s="363">
        <v>43475</v>
      </c>
      <c r="O2" s="357">
        <v>43476</v>
      </c>
      <c r="P2" s="357">
        <v>43507</v>
      </c>
      <c r="Q2" s="359">
        <v>43511</v>
      </c>
      <c r="R2" s="360" t="s">
        <v>3161</v>
      </c>
      <c r="S2" s="357" t="s">
        <v>1771</v>
      </c>
      <c r="T2" s="358" t="s">
        <v>1771</v>
      </c>
      <c r="U2" s="359" t="s">
        <v>2972</v>
      </c>
      <c r="V2" s="379" t="s">
        <v>3128</v>
      </c>
      <c r="W2" s="362" t="s">
        <v>3031</v>
      </c>
      <c r="X2" s="359">
        <v>43501</v>
      </c>
      <c r="Y2" s="361" t="s">
        <v>3095</v>
      </c>
      <c r="Z2" s="361" t="s">
        <v>1807</v>
      </c>
      <c r="AA2" s="359">
        <v>43508</v>
      </c>
      <c r="AB2" s="357" t="s">
        <v>1771</v>
      </c>
      <c r="AC2" s="353" t="s">
        <v>3096</v>
      </c>
      <c r="AD2" s="361" t="s">
        <v>3097</v>
      </c>
      <c r="AE2" s="361" t="s">
        <v>2146</v>
      </c>
      <c r="AF2" s="388">
        <v>43508</v>
      </c>
      <c r="AG2" s="380">
        <v>549.79999999999995</v>
      </c>
      <c r="AH2" s="365" t="s">
        <v>3142</v>
      </c>
      <c r="AI2" s="364" t="s">
        <v>3108</v>
      </c>
      <c r="AJ2" s="381">
        <v>20463.79</v>
      </c>
      <c r="AK2" s="381">
        <v>1900</v>
      </c>
      <c r="AL2" s="381">
        <v>452.32</v>
      </c>
      <c r="AM2" s="381">
        <f>AJ2+AK2+AL2</f>
        <v>22816.11</v>
      </c>
      <c r="AN2" s="382">
        <v>3.7183999999999999</v>
      </c>
      <c r="AO2" s="383">
        <f>AM2*AN2</f>
        <v>84839.423423999993</v>
      </c>
      <c r="AP2" s="383">
        <v>8483.94</v>
      </c>
      <c r="AQ2" s="383">
        <v>0</v>
      </c>
      <c r="AR2" s="383">
        <v>1781.63</v>
      </c>
      <c r="AS2" s="383">
        <v>8187.01</v>
      </c>
      <c r="AT2" s="383">
        <v>23154.19</v>
      </c>
      <c r="AU2" s="383">
        <v>0</v>
      </c>
      <c r="AV2" s="385">
        <v>1</v>
      </c>
      <c r="AW2" s="383">
        <v>214.5</v>
      </c>
      <c r="AX2" s="383" t="s">
        <v>3139</v>
      </c>
      <c r="AY2" s="433">
        <f t="shared" ref="AY2:AY7" si="0">Q2</f>
        <v>43511</v>
      </c>
      <c r="AZ2" s="383">
        <v>0</v>
      </c>
      <c r="BA2" s="383">
        <v>1597.33</v>
      </c>
      <c r="BB2" s="439">
        <f>AO2</f>
        <v>84839.423423999993</v>
      </c>
      <c r="BC2" s="383">
        <f t="shared" ref="BC2:BC7" si="1">(BB2*50%)+BB2</f>
        <v>127259.135136</v>
      </c>
      <c r="BD2" s="361">
        <f t="shared" ref="BD2:BD7" si="2">SUM(I2:J2)</f>
        <v>1</v>
      </c>
      <c r="BE2" s="383">
        <f t="shared" ref="BE2:BE7" si="3">BC2/BD2</f>
        <v>127259.135136</v>
      </c>
      <c r="BF2" s="383">
        <v>0</v>
      </c>
      <c r="BG2" s="455">
        <f t="shared" ref="BG2:BG7" si="4">(AV2-10)*10</f>
        <v>-90</v>
      </c>
      <c r="BH2" s="455">
        <f t="shared" ref="BH2:BH7" si="5">SUM(BF2:BG2)</f>
        <v>-90</v>
      </c>
      <c r="BI2" s="450">
        <v>1973.68</v>
      </c>
    </row>
    <row r="3" spans="1:62" s="367" customFormat="1" ht="156">
      <c r="A3" s="420" t="s">
        <v>5214</v>
      </c>
      <c r="B3" s="421" t="s">
        <v>3042</v>
      </c>
      <c r="C3" s="421" t="s">
        <v>3043</v>
      </c>
      <c r="D3" s="422" t="s">
        <v>3103</v>
      </c>
      <c r="E3" s="423" t="s">
        <v>3098</v>
      </c>
      <c r="F3" s="423" t="s">
        <v>4309</v>
      </c>
      <c r="G3" s="423">
        <v>581001745</v>
      </c>
      <c r="H3" s="421" t="s">
        <v>2971</v>
      </c>
      <c r="I3" s="431" t="s">
        <v>1771</v>
      </c>
      <c r="J3" s="431">
        <v>2</v>
      </c>
      <c r="K3" s="421" t="s">
        <v>3100</v>
      </c>
      <c r="L3" s="421">
        <v>15987.5</v>
      </c>
      <c r="M3" s="433">
        <v>43524</v>
      </c>
      <c r="N3" s="434">
        <v>43523</v>
      </c>
      <c r="O3" s="424">
        <v>43523</v>
      </c>
      <c r="P3" s="424">
        <v>43555</v>
      </c>
      <c r="Q3" s="425">
        <v>43565</v>
      </c>
      <c r="R3" s="428" t="s">
        <v>4308</v>
      </c>
      <c r="S3" s="426" t="s">
        <v>1771</v>
      </c>
      <c r="T3" s="427" t="s">
        <v>1771</v>
      </c>
      <c r="U3" s="429" t="s">
        <v>2972</v>
      </c>
      <c r="V3" s="430" t="s">
        <v>3146</v>
      </c>
      <c r="W3" s="432" t="s">
        <v>3031</v>
      </c>
      <c r="X3" s="425">
        <v>43553</v>
      </c>
      <c r="Y3" s="430" t="s">
        <v>3147</v>
      </c>
      <c r="Z3" s="431" t="s">
        <v>1807</v>
      </c>
      <c r="AA3" s="433">
        <v>43558</v>
      </c>
      <c r="AB3" s="433">
        <v>43556</v>
      </c>
      <c r="AC3" s="431" t="s">
        <v>3096</v>
      </c>
      <c r="AD3" s="431" t="s">
        <v>3155</v>
      </c>
      <c r="AE3" s="431" t="s">
        <v>2146</v>
      </c>
      <c r="AF3" s="435">
        <v>43560</v>
      </c>
      <c r="AG3" s="431">
        <v>11143.45</v>
      </c>
      <c r="AH3" s="436" t="s">
        <v>3131</v>
      </c>
      <c r="AI3" s="431" t="s">
        <v>3108</v>
      </c>
      <c r="AJ3" s="437">
        <f>138967.22+8364.39+8364.39+10653.3+112178.34+8364.39+8364.39+10653.3+112178.34+8364.39+8364.39+138967.22+8364.39</f>
        <v>582148.45000000007</v>
      </c>
      <c r="AK3" s="437">
        <v>3980</v>
      </c>
      <c r="AL3" s="437">
        <v>13</v>
      </c>
      <c r="AM3" s="437">
        <f>SUM(AJ3:AL3)</f>
        <v>586141.45000000007</v>
      </c>
      <c r="AN3" s="438">
        <v>3.8435999999999999</v>
      </c>
      <c r="AO3" s="439">
        <f>AM3*AN3</f>
        <v>2252893.27722</v>
      </c>
      <c r="AP3" s="439">
        <v>179151.67</v>
      </c>
      <c r="AQ3" s="439">
        <v>241854.72</v>
      </c>
      <c r="AR3" s="439">
        <v>47027.31</v>
      </c>
      <c r="AS3" s="439">
        <v>216101.7</v>
      </c>
      <c r="AT3" s="439">
        <v>589702.68000000005</v>
      </c>
      <c r="AU3" s="439">
        <v>0</v>
      </c>
      <c r="AV3" s="431">
        <v>5</v>
      </c>
      <c r="AW3" s="439">
        <v>314.8</v>
      </c>
      <c r="AX3" s="431" t="s">
        <v>3139</v>
      </c>
      <c r="AY3" s="433">
        <f t="shared" si="0"/>
        <v>43565</v>
      </c>
      <c r="AZ3" s="439">
        <v>0</v>
      </c>
      <c r="BA3" s="439">
        <v>4132.92</v>
      </c>
      <c r="BB3" s="439">
        <f>AO3</f>
        <v>2252893.27722</v>
      </c>
      <c r="BC3" s="439">
        <f t="shared" si="1"/>
        <v>3379339.9158300003</v>
      </c>
      <c r="BD3" s="431">
        <f t="shared" si="2"/>
        <v>2</v>
      </c>
      <c r="BE3" s="439">
        <f t="shared" si="3"/>
        <v>1689669.9579150002</v>
      </c>
      <c r="BF3" s="439">
        <f>430.67+53</f>
        <v>483.67</v>
      </c>
      <c r="BG3" s="452">
        <f t="shared" si="4"/>
        <v>-50</v>
      </c>
      <c r="BH3" s="452">
        <f t="shared" si="5"/>
        <v>433.67</v>
      </c>
      <c r="BI3" s="440">
        <v>4432.05</v>
      </c>
    </row>
    <row r="4" spans="1:62" s="343" customFormat="1" ht="102">
      <c r="A4" s="316" t="s">
        <v>5215</v>
      </c>
      <c r="B4" s="317" t="s">
        <v>3042</v>
      </c>
      <c r="C4" s="317" t="s">
        <v>3043</v>
      </c>
      <c r="D4" s="318" t="s">
        <v>3102</v>
      </c>
      <c r="E4" s="319" t="s">
        <v>3099</v>
      </c>
      <c r="F4" s="319"/>
      <c r="G4" s="319">
        <v>149900640901</v>
      </c>
      <c r="H4" s="317" t="s">
        <v>3104</v>
      </c>
      <c r="I4" s="325" t="s">
        <v>1771</v>
      </c>
      <c r="J4" s="325">
        <v>1</v>
      </c>
      <c r="K4" s="317" t="s">
        <v>3101</v>
      </c>
      <c r="L4" s="317">
        <v>3628.4</v>
      </c>
      <c r="M4" s="347">
        <v>43524</v>
      </c>
      <c r="N4" s="327">
        <v>43525</v>
      </c>
      <c r="O4" s="320">
        <v>43525</v>
      </c>
      <c r="P4" s="321">
        <v>43559</v>
      </c>
      <c r="Q4" s="321">
        <v>43573</v>
      </c>
      <c r="R4" s="352" t="s">
        <v>3175</v>
      </c>
      <c r="S4" s="386" t="s">
        <v>1771</v>
      </c>
      <c r="T4" s="322" t="s">
        <v>1771</v>
      </c>
      <c r="U4" s="323" t="s">
        <v>2972</v>
      </c>
      <c r="V4" s="324" t="s">
        <v>3154</v>
      </c>
      <c r="W4" s="326" t="s">
        <v>3031</v>
      </c>
      <c r="X4" s="321">
        <v>43553</v>
      </c>
      <c r="Y4" s="324" t="s">
        <v>1807</v>
      </c>
      <c r="Z4" s="325" t="s">
        <v>1807</v>
      </c>
      <c r="AA4" s="327" t="s">
        <v>1771</v>
      </c>
      <c r="AB4" s="347">
        <v>43560</v>
      </c>
      <c r="AC4" s="325" t="s">
        <v>3096</v>
      </c>
      <c r="AD4" s="325" t="s">
        <v>3170</v>
      </c>
      <c r="AE4" s="325" t="s">
        <v>2146</v>
      </c>
      <c r="AF4" s="327">
        <v>43567</v>
      </c>
      <c r="AG4" s="325">
        <v>3628.4</v>
      </c>
      <c r="AH4" s="328" t="s">
        <v>3131</v>
      </c>
      <c r="AI4" s="325" t="s">
        <v>3108</v>
      </c>
      <c r="AJ4" s="350">
        <v>27962.02</v>
      </c>
      <c r="AK4" s="349">
        <v>1900</v>
      </c>
      <c r="AL4" s="349">
        <v>3</v>
      </c>
      <c r="AM4" s="349">
        <v>29866.02</v>
      </c>
      <c r="AN4" s="417">
        <v>3.8399000000000001</v>
      </c>
      <c r="AO4" s="416">
        <v>114682.53019800001</v>
      </c>
      <c r="AP4" s="416">
        <v>9174.2800000000007</v>
      </c>
      <c r="AQ4" s="416">
        <v>12385.26</v>
      </c>
      <c r="AR4" s="416">
        <v>2408.25</v>
      </c>
      <c r="AS4" s="416">
        <v>1006.48</v>
      </c>
      <c r="AT4" s="416">
        <v>30655.32</v>
      </c>
      <c r="AU4" s="416">
        <v>0</v>
      </c>
      <c r="AV4" s="325">
        <v>4</v>
      </c>
      <c r="AW4" s="325">
        <v>291.2</v>
      </c>
      <c r="AX4" s="325" t="s">
        <v>3139</v>
      </c>
      <c r="AY4" s="347">
        <f t="shared" si="0"/>
        <v>43573</v>
      </c>
      <c r="AZ4" s="416">
        <v>0</v>
      </c>
      <c r="BA4" s="416">
        <v>1249.99</v>
      </c>
      <c r="BB4" s="416">
        <v>114682.53019800001</v>
      </c>
      <c r="BC4" s="416">
        <f t="shared" si="1"/>
        <v>172023.795297</v>
      </c>
      <c r="BD4" s="325">
        <f t="shared" si="2"/>
        <v>1</v>
      </c>
      <c r="BE4" s="416">
        <f t="shared" si="3"/>
        <v>172023.795297</v>
      </c>
      <c r="BF4" s="416">
        <v>483.67</v>
      </c>
      <c r="BG4" s="453">
        <f t="shared" si="4"/>
        <v>-60</v>
      </c>
      <c r="BH4" s="453">
        <f t="shared" si="5"/>
        <v>423.67</v>
      </c>
      <c r="BI4" s="418">
        <v>2033.15</v>
      </c>
    </row>
    <row r="5" spans="1:62" s="343" customFormat="1" ht="153">
      <c r="A5" s="329" t="s">
        <v>5216</v>
      </c>
      <c r="B5" s="330" t="s">
        <v>3042</v>
      </c>
      <c r="C5" s="330" t="s">
        <v>3043</v>
      </c>
      <c r="D5" s="331" t="s">
        <v>3105</v>
      </c>
      <c r="E5" s="332" t="s">
        <v>3106</v>
      </c>
      <c r="F5" s="332"/>
      <c r="G5" s="332">
        <v>581127530</v>
      </c>
      <c r="H5" s="330" t="s">
        <v>3112</v>
      </c>
      <c r="I5" s="338" t="s">
        <v>1771</v>
      </c>
      <c r="J5" s="338">
        <v>2</v>
      </c>
      <c r="K5" s="330" t="s">
        <v>3107</v>
      </c>
      <c r="L5" s="330">
        <v>14253.51</v>
      </c>
      <c r="M5" s="346">
        <v>43524</v>
      </c>
      <c r="N5" s="340">
        <v>43525</v>
      </c>
      <c r="O5" s="333">
        <v>43525</v>
      </c>
      <c r="P5" s="334">
        <v>43569</v>
      </c>
      <c r="Q5" s="334">
        <v>43573</v>
      </c>
      <c r="R5" s="449" t="s">
        <v>3174</v>
      </c>
      <c r="S5" s="387" t="s">
        <v>1771</v>
      </c>
      <c r="T5" s="335" t="s">
        <v>1771</v>
      </c>
      <c r="U5" s="337" t="s">
        <v>2972</v>
      </c>
      <c r="V5" s="401" t="s">
        <v>3146</v>
      </c>
      <c r="W5" s="339" t="s">
        <v>3031</v>
      </c>
      <c r="X5" s="334">
        <v>43564</v>
      </c>
      <c r="Y5" s="401" t="s">
        <v>3147</v>
      </c>
      <c r="Z5" s="338" t="s">
        <v>1807</v>
      </c>
      <c r="AA5" s="340" t="s">
        <v>1771</v>
      </c>
      <c r="AB5" s="346" t="s">
        <v>1771</v>
      </c>
      <c r="AC5" s="338" t="s">
        <v>3096</v>
      </c>
      <c r="AD5" s="338" t="s">
        <v>3171</v>
      </c>
      <c r="AE5" s="338" t="s">
        <v>2146</v>
      </c>
      <c r="AF5" s="340">
        <v>43572</v>
      </c>
      <c r="AG5" s="338">
        <v>14253.51</v>
      </c>
      <c r="AH5" s="341" t="s">
        <v>3132</v>
      </c>
      <c r="AI5" s="338" t="s">
        <v>3108</v>
      </c>
      <c r="AJ5" s="446">
        <v>245780.64</v>
      </c>
      <c r="AK5" s="351">
        <v>3980</v>
      </c>
      <c r="AL5" s="351">
        <v>12</v>
      </c>
      <c r="AM5" s="351">
        <v>249774.64</v>
      </c>
      <c r="AN5" s="444">
        <v>3.8913000000000002</v>
      </c>
      <c r="AO5" s="443">
        <v>971948.05663200014</v>
      </c>
      <c r="AP5" s="443">
        <v>78654.31</v>
      </c>
      <c r="AQ5" s="443">
        <v>105059.45</v>
      </c>
      <c r="AR5" s="443">
        <v>20410.759999999998</v>
      </c>
      <c r="AS5" s="443">
        <v>93792.25</v>
      </c>
      <c r="AT5" s="443">
        <v>256751.44</v>
      </c>
      <c r="AU5" s="443">
        <v>0</v>
      </c>
      <c r="AV5" s="338">
        <v>11</v>
      </c>
      <c r="AW5" s="338">
        <v>415.1</v>
      </c>
      <c r="AX5" s="338" t="s">
        <v>3139</v>
      </c>
      <c r="AY5" s="346">
        <f t="shared" si="0"/>
        <v>43573</v>
      </c>
      <c r="AZ5" s="443">
        <v>0</v>
      </c>
      <c r="BA5" s="443">
        <v>4132.92</v>
      </c>
      <c r="BB5" s="443">
        <v>971948.05663200014</v>
      </c>
      <c r="BC5" s="443">
        <f t="shared" si="1"/>
        <v>1457922.0849480003</v>
      </c>
      <c r="BD5" s="338">
        <f t="shared" si="2"/>
        <v>2</v>
      </c>
      <c r="BE5" s="443">
        <f t="shared" si="3"/>
        <v>728961.04247400013</v>
      </c>
      <c r="BF5" s="443">
        <v>495.2</v>
      </c>
      <c r="BG5" s="454">
        <f t="shared" si="4"/>
        <v>10</v>
      </c>
      <c r="BH5" s="454">
        <f t="shared" si="5"/>
        <v>505.2</v>
      </c>
      <c r="BI5" s="445">
        <v>4432.33</v>
      </c>
    </row>
    <row r="6" spans="1:62" s="343" customFormat="1" ht="89.25">
      <c r="A6" s="329" t="s">
        <v>5217</v>
      </c>
      <c r="B6" s="330" t="s">
        <v>3042</v>
      </c>
      <c r="C6" s="330" t="s">
        <v>3043</v>
      </c>
      <c r="D6" s="331" t="s">
        <v>3109</v>
      </c>
      <c r="E6" s="463" t="s">
        <v>3110</v>
      </c>
      <c r="F6" s="463" t="s">
        <v>4311</v>
      </c>
      <c r="G6" s="332">
        <v>581184224</v>
      </c>
      <c r="H6" s="330" t="s">
        <v>3129</v>
      </c>
      <c r="I6" s="338" t="s">
        <v>1771</v>
      </c>
      <c r="J6" s="338">
        <v>1</v>
      </c>
      <c r="K6" s="330" t="s">
        <v>3111</v>
      </c>
      <c r="L6" s="330">
        <v>6098.66</v>
      </c>
      <c r="M6" s="346">
        <v>43538</v>
      </c>
      <c r="N6" s="340">
        <v>43544</v>
      </c>
      <c r="O6" s="333">
        <v>43544</v>
      </c>
      <c r="P6" s="334">
        <v>43576</v>
      </c>
      <c r="Q6" s="334">
        <v>43580</v>
      </c>
      <c r="R6" s="336" t="s">
        <v>4310</v>
      </c>
      <c r="S6" s="387" t="s">
        <v>1771</v>
      </c>
      <c r="T6" s="335" t="s">
        <v>1771</v>
      </c>
      <c r="U6" s="337" t="s">
        <v>2972</v>
      </c>
      <c r="V6" s="401" t="s">
        <v>3146</v>
      </c>
      <c r="W6" s="339" t="s">
        <v>3031</v>
      </c>
      <c r="X6" s="334">
        <v>43571</v>
      </c>
      <c r="Y6" s="338" t="s">
        <v>3147</v>
      </c>
      <c r="Z6" s="338" t="s">
        <v>1807</v>
      </c>
      <c r="AA6" s="346">
        <v>43578</v>
      </c>
      <c r="AB6" s="346">
        <v>43571</v>
      </c>
      <c r="AC6" s="338" t="s">
        <v>3096</v>
      </c>
      <c r="AD6" s="338" t="s">
        <v>3173</v>
      </c>
      <c r="AE6" s="338" t="s">
        <v>2146</v>
      </c>
      <c r="AF6" s="346">
        <v>43579</v>
      </c>
      <c r="AG6" s="338">
        <v>6098.66</v>
      </c>
      <c r="AH6" s="341" t="s">
        <v>3131</v>
      </c>
      <c r="AI6" s="338" t="s">
        <v>3108</v>
      </c>
      <c r="AJ6" s="351">
        <v>169539.4</v>
      </c>
      <c r="AK6" s="351">
        <v>1990</v>
      </c>
      <c r="AL6" s="351">
        <v>5</v>
      </c>
      <c r="AM6" s="351">
        <f t="shared" ref="AM6:AM11" si="6">SUM(AJ6:AL6)</f>
        <v>171534.4</v>
      </c>
      <c r="AN6" s="444">
        <v>3.9436</v>
      </c>
      <c r="AO6" s="443">
        <f t="shared" ref="AO6:AO15" si="7">AM6*AN6</f>
        <v>676463.05984</v>
      </c>
      <c r="AP6" s="443">
        <v>54117.05</v>
      </c>
      <c r="AQ6" s="443">
        <v>73057.98</v>
      </c>
      <c r="AR6" s="443">
        <v>14205.72</v>
      </c>
      <c r="AS6" s="443">
        <v>65278.68</v>
      </c>
      <c r="AT6" s="443">
        <v>178402.14</v>
      </c>
      <c r="AU6" s="443">
        <v>0</v>
      </c>
      <c r="AV6" s="338">
        <v>7</v>
      </c>
      <c r="AW6" s="464">
        <v>350.2</v>
      </c>
      <c r="AX6" s="338" t="s">
        <v>3139</v>
      </c>
      <c r="AY6" s="346">
        <f t="shared" si="0"/>
        <v>43580</v>
      </c>
      <c r="AZ6" s="443">
        <v>0</v>
      </c>
      <c r="BA6" s="443">
        <v>2066.46</v>
      </c>
      <c r="BB6" s="443">
        <f t="shared" ref="BB6:BB15" si="8">AO6</f>
        <v>676463.05984</v>
      </c>
      <c r="BC6" s="443">
        <f t="shared" si="1"/>
        <v>1014694.58976</v>
      </c>
      <c r="BD6" s="338">
        <f t="shared" si="2"/>
        <v>1</v>
      </c>
      <c r="BE6" s="443">
        <f t="shared" si="3"/>
        <v>1014694.58976</v>
      </c>
      <c r="BF6" s="443">
        <v>483.67</v>
      </c>
      <c r="BG6" s="454">
        <f t="shared" si="4"/>
        <v>-30</v>
      </c>
      <c r="BH6" s="454">
        <f t="shared" si="5"/>
        <v>453.67</v>
      </c>
      <c r="BI6" s="445">
        <v>2306.1</v>
      </c>
    </row>
    <row r="7" spans="1:62" s="343" customFormat="1" ht="89.25">
      <c r="A7" s="329" t="s">
        <v>5218</v>
      </c>
      <c r="B7" s="330" t="s">
        <v>3042</v>
      </c>
      <c r="C7" s="330" t="s">
        <v>3043</v>
      </c>
      <c r="D7" s="331" t="s">
        <v>3140</v>
      </c>
      <c r="E7" s="341" t="s">
        <v>3141</v>
      </c>
      <c r="F7" s="341" t="s">
        <v>4313</v>
      </c>
      <c r="G7" s="332">
        <v>149901116121</v>
      </c>
      <c r="H7" s="330" t="s">
        <v>3153</v>
      </c>
      <c r="I7" s="338" t="s">
        <v>1771</v>
      </c>
      <c r="J7" s="338">
        <v>2</v>
      </c>
      <c r="K7" s="330" t="s">
        <v>3143</v>
      </c>
      <c r="L7" s="330">
        <f>3969+1927.5</f>
        <v>5896.5</v>
      </c>
      <c r="M7" s="346">
        <v>43556</v>
      </c>
      <c r="N7" s="340">
        <v>43557</v>
      </c>
      <c r="O7" s="333">
        <v>43559</v>
      </c>
      <c r="P7" s="334">
        <v>43587</v>
      </c>
      <c r="Q7" s="334">
        <v>43598</v>
      </c>
      <c r="R7" s="336" t="s">
        <v>4312</v>
      </c>
      <c r="S7" s="387" t="s">
        <v>1771</v>
      </c>
      <c r="T7" s="335" t="s">
        <v>1771</v>
      </c>
      <c r="U7" s="337" t="s">
        <v>2972</v>
      </c>
      <c r="V7" s="401" t="s">
        <v>3154</v>
      </c>
      <c r="W7" s="339" t="s">
        <v>3031</v>
      </c>
      <c r="X7" s="334">
        <v>43580</v>
      </c>
      <c r="Y7" s="338" t="s">
        <v>3147</v>
      </c>
      <c r="Z7" s="338" t="s">
        <v>3147</v>
      </c>
      <c r="AA7" s="346">
        <v>43588</v>
      </c>
      <c r="AB7" s="346">
        <v>43595</v>
      </c>
      <c r="AC7" s="338" t="s">
        <v>3096</v>
      </c>
      <c r="AD7" s="338" t="s">
        <v>3201</v>
      </c>
      <c r="AE7" s="338" t="s">
        <v>2146</v>
      </c>
      <c r="AF7" s="346">
        <v>43594</v>
      </c>
      <c r="AG7" s="338">
        <v>5896.5</v>
      </c>
      <c r="AH7" s="341" t="s">
        <v>3142</v>
      </c>
      <c r="AI7" s="338" t="s">
        <v>3108</v>
      </c>
      <c r="AJ7" s="351">
        <v>39776.03</v>
      </c>
      <c r="AK7" s="351">
        <v>3800</v>
      </c>
      <c r="AL7" s="351">
        <v>2</v>
      </c>
      <c r="AM7" s="351">
        <f t="shared" si="6"/>
        <v>43578.03</v>
      </c>
      <c r="AN7" s="443">
        <v>3.9344000000000001</v>
      </c>
      <c r="AO7" s="443">
        <f t="shared" si="7"/>
        <v>171453.401232</v>
      </c>
      <c r="AP7" s="443">
        <v>17705.04</v>
      </c>
      <c r="AQ7" s="443">
        <v>17230.28</v>
      </c>
      <c r="AR7" s="443">
        <v>3600.53</v>
      </c>
      <c r="AS7" s="443">
        <v>16545.27</v>
      </c>
      <c r="AT7" s="443">
        <v>42690.73</v>
      </c>
      <c r="AU7" s="443">
        <v>0</v>
      </c>
      <c r="AV7" s="338">
        <v>8</v>
      </c>
      <c r="AW7" s="443">
        <v>367.9</v>
      </c>
      <c r="AX7" s="338" t="s">
        <v>3139</v>
      </c>
      <c r="AY7" s="346">
        <f t="shared" si="0"/>
        <v>43598</v>
      </c>
      <c r="AZ7" s="443">
        <v>0</v>
      </c>
      <c r="BA7" s="443">
        <v>3728.86</v>
      </c>
      <c r="BB7" s="443">
        <f t="shared" si="8"/>
        <v>171453.401232</v>
      </c>
      <c r="BC7" s="443">
        <f t="shared" si="1"/>
        <v>257180.10184800002</v>
      </c>
      <c r="BD7" s="458">
        <f t="shared" si="2"/>
        <v>2</v>
      </c>
      <c r="BE7" s="443">
        <f t="shared" si="3"/>
        <v>128590.05092400001</v>
      </c>
      <c r="BF7" s="443">
        <v>483.67</v>
      </c>
      <c r="BG7" s="454">
        <f t="shared" si="4"/>
        <v>-20</v>
      </c>
      <c r="BH7" s="454">
        <f t="shared" si="5"/>
        <v>463.67</v>
      </c>
      <c r="BI7" s="445">
        <v>4212.9399999999996</v>
      </c>
    </row>
    <row r="8" spans="1:62" s="343" customFormat="1" ht="102">
      <c r="A8" s="329" t="s">
        <v>5219</v>
      </c>
      <c r="B8" s="330" t="s">
        <v>3042</v>
      </c>
      <c r="C8" s="330" t="s">
        <v>3043</v>
      </c>
      <c r="D8" s="331" t="s">
        <v>3133</v>
      </c>
      <c r="E8" s="341" t="s">
        <v>3134</v>
      </c>
      <c r="F8" s="341" t="s">
        <v>4315</v>
      </c>
      <c r="G8" s="332">
        <v>581474051</v>
      </c>
      <c r="H8" s="330" t="s">
        <v>3152</v>
      </c>
      <c r="I8" s="338" t="s">
        <v>1771</v>
      </c>
      <c r="J8" s="338">
        <v>1</v>
      </c>
      <c r="K8" s="330" t="s">
        <v>3135</v>
      </c>
      <c r="L8" s="330">
        <f>1923+794.44+1913+538.3+216.35+1319.5</f>
        <v>6704.5900000000011</v>
      </c>
      <c r="M8" s="346">
        <v>43556</v>
      </c>
      <c r="N8" s="340">
        <v>43559</v>
      </c>
      <c r="O8" s="333">
        <v>43559</v>
      </c>
      <c r="P8" s="334">
        <v>43590</v>
      </c>
      <c r="Q8" s="334">
        <v>43602</v>
      </c>
      <c r="R8" s="336" t="s">
        <v>4314</v>
      </c>
      <c r="S8" s="387" t="s">
        <v>1771</v>
      </c>
      <c r="T8" s="335" t="s">
        <v>1771</v>
      </c>
      <c r="U8" s="337" t="s">
        <v>2972</v>
      </c>
      <c r="V8" s="401" t="s">
        <v>3146</v>
      </c>
      <c r="W8" s="339" t="s">
        <v>3031</v>
      </c>
      <c r="X8" s="334">
        <v>43573</v>
      </c>
      <c r="Y8" s="338" t="s">
        <v>3147</v>
      </c>
      <c r="Z8" s="338" t="s">
        <v>3147</v>
      </c>
      <c r="AA8" s="346">
        <v>43591</v>
      </c>
      <c r="AB8" s="346">
        <v>43592</v>
      </c>
      <c r="AC8" s="338" t="s">
        <v>3096</v>
      </c>
      <c r="AD8" s="338" t="s">
        <v>3209</v>
      </c>
      <c r="AE8" s="338" t="s">
        <v>2146</v>
      </c>
      <c r="AF8" s="346">
        <v>43600</v>
      </c>
      <c r="AG8" s="466">
        <v>4094.6190099999999</v>
      </c>
      <c r="AH8" s="341" t="s">
        <v>3136</v>
      </c>
      <c r="AI8" s="338" t="s">
        <v>3108</v>
      </c>
      <c r="AJ8" s="351">
        <v>154693.04999999999</v>
      </c>
      <c r="AK8" s="351">
        <v>2085.9</v>
      </c>
      <c r="AL8" s="351">
        <v>6</v>
      </c>
      <c r="AM8" s="351">
        <f t="shared" si="6"/>
        <v>156784.94999999998</v>
      </c>
      <c r="AN8" s="444">
        <v>3.9788000000000001</v>
      </c>
      <c r="AO8" s="443">
        <f t="shared" si="7"/>
        <v>623815.95905999991</v>
      </c>
      <c r="AP8" s="443">
        <v>50868.1</v>
      </c>
      <c r="AQ8" s="443">
        <v>67376.75</v>
      </c>
      <c r="AR8" s="443">
        <v>13100.14</v>
      </c>
      <c r="AS8" s="443">
        <v>60198.239999999998</v>
      </c>
      <c r="AT8" s="443">
        <v>164613.99</v>
      </c>
      <c r="AU8" s="443">
        <v>0</v>
      </c>
      <c r="AV8" s="338">
        <v>9</v>
      </c>
      <c r="AW8" s="443">
        <v>385.6</v>
      </c>
      <c r="AX8" s="338" t="s">
        <v>3139</v>
      </c>
      <c r="AY8" s="346">
        <f t="shared" ref="AY8:AY15" si="9">Q8</f>
        <v>43602</v>
      </c>
      <c r="AZ8" s="443">
        <v>0</v>
      </c>
      <c r="BA8" s="443">
        <v>2624.88</v>
      </c>
      <c r="BB8" s="416">
        <f t="shared" si="8"/>
        <v>623815.95905999991</v>
      </c>
      <c r="BC8" s="443">
        <f t="shared" ref="BC8:BC15" si="10">(BB8*50%)+BB8</f>
        <v>935723.93858999992</v>
      </c>
      <c r="BD8" s="458">
        <f t="shared" ref="BD8:BD15" si="11">SUM(I8:J8)</f>
        <v>1</v>
      </c>
      <c r="BE8" s="443">
        <f t="shared" ref="BE8:BE15" si="12">BC8/BD8</f>
        <v>935723.93858999992</v>
      </c>
      <c r="BF8" s="443">
        <v>483.67</v>
      </c>
      <c r="BG8" s="454">
        <f t="shared" ref="BG8:BG15" si="13">(AV8-10)*10</f>
        <v>-10</v>
      </c>
      <c r="BH8" s="454">
        <f t="shared" ref="BH8:BH15" si="14">SUM(BF8:BG8)</f>
        <v>473.67</v>
      </c>
      <c r="BI8" s="445">
        <v>2307</v>
      </c>
    </row>
    <row r="9" spans="1:62" s="343" customFormat="1" ht="102">
      <c r="A9" s="329" t="s">
        <v>5220</v>
      </c>
      <c r="B9" s="330" t="s">
        <v>3042</v>
      </c>
      <c r="C9" s="330" t="s">
        <v>3043</v>
      </c>
      <c r="D9" s="331" t="s">
        <v>3144</v>
      </c>
      <c r="E9" s="341" t="s">
        <v>3145</v>
      </c>
      <c r="F9" s="341" t="s">
        <v>4317</v>
      </c>
      <c r="G9" s="332">
        <v>581474110</v>
      </c>
      <c r="H9" s="330" t="s">
        <v>3152</v>
      </c>
      <c r="I9" s="338" t="s">
        <v>1771</v>
      </c>
      <c r="J9" s="338">
        <v>1</v>
      </c>
      <c r="K9" s="330" t="s">
        <v>3150</v>
      </c>
      <c r="L9" s="330">
        <f>686.65+2599.5+555.71+1270</f>
        <v>5111.8600000000006</v>
      </c>
      <c r="M9" s="346">
        <v>43557</v>
      </c>
      <c r="N9" s="340">
        <v>43559</v>
      </c>
      <c r="O9" s="333">
        <v>43559</v>
      </c>
      <c r="P9" s="334">
        <v>43590</v>
      </c>
      <c r="Q9" s="334">
        <v>43602</v>
      </c>
      <c r="R9" s="336" t="s">
        <v>4316</v>
      </c>
      <c r="S9" s="387" t="s">
        <v>1771</v>
      </c>
      <c r="T9" s="335" t="s">
        <v>1771</v>
      </c>
      <c r="U9" s="337" t="s">
        <v>2972</v>
      </c>
      <c r="V9" s="401" t="s">
        <v>3146</v>
      </c>
      <c r="W9" s="339" t="s">
        <v>3031</v>
      </c>
      <c r="X9" s="334">
        <v>43580</v>
      </c>
      <c r="Y9" s="338" t="s">
        <v>3147</v>
      </c>
      <c r="Z9" s="338" t="s">
        <v>3147</v>
      </c>
      <c r="AA9" s="346">
        <v>43591</v>
      </c>
      <c r="AB9" s="346">
        <v>43592</v>
      </c>
      <c r="AC9" s="338" t="s">
        <v>3096</v>
      </c>
      <c r="AD9" s="338" t="s">
        <v>3206</v>
      </c>
      <c r="AE9" s="338" t="s">
        <v>2146</v>
      </c>
      <c r="AF9" s="346">
        <v>43600</v>
      </c>
      <c r="AG9" s="466">
        <v>2111.22201</v>
      </c>
      <c r="AH9" s="341" t="s">
        <v>3142</v>
      </c>
      <c r="AI9" s="338" t="s">
        <v>3108</v>
      </c>
      <c r="AJ9" s="351">
        <v>98179.67</v>
      </c>
      <c r="AK9" s="351">
        <v>2085.29</v>
      </c>
      <c r="AL9" s="351">
        <v>4</v>
      </c>
      <c r="AM9" s="351">
        <f t="shared" si="6"/>
        <v>100268.95999999999</v>
      </c>
      <c r="AN9" s="444">
        <v>3.9788000000000001</v>
      </c>
      <c r="AO9" s="443">
        <f t="shared" si="7"/>
        <v>398950.13804799999</v>
      </c>
      <c r="AP9" s="443">
        <v>50946.1</v>
      </c>
      <c r="AQ9" s="443">
        <v>60575.39</v>
      </c>
      <c r="AR9" s="443">
        <v>8377.9500000000007</v>
      </c>
      <c r="AS9" s="443">
        <v>41248.65</v>
      </c>
      <c r="AT9" s="443">
        <v>80937.820000000007</v>
      </c>
      <c r="AU9" s="443">
        <v>0</v>
      </c>
      <c r="AV9" s="338">
        <v>6</v>
      </c>
      <c r="AW9" s="443">
        <v>332.5</v>
      </c>
      <c r="AX9" s="338" t="s">
        <v>3139</v>
      </c>
      <c r="AY9" s="346">
        <f t="shared" si="9"/>
        <v>43602</v>
      </c>
      <c r="AZ9" s="443">
        <v>0</v>
      </c>
      <c r="BA9" s="443">
        <v>2099.77</v>
      </c>
      <c r="BB9" s="416">
        <f t="shared" si="8"/>
        <v>398950.13804799999</v>
      </c>
      <c r="BC9" s="443">
        <f t="shared" si="10"/>
        <v>598425.20707200002</v>
      </c>
      <c r="BD9" s="458">
        <f t="shared" si="11"/>
        <v>1</v>
      </c>
      <c r="BE9" s="443">
        <f t="shared" si="12"/>
        <v>598425.20707200002</v>
      </c>
      <c r="BF9" s="443">
        <v>483.67</v>
      </c>
      <c r="BG9" s="454">
        <f t="shared" si="13"/>
        <v>-40</v>
      </c>
      <c r="BH9" s="454">
        <f t="shared" si="14"/>
        <v>443.67</v>
      </c>
      <c r="BI9" s="445">
        <v>2331.4699999999998</v>
      </c>
    </row>
    <row r="10" spans="1:62" s="343" customFormat="1" ht="102">
      <c r="A10" s="329" t="s">
        <v>5221</v>
      </c>
      <c r="B10" s="330" t="s">
        <v>3042</v>
      </c>
      <c r="C10" s="330" t="s">
        <v>3043</v>
      </c>
      <c r="D10" s="331" t="s">
        <v>3148</v>
      </c>
      <c r="E10" s="341" t="s">
        <v>3149</v>
      </c>
      <c r="F10" s="341" t="s">
        <v>4319</v>
      </c>
      <c r="G10" s="332">
        <v>606421161</v>
      </c>
      <c r="H10" s="330" t="s">
        <v>3152</v>
      </c>
      <c r="I10" s="338" t="s">
        <v>1771</v>
      </c>
      <c r="J10" s="338">
        <v>1</v>
      </c>
      <c r="K10" s="330" t="s">
        <v>3151</v>
      </c>
      <c r="L10" s="330">
        <f>1801+205+1889.5+1360+971+963</f>
        <v>7189.5</v>
      </c>
      <c r="M10" s="346">
        <v>43558</v>
      </c>
      <c r="N10" s="340">
        <v>43559</v>
      </c>
      <c r="O10" s="333">
        <v>43559</v>
      </c>
      <c r="P10" s="334">
        <v>43590</v>
      </c>
      <c r="Q10" s="334">
        <v>43602</v>
      </c>
      <c r="R10" s="336" t="s">
        <v>4318</v>
      </c>
      <c r="S10" s="387" t="s">
        <v>1771</v>
      </c>
      <c r="T10" s="335" t="s">
        <v>1771</v>
      </c>
      <c r="U10" s="337" t="s">
        <v>2972</v>
      </c>
      <c r="V10" s="401" t="s">
        <v>3146</v>
      </c>
      <c r="W10" s="339" t="s">
        <v>3031</v>
      </c>
      <c r="X10" s="334">
        <v>43580</v>
      </c>
      <c r="Y10" s="338" t="s">
        <v>3147</v>
      </c>
      <c r="Z10" s="338" t="s">
        <v>3147</v>
      </c>
      <c r="AA10" s="346">
        <v>43591</v>
      </c>
      <c r="AB10" s="346">
        <v>43592</v>
      </c>
      <c r="AC10" s="338" t="s">
        <v>3096</v>
      </c>
      <c r="AD10" s="338" t="s">
        <v>3208</v>
      </c>
      <c r="AE10" s="338" t="s">
        <v>2146</v>
      </c>
      <c r="AF10" s="346">
        <v>43600</v>
      </c>
      <c r="AG10" s="466">
        <v>4626.7239900000004</v>
      </c>
      <c r="AH10" s="341" t="s">
        <v>3131</v>
      </c>
      <c r="AI10" s="338" t="s">
        <v>3108</v>
      </c>
      <c r="AJ10" s="351">
        <v>184073.32</v>
      </c>
      <c r="AK10" s="351">
        <v>2085.29</v>
      </c>
      <c r="AL10" s="351">
        <v>6</v>
      </c>
      <c r="AM10" s="351">
        <f t="shared" si="6"/>
        <v>186164.61000000002</v>
      </c>
      <c r="AN10" s="444">
        <v>3.9788000000000001</v>
      </c>
      <c r="AO10" s="443">
        <f t="shared" si="7"/>
        <v>740711.75026800006</v>
      </c>
      <c r="AP10" s="443">
        <v>59256.93</v>
      </c>
      <c r="AQ10" s="443">
        <v>79996.84</v>
      </c>
      <c r="AR10" s="443">
        <v>15554.96</v>
      </c>
      <c r="AS10" s="443">
        <v>71478.679999999993</v>
      </c>
      <c r="AT10" s="443">
        <v>195285.91</v>
      </c>
      <c r="AU10" s="443">
        <v>0</v>
      </c>
      <c r="AV10" s="338">
        <v>5</v>
      </c>
      <c r="AW10" s="443">
        <v>314.8</v>
      </c>
      <c r="AX10" s="338" t="s">
        <v>3139</v>
      </c>
      <c r="AY10" s="346">
        <f t="shared" si="9"/>
        <v>43602</v>
      </c>
      <c r="AZ10" s="443">
        <v>0</v>
      </c>
      <c r="BA10" s="443">
        <v>2898.22</v>
      </c>
      <c r="BB10" s="416">
        <f t="shared" si="8"/>
        <v>740711.75026800006</v>
      </c>
      <c r="BC10" s="443">
        <f t="shared" si="10"/>
        <v>1111067.625402</v>
      </c>
      <c r="BD10" s="458">
        <f t="shared" si="11"/>
        <v>1</v>
      </c>
      <c r="BE10" s="443">
        <f t="shared" si="12"/>
        <v>1111067.625402</v>
      </c>
      <c r="BF10" s="443">
        <v>483.67</v>
      </c>
      <c r="BG10" s="454">
        <f t="shared" si="13"/>
        <v>-50</v>
      </c>
      <c r="BH10" s="454">
        <f t="shared" si="14"/>
        <v>433.67</v>
      </c>
      <c r="BI10" s="445">
        <v>2318.7399999999998</v>
      </c>
    </row>
    <row r="11" spans="1:62" s="344" customFormat="1" ht="127.5">
      <c r="A11" s="468" t="s">
        <v>5222</v>
      </c>
      <c r="B11" s="330" t="s">
        <v>3042</v>
      </c>
      <c r="C11" s="330" t="s">
        <v>3043</v>
      </c>
      <c r="D11" s="469" t="s">
        <v>3160</v>
      </c>
      <c r="E11" s="330" t="s">
        <v>3158</v>
      </c>
      <c r="F11" s="330" t="s">
        <v>4321</v>
      </c>
      <c r="G11" s="470">
        <v>581529737</v>
      </c>
      <c r="H11" s="330" t="s">
        <v>3163</v>
      </c>
      <c r="I11" s="401" t="s">
        <v>1771</v>
      </c>
      <c r="J11" s="401">
        <v>1</v>
      </c>
      <c r="K11" s="330" t="s">
        <v>3159</v>
      </c>
      <c r="L11" s="330">
        <f>1085.5+287+1077.5+898+906+661.96+940+1253.5+1876.5+156</f>
        <v>9141.9599999999991</v>
      </c>
      <c r="M11" s="334">
        <v>43563</v>
      </c>
      <c r="N11" s="402">
        <v>43566</v>
      </c>
      <c r="O11" s="334">
        <v>43566</v>
      </c>
      <c r="P11" s="334">
        <v>43597</v>
      </c>
      <c r="Q11" s="334">
        <v>43602</v>
      </c>
      <c r="R11" s="471" t="s">
        <v>4320</v>
      </c>
      <c r="S11" s="472" t="s">
        <v>1771</v>
      </c>
      <c r="T11" s="335" t="s">
        <v>1771</v>
      </c>
      <c r="U11" s="337" t="s">
        <v>2972</v>
      </c>
      <c r="V11" s="401" t="s">
        <v>3146</v>
      </c>
      <c r="W11" s="339" t="s">
        <v>3031</v>
      </c>
      <c r="X11" s="334">
        <v>43585</v>
      </c>
      <c r="Y11" s="338" t="s">
        <v>3147</v>
      </c>
      <c r="Z11" s="338" t="s">
        <v>3147</v>
      </c>
      <c r="AA11" s="334">
        <v>43598</v>
      </c>
      <c r="AB11" s="334">
        <v>43599</v>
      </c>
      <c r="AC11" s="401" t="s">
        <v>3096</v>
      </c>
      <c r="AD11" s="401" t="s">
        <v>3210</v>
      </c>
      <c r="AE11" s="401" t="s">
        <v>2146</v>
      </c>
      <c r="AF11" s="334">
        <v>43600</v>
      </c>
      <c r="AG11" s="337">
        <v>6598.5339800000002</v>
      </c>
      <c r="AH11" s="330" t="s">
        <v>3132</v>
      </c>
      <c r="AI11" s="401" t="s">
        <v>3108</v>
      </c>
      <c r="AJ11" s="473">
        <v>292785.34999999998</v>
      </c>
      <c r="AK11" s="473">
        <v>2085.2600000000002</v>
      </c>
      <c r="AL11" s="473">
        <v>10</v>
      </c>
      <c r="AM11" s="473">
        <f t="shared" si="6"/>
        <v>294880.61</v>
      </c>
      <c r="AN11" s="474">
        <v>3.9788000000000001</v>
      </c>
      <c r="AO11" s="475">
        <f t="shared" si="7"/>
        <v>1173270.971068</v>
      </c>
      <c r="AP11" s="475">
        <v>94722.880000000005</v>
      </c>
      <c r="AQ11" s="475">
        <v>127617.49</v>
      </c>
      <c r="AR11" s="475">
        <v>24638.69</v>
      </c>
      <c r="AS11" s="475">
        <v>113364.18</v>
      </c>
      <c r="AT11" s="475">
        <v>307706.74</v>
      </c>
      <c r="AU11" s="475">
        <v>0</v>
      </c>
      <c r="AV11" s="401">
        <v>7</v>
      </c>
      <c r="AW11" s="475">
        <v>350.2</v>
      </c>
      <c r="AX11" s="401" t="s">
        <v>3139</v>
      </c>
      <c r="AY11" s="346">
        <f t="shared" si="9"/>
        <v>43602</v>
      </c>
      <c r="AZ11" s="475">
        <v>0</v>
      </c>
      <c r="BA11" s="475">
        <v>3909.69</v>
      </c>
      <c r="BB11" s="443">
        <f t="shared" si="8"/>
        <v>1173270.971068</v>
      </c>
      <c r="BC11" s="475">
        <f t="shared" si="10"/>
        <v>1759906.4566019999</v>
      </c>
      <c r="BD11" s="458">
        <f t="shared" si="11"/>
        <v>1</v>
      </c>
      <c r="BE11" s="475">
        <f t="shared" si="12"/>
        <v>1759906.4566019999</v>
      </c>
      <c r="BF11" s="475">
        <v>483.67</v>
      </c>
      <c r="BG11" s="476">
        <f t="shared" si="13"/>
        <v>-30</v>
      </c>
      <c r="BH11" s="476">
        <f t="shared" si="14"/>
        <v>453.67</v>
      </c>
      <c r="BI11" s="477">
        <v>2331.9699999999998</v>
      </c>
      <c r="BJ11" s="343"/>
    </row>
    <row r="12" spans="1:62" customFormat="1" ht="162">
      <c r="A12" s="403" t="s">
        <v>5223</v>
      </c>
      <c r="B12" s="404" t="s">
        <v>3042</v>
      </c>
      <c r="C12" s="404" t="s">
        <v>3043</v>
      </c>
      <c r="D12" s="405" t="s">
        <v>3164</v>
      </c>
      <c r="E12" s="406" t="s">
        <v>3165</v>
      </c>
      <c r="F12" s="406" t="s">
        <v>4323</v>
      </c>
      <c r="G12" s="407">
        <v>581696404</v>
      </c>
      <c r="H12" s="404" t="s">
        <v>3172</v>
      </c>
      <c r="I12" s="413" t="s">
        <v>1771</v>
      </c>
      <c r="J12" s="413">
        <v>1</v>
      </c>
      <c r="K12" s="404" t="s">
        <v>3166</v>
      </c>
      <c r="L12" s="404">
        <f>611.95+40.34+186.5+681.55+58.2+902.64+224+135+879.5+1434.5+315.01+290.04</f>
        <v>5759.2300000000005</v>
      </c>
      <c r="M12" s="408">
        <v>43572</v>
      </c>
      <c r="N12" s="402">
        <v>43569</v>
      </c>
      <c r="O12" s="408">
        <v>43573</v>
      </c>
      <c r="P12" s="408">
        <v>43604</v>
      </c>
      <c r="Q12" s="408">
        <v>43613</v>
      </c>
      <c r="R12" s="478" t="s">
        <v>4322</v>
      </c>
      <c r="S12" s="409" t="s">
        <v>1771</v>
      </c>
      <c r="T12" s="410" t="s">
        <v>1771</v>
      </c>
      <c r="U12" s="412" t="s">
        <v>2972</v>
      </c>
      <c r="V12" s="413" t="s">
        <v>3146</v>
      </c>
      <c r="W12" s="414" t="s">
        <v>3031</v>
      </c>
      <c r="X12" s="334">
        <v>43594</v>
      </c>
      <c r="Y12" s="338" t="s">
        <v>3147</v>
      </c>
      <c r="Z12" s="338" t="s">
        <v>3147</v>
      </c>
      <c r="AA12" s="408">
        <v>43606</v>
      </c>
      <c r="AB12" s="408">
        <v>43606</v>
      </c>
      <c r="AC12" s="413" t="s">
        <v>3096</v>
      </c>
      <c r="AD12" s="413" t="s">
        <v>3212</v>
      </c>
      <c r="AE12" s="413" t="s">
        <v>2146</v>
      </c>
      <c r="AF12" s="408">
        <v>43612</v>
      </c>
      <c r="AG12" s="413">
        <v>3188.5970200000002</v>
      </c>
      <c r="AH12" s="404" t="s">
        <v>3142</v>
      </c>
      <c r="AI12" s="413" t="s">
        <v>3108</v>
      </c>
      <c r="AJ12" s="415">
        <v>79393.59</v>
      </c>
      <c r="AK12" s="415">
        <v>2084.2399999999998</v>
      </c>
      <c r="AL12" s="415">
        <v>12</v>
      </c>
      <c r="AM12" s="415">
        <f t="shared" ref="AM12:AM17" si="15">SUM(AJ12:AL12)</f>
        <v>81489.83</v>
      </c>
      <c r="AN12" s="467">
        <v>4.0321999999999996</v>
      </c>
      <c r="AO12" s="448">
        <f t="shared" si="7"/>
        <v>328583.29252599995</v>
      </c>
      <c r="AP12" s="448">
        <v>35087.480000000003</v>
      </c>
      <c r="AQ12" s="448">
        <v>31046.67</v>
      </c>
      <c r="AR12" s="448">
        <v>6900.23</v>
      </c>
      <c r="AS12" s="448">
        <v>31881.87</v>
      </c>
      <c r="AT12" s="448">
        <v>85785.91</v>
      </c>
      <c r="AU12" s="448">
        <v>0</v>
      </c>
      <c r="AV12" s="413">
        <v>19</v>
      </c>
      <c r="AW12" s="448">
        <v>509.5</v>
      </c>
      <c r="AX12" s="413" t="s">
        <v>3139</v>
      </c>
      <c r="AY12" s="346">
        <f t="shared" si="9"/>
        <v>43613</v>
      </c>
      <c r="AZ12" s="413" t="s">
        <v>1771</v>
      </c>
      <c r="BA12" s="448">
        <v>1936.19</v>
      </c>
      <c r="BB12" s="443">
        <f t="shared" si="8"/>
        <v>328583.29252599995</v>
      </c>
      <c r="BC12" s="448">
        <f t="shared" si="10"/>
        <v>492874.93878899992</v>
      </c>
      <c r="BD12" s="458">
        <f t="shared" si="11"/>
        <v>1</v>
      </c>
      <c r="BE12" s="448">
        <f t="shared" si="12"/>
        <v>492874.93878899992</v>
      </c>
      <c r="BF12" s="448">
        <f>534.44+53</f>
        <v>587.44000000000005</v>
      </c>
      <c r="BG12" s="448">
        <f t="shared" si="13"/>
        <v>90</v>
      </c>
      <c r="BH12" s="448">
        <f t="shared" si="14"/>
        <v>677.44</v>
      </c>
      <c r="BI12" s="456">
        <v>2362.9699999999998</v>
      </c>
      <c r="BJ12" s="400"/>
    </row>
    <row r="13" spans="1:62" customFormat="1" ht="148.5">
      <c r="A13" s="403" t="s">
        <v>5224</v>
      </c>
      <c r="B13" s="404" t="s">
        <v>3042</v>
      </c>
      <c r="C13" s="404" t="s">
        <v>3043</v>
      </c>
      <c r="D13" s="405" t="s">
        <v>3167</v>
      </c>
      <c r="E13" s="406" t="s">
        <v>3168</v>
      </c>
      <c r="F13" s="406" t="s">
        <v>4325</v>
      </c>
      <c r="G13" s="407">
        <v>581696456</v>
      </c>
      <c r="H13" s="404" t="s">
        <v>3172</v>
      </c>
      <c r="I13" s="413" t="s">
        <v>1771</v>
      </c>
      <c r="J13" s="413">
        <v>1</v>
      </c>
      <c r="K13" s="404" t="s">
        <v>3169</v>
      </c>
      <c r="L13" s="404">
        <f>1798+878.5+26.86+123.61+844.87+348+399.46+554.5+49.6+320.28+68</f>
        <v>5411.68</v>
      </c>
      <c r="M13" s="408">
        <v>43572</v>
      </c>
      <c r="N13" s="402">
        <v>43571</v>
      </c>
      <c r="O13" s="408">
        <v>43573</v>
      </c>
      <c r="P13" s="408">
        <v>43604</v>
      </c>
      <c r="Q13" s="408">
        <v>43614</v>
      </c>
      <c r="R13" s="411" t="s">
        <v>4324</v>
      </c>
      <c r="S13" s="409" t="s">
        <v>1771</v>
      </c>
      <c r="T13" s="410" t="s">
        <v>1771</v>
      </c>
      <c r="U13" s="412" t="s">
        <v>2972</v>
      </c>
      <c r="V13" s="413" t="s">
        <v>3146</v>
      </c>
      <c r="W13" s="414" t="s">
        <v>3031</v>
      </c>
      <c r="X13" s="334">
        <v>43594</v>
      </c>
      <c r="Y13" s="338" t="s">
        <v>3147</v>
      </c>
      <c r="Z13" s="338" t="s">
        <v>3147</v>
      </c>
      <c r="AA13" s="408">
        <v>43606</v>
      </c>
      <c r="AB13" s="408">
        <v>43606</v>
      </c>
      <c r="AC13" s="413" t="s">
        <v>3096</v>
      </c>
      <c r="AD13" s="413" t="s">
        <v>3213</v>
      </c>
      <c r="AE13" s="413" t="s">
        <v>2146</v>
      </c>
      <c r="AF13" s="408">
        <v>43613</v>
      </c>
      <c r="AG13" s="412">
        <v>2587.5020399999999</v>
      </c>
      <c r="AH13" s="404" t="s">
        <v>3142</v>
      </c>
      <c r="AI13" s="413" t="s">
        <v>3108</v>
      </c>
      <c r="AJ13" s="415">
        <v>104417.52</v>
      </c>
      <c r="AK13" s="415">
        <v>2083.8000000000002</v>
      </c>
      <c r="AL13" s="415">
        <v>11</v>
      </c>
      <c r="AM13" s="415">
        <f t="shared" si="15"/>
        <v>106512.32000000001</v>
      </c>
      <c r="AN13" s="467">
        <v>4.0209999999999999</v>
      </c>
      <c r="AO13" s="448">
        <f t="shared" si="7"/>
        <v>428286.03872000001</v>
      </c>
      <c r="AP13" s="448">
        <v>28074.33</v>
      </c>
      <c r="AQ13" s="448">
        <v>32870.57</v>
      </c>
      <c r="AR13" s="448">
        <v>8994.02</v>
      </c>
      <c r="AS13" s="448">
        <v>41329.64</v>
      </c>
      <c r="AT13" s="448">
        <v>87769.48</v>
      </c>
      <c r="AU13" s="448">
        <v>0</v>
      </c>
      <c r="AV13" s="413">
        <v>21</v>
      </c>
      <c r="AW13" s="448">
        <v>527.20000000000005</v>
      </c>
      <c r="AX13" s="413" t="s">
        <v>3139</v>
      </c>
      <c r="AY13" s="346">
        <f t="shared" si="9"/>
        <v>43614</v>
      </c>
      <c r="AZ13" s="413" t="s">
        <v>1771</v>
      </c>
      <c r="BA13" s="448">
        <v>2167.89</v>
      </c>
      <c r="BB13" s="448">
        <f t="shared" si="8"/>
        <v>428286.03872000001</v>
      </c>
      <c r="BC13" s="448">
        <f t="shared" si="10"/>
        <v>642429.05807999999</v>
      </c>
      <c r="BD13" s="458">
        <f t="shared" si="11"/>
        <v>1</v>
      </c>
      <c r="BE13" s="448">
        <f t="shared" si="12"/>
        <v>642429.05807999999</v>
      </c>
      <c r="BF13" s="448">
        <f>557.5+53</f>
        <v>610.5</v>
      </c>
      <c r="BG13" s="448">
        <f t="shared" si="13"/>
        <v>110</v>
      </c>
      <c r="BH13" s="448">
        <f t="shared" si="14"/>
        <v>720.5</v>
      </c>
      <c r="BI13" s="456">
        <v>2362.9699999999998</v>
      </c>
      <c r="BJ13" s="400"/>
    </row>
    <row r="14" spans="1:62" customFormat="1" ht="202.5">
      <c r="A14" s="479" t="s">
        <v>5225</v>
      </c>
      <c r="B14" s="480" t="s">
        <v>3042</v>
      </c>
      <c r="C14" s="480" t="s">
        <v>3043</v>
      </c>
      <c r="D14" s="481" t="s">
        <v>3181</v>
      </c>
      <c r="E14" s="465" t="s">
        <v>3176</v>
      </c>
      <c r="F14" s="465" t="s">
        <v>4327</v>
      </c>
      <c r="G14" s="482">
        <v>606450469</v>
      </c>
      <c r="H14" s="480" t="s">
        <v>3197</v>
      </c>
      <c r="I14" s="483" t="s">
        <v>1771</v>
      </c>
      <c r="J14" s="483">
        <v>2</v>
      </c>
      <c r="K14" s="480" t="s">
        <v>3177</v>
      </c>
      <c r="L14" s="480">
        <f>357+695.5+347+444+290+1370.4+1904+1911.5+144.37+798.5+946+1599.5+1855.5+793+125.5</f>
        <v>13581.77</v>
      </c>
      <c r="M14" s="484">
        <v>43584</v>
      </c>
      <c r="N14" s="485">
        <v>43582</v>
      </c>
      <c r="O14" s="484">
        <v>43585</v>
      </c>
      <c r="P14" s="484">
        <v>43618</v>
      </c>
      <c r="Q14" s="484">
        <v>43623</v>
      </c>
      <c r="R14" s="502" t="s">
        <v>4326</v>
      </c>
      <c r="S14" s="487" t="s">
        <v>1771</v>
      </c>
      <c r="T14" s="488" t="s">
        <v>1771</v>
      </c>
      <c r="U14" s="489" t="s">
        <v>2972</v>
      </c>
      <c r="V14" s="483" t="s">
        <v>3146</v>
      </c>
      <c r="W14" s="490" t="s">
        <v>3031</v>
      </c>
      <c r="X14" s="321">
        <v>43612</v>
      </c>
      <c r="Y14" s="483" t="s">
        <v>3147</v>
      </c>
      <c r="Z14" s="483" t="s">
        <v>3147</v>
      </c>
      <c r="AA14" s="484">
        <v>43619</v>
      </c>
      <c r="AB14" s="484">
        <v>43619</v>
      </c>
      <c r="AC14" s="483" t="s">
        <v>3096</v>
      </c>
      <c r="AD14" s="483" t="s">
        <v>3220</v>
      </c>
      <c r="AE14" s="483" t="s">
        <v>2146</v>
      </c>
      <c r="AF14" s="484">
        <v>43622</v>
      </c>
      <c r="AG14" s="483">
        <v>8099.1050299999997</v>
      </c>
      <c r="AH14" s="480" t="s">
        <v>3132</v>
      </c>
      <c r="AI14" s="483" t="s">
        <v>3108</v>
      </c>
      <c r="AJ14" s="491">
        <v>232680.54</v>
      </c>
      <c r="AK14" s="491">
        <v>4078.42</v>
      </c>
      <c r="AL14" s="491">
        <v>15</v>
      </c>
      <c r="AM14" s="491">
        <f t="shared" si="15"/>
        <v>236773.96000000002</v>
      </c>
      <c r="AN14" s="492">
        <v>3.8611</v>
      </c>
      <c r="AO14" s="492">
        <f t="shared" si="7"/>
        <v>914207.93695600005</v>
      </c>
      <c r="AP14" s="492">
        <v>74293.11</v>
      </c>
      <c r="AQ14" s="492">
        <v>98850.06</v>
      </c>
      <c r="AR14" s="492">
        <v>19198.38</v>
      </c>
      <c r="AS14" s="492">
        <v>88221.08</v>
      </c>
      <c r="AT14" s="492">
        <v>241636.44</v>
      </c>
      <c r="AU14" s="492">
        <v>0</v>
      </c>
      <c r="AV14" s="483">
        <v>8</v>
      </c>
      <c r="AW14" s="492">
        <v>367.9</v>
      </c>
      <c r="AX14" s="483" t="s">
        <v>3139</v>
      </c>
      <c r="AY14" s="347">
        <f t="shared" si="9"/>
        <v>43623</v>
      </c>
      <c r="AZ14" s="483" t="s">
        <v>1771</v>
      </c>
      <c r="BA14" s="492">
        <v>4464.6400000000003</v>
      </c>
      <c r="BB14" s="492">
        <f t="shared" si="8"/>
        <v>914207.93695600005</v>
      </c>
      <c r="BC14" s="492">
        <f t="shared" si="10"/>
        <v>1371311.9054340001</v>
      </c>
      <c r="BD14" s="493">
        <f t="shared" si="11"/>
        <v>2</v>
      </c>
      <c r="BE14" s="492">
        <f t="shared" si="12"/>
        <v>685655.95271700004</v>
      </c>
      <c r="BF14" s="492">
        <f>430.67+53</f>
        <v>483.67</v>
      </c>
      <c r="BG14" s="494">
        <f t="shared" si="13"/>
        <v>-20</v>
      </c>
      <c r="BH14" s="494">
        <f t="shared" si="14"/>
        <v>463.67</v>
      </c>
      <c r="BI14" s="495">
        <v>4499.6899999999996</v>
      </c>
      <c r="BJ14" s="400"/>
    </row>
    <row r="15" spans="1:62" customFormat="1" ht="108">
      <c r="A15" s="403" t="s">
        <v>5226</v>
      </c>
      <c r="B15" s="404" t="s">
        <v>3042</v>
      </c>
      <c r="C15" s="404" t="s">
        <v>3043</v>
      </c>
      <c r="D15" s="405" t="s">
        <v>3178</v>
      </c>
      <c r="E15" s="406" t="s">
        <v>3179</v>
      </c>
      <c r="F15" s="406" t="s">
        <v>4329</v>
      </c>
      <c r="G15" s="407">
        <v>581993350</v>
      </c>
      <c r="H15" s="404" t="s">
        <v>3197</v>
      </c>
      <c r="I15" s="413" t="s">
        <v>1771</v>
      </c>
      <c r="J15" s="413">
        <v>1</v>
      </c>
      <c r="K15" s="404" t="s">
        <v>3180</v>
      </c>
      <c r="L15" s="404">
        <f>288.75+1501+925+931.5+87.5+1202.5+86.5+931</f>
        <v>5953.75</v>
      </c>
      <c r="M15" s="408">
        <v>43584</v>
      </c>
      <c r="N15" s="447">
        <v>43585</v>
      </c>
      <c r="O15" s="408">
        <v>43585</v>
      </c>
      <c r="P15" s="408">
        <v>43618</v>
      </c>
      <c r="Q15" s="408">
        <v>43623</v>
      </c>
      <c r="R15" s="411" t="s">
        <v>4328</v>
      </c>
      <c r="S15" s="409" t="s">
        <v>1771</v>
      </c>
      <c r="T15" s="410" t="s">
        <v>1771</v>
      </c>
      <c r="U15" s="412" t="s">
        <v>2972</v>
      </c>
      <c r="V15" s="413" t="s">
        <v>3146</v>
      </c>
      <c r="W15" s="414" t="s">
        <v>3031</v>
      </c>
      <c r="X15" s="334">
        <v>43608</v>
      </c>
      <c r="Y15" s="413" t="s">
        <v>3147</v>
      </c>
      <c r="Z15" s="413" t="s">
        <v>3147</v>
      </c>
      <c r="AA15" s="408">
        <v>43619</v>
      </c>
      <c r="AB15" s="408">
        <v>43619</v>
      </c>
      <c r="AC15" s="413" t="s">
        <v>3096</v>
      </c>
      <c r="AD15" s="413" t="s">
        <v>3221</v>
      </c>
      <c r="AE15" s="413" t="s">
        <v>2146</v>
      </c>
      <c r="AF15" s="408">
        <v>43622</v>
      </c>
      <c r="AG15" s="412">
        <v>3862.6390200000001</v>
      </c>
      <c r="AH15" s="404" t="s">
        <v>3131</v>
      </c>
      <c r="AI15" s="413" t="s">
        <v>3108</v>
      </c>
      <c r="AJ15" s="415">
        <v>59516.63</v>
      </c>
      <c r="AK15" s="415">
        <v>2088.42</v>
      </c>
      <c r="AL15" s="415">
        <v>8</v>
      </c>
      <c r="AM15" s="415">
        <f t="shared" si="15"/>
        <v>61613.049999999996</v>
      </c>
      <c r="AN15" s="448">
        <v>3.8611</v>
      </c>
      <c r="AO15" s="448">
        <f t="shared" si="7"/>
        <v>237894.14735499999</v>
      </c>
      <c r="AP15" s="448">
        <v>19031.53</v>
      </c>
      <c r="AQ15" s="448">
        <v>25692.54</v>
      </c>
      <c r="AR15" s="448">
        <v>4995.7700000000004</v>
      </c>
      <c r="AS15" s="448">
        <v>22956.79</v>
      </c>
      <c r="AT15" s="448">
        <v>63109.99</v>
      </c>
      <c r="AU15" s="448">
        <v>0</v>
      </c>
      <c r="AV15" s="413">
        <v>5</v>
      </c>
      <c r="AW15" s="448">
        <v>314.8</v>
      </c>
      <c r="AX15" s="413" t="s">
        <v>3139</v>
      </c>
      <c r="AY15" s="346">
        <f t="shared" si="9"/>
        <v>43623</v>
      </c>
      <c r="AZ15" s="413" t="s">
        <v>1771</v>
      </c>
      <c r="BA15" s="448">
        <v>1721.04</v>
      </c>
      <c r="BB15" s="448">
        <f t="shared" si="8"/>
        <v>237894.14735499999</v>
      </c>
      <c r="BC15" s="448">
        <f t="shared" si="10"/>
        <v>356841.22103249998</v>
      </c>
      <c r="BD15" s="460">
        <f t="shared" si="11"/>
        <v>1</v>
      </c>
      <c r="BE15" s="448">
        <f t="shared" si="12"/>
        <v>356841.22103249998</v>
      </c>
      <c r="BF15" s="492">
        <f>430.67+53</f>
        <v>483.67</v>
      </c>
      <c r="BG15" s="496">
        <f t="shared" si="13"/>
        <v>-50</v>
      </c>
      <c r="BH15" s="496">
        <f t="shared" si="14"/>
        <v>433.67</v>
      </c>
      <c r="BI15" s="456">
        <v>2307.94</v>
      </c>
      <c r="BJ15" s="400"/>
    </row>
    <row r="16" spans="1:62" customFormat="1" ht="114.75">
      <c r="A16" s="479" t="s">
        <v>5227</v>
      </c>
      <c r="B16" s="480" t="s">
        <v>3042</v>
      </c>
      <c r="C16" s="480" t="s">
        <v>3043</v>
      </c>
      <c r="D16" s="481" t="s">
        <v>3194</v>
      </c>
      <c r="E16" s="497" t="s">
        <v>3195</v>
      </c>
      <c r="F16" s="497" t="s">
        <v>4331</v>
      </c>
      <c r="G16" s="482">
        <v>582177320</v>
      </c>
      <c r="H16" s="480" t="s">
        <v>3200</v>
      </c>
      <c r="I16" s="483" t="s">
        <v>1771</v>
      </c>
      <c r="J16" s="483">
        <v>1</v>
      </c>
      <c r="K16" s="480" t="s">
        <v>3196</v>
      </c>
      <c r="L16" s="480">
        <f>1283.69+1564.5+934.5+939+535.02</f>
        <v>5256.7100000000009</v>
      </c>
      <c r="M16" s="484">
        <v>43588</v>
      </c>
      <c r="N16" s="485">
        <v>43589</v>
      </c>
      <c r="O16" s="484">
        <v>43589</v>
      </c>
      <c r="P16" s="484">
        <v>43625</v>
      </c>
      <c r="Q16" s="484">
        <v>43630</v>
      </c>
      <c r="R16" s="486" t="s">
        <v>4330</v>
      </c>
      <c r="S16" s="487" t="s">
        <v>1771</v>
      </c>
      <c r="T16" s="488" t="s">
        <v>1771</v>
      </c>
      <c r="U16" s="489" t="s">
        <v>2972</v>
      </c>
      <c r="V16" s="483" t="s">
        <v>3146</v>
      </c>
      <c r="W16" s="490" t="s">
        <v>3031</v>
      </c>
      <c r="X16" s="321">
        <v>43615</v>
      </c>
      <c r="Y16" s="483" t="s">
        <v>3147</v>
      </c>
      <c r="Z16" s="483" t="s">
        <v>3147</v>
      </c>
      <c r="AA16" s="484">
        <v>43625</v>
      </c>
      <c r="AB16" s="484">
        <v>43625</v>
      </c>
      <c r="AC16" s="483" t="s">
        <v>3096</v>
      </c>
      <c r="AD16" s="483" t="s">
        <v>3222</v>
      </c>
      <c r="AE16" s="483" t="s">
        <v>2146</v>
      </c>
      <c r="AF16" s="484">
        <v>43629</v>
      </c>
      <c r="AG16" s="489">
        <v>3459.5720000000001</v>
      </c>
      <c r="AH16" s="480" t="s">
        <v>3131</v>
      </c>
      <c r="AI16" s="483" t="s">
        <v>3108</v>
      </c>
      <c r="AJ16" s="491">
        <v>52331.94</v>
      </c>
      <c r="AK16" s="491">
        <v>2088.77</v>
      </c>
      <c r="AL16" s="491">
        <v>5</v>
      </c>
      <c r="AM16" s="491">
        <f t="shared" si="15"/>
        <v>54425.71</v>
      </c>
      <c r="AN16" s="492">
        <v>3.8437000000000001</v>
      </c>
      <c r="AO16" s="492">
        <f t="shared" ref="AO16:AO21" si="16">AM16*AN16</f>
        <v>209196.10152699999</v>
      </c>
      <c r="AP16" s="492">
        <v>16735.689999999999</v>
      </c>
      <c r="AQ16" s="492">
        <v>22593.14</v>
      </c>
      <c r="AR16" s="492">
        <v>4393.13</v>
      </c>
      <c r="AS16" s="492">
        <v>20187.419999999998</v>
      </c>
      <c r="AT16" s="492">
        <v>55564.87</v>
      </c>
      <c r="AU16" s="492">
        <v>0</v>
      </c>
      <c r="AV16" s="483">
        <v>7</v>
      </c>
      <c r="AW16" s="492">
        <v>350.2</v>
      </c>
      <c r="AX16" s="483" t="s">
        <v>3139</v>
      </c>
      <c r="AY16" s="347">
        <f t="shared" ref="AY16:AY21" si="17">Q16</f>
        <v>43630</v>
      </c>
      <c r="AZ16" s="483" t="s">
        <v>1771</v>
      </c>
      <c r="BA16" s="492">
        <v>1654.1</v>
      </c>
      <c r="BB16" s="492">
        <f t="shared" ref="BB16:BB21" si="18">AO16</f>
        <v>209196.10152699999</v>
      </c>
      <c r="BC16" s="492">
        <f t="shared" ref="BC16:BC21" si="19">(BB16*50%)+BB16</f>
        <v>313794.1522905</v>
      </c>
      <c r="BD16" s="498">
        <f t="shared" ref="BD16:BD21" si="20">SUM(I16:J16)</f>
        <v>1</v>
      </c>
      <c r="BE16" s="492">
        <f t="shared" ref="BE16:BE21" si="21">BC16/BD16</f>
        <v>313794.1522905</v>
      </c>
      <c r="BF16" s="492">
        <f>430.67+53</f>
        <v>483.67</v>
      </c>
      <c r="BG16" s="492">
        <f t="shared" ref="BG16:BG21" si="22">(AV16-10)*10</f>
        <v>-30</v>
      </c>
      <c r="BH16" s="492">
        <f t="shared" ref="BH16:BH21" si="23">SUM(BF16:BG16)</f>
        <v>453.67</v>
      </c>
      <c r="BI16" s="495">
        <v>2266.35</v>
      </c>
      <c r="BJ16" s="400"/>
    </row>
    <row r="17" spans="1:62" customFormat="1" ht="140.25">
      <c r="A17" s="403" t="s">
        <v>5228</v>
      </c>
      <c r="B17" s="404" t="s">
        <v>3042</v>
      </c>
      <c r="C17" s="404" t="s">
        <v>3043</v>
      </c>
      <c r="D17" s="405" t="s">
        <v>3198</v>
      </c>
      <c r="E17" s="465" t="s">
        <v>3199</v>
      </c>
      <c r="F17" s="465" t="s">
        <v>4333</v>
      </c>
      <c r="G17" s="407">
        <v>606469631</v>
      </c>
      <c r="H17" s="404" t="s">
        <v>3200</v>
      </c>
      <c r="I17" s="413">
        <v>1</v>
      </c>
      <c r="J17" s="413" t="s">
        <v>1771</v>
      </c>
      <c r="K17" s="404" t="s">
        <v>3202</v>
      </c>
      <c r="L17" s="404">
        <v>554</v>
      </c>
      <c r="M17" s="408">
        <v>43593</v>
      </c>
      <c r="N17" s="447">
        <v>43589</v>
      </c>
      <c r="O17" s="408">
        <v>43589</v>
      </c>
      <c r="P17" s="408">
        <v>43625</v>
      </c>
      <c r="Q17" s="408">
        <v>43630</v>
      </c>
      <c r="R17" s="411" t="s">
        <v>4332</v>
      </c>
      <c r="S17" s="409" t="s">
        <v>1771</v>
      </c>
      <c r="T17" s="410" t="s">
        <v>1771</v>
      </c>
      <c r="U17" s="412" t="s">
        <v>2972</v>
      </c>
      <c r="V17" s="413" t="s">
        <v>3146</v>
      </c>
      <c r="W17" s="414" t="s">
        <v>3031</v>
      </c>
      <c r="X17" s="334">
        <v>43616</v>
      </c>
      <c r="Y17" s="413" t="s">
        <v>3147</v>
      </c>
      <c r="Z17" s="413" t="s">
        <v>3147</v>
      </c>
      <c r="AA17" s="408">
        <v>43625</v>
      </c>
      <c r="AB17" s="408">
        <v>43625</v>
      </c>
      <c r="AC17" s="413" t="s">
        <v>3096</v>
      </c>
      <c r="AD17" s="413" t="s">
        <v>3223</v>
      </c>
      <c r="AE17" s="413" t="s">
        <v>2146</v>
      </c>
      <c r="AF17" s="408">
        <v>43629</v>
      </c>
      <c r="AG17" s="413">
        <v>224.15</v>
      </c>
      <c r="AH17" s="404" t="s">
        <v>3142</v>
      </c>
      <c r="AI17" s="413" t="s">
        <v>3108</v>
      </c>
      <c r="AJ17" s="415">
        <v>3488.78</v>
      </c>
      <c r="AK17" s="415">
        <v>1722.77</v>
      </c>
      <c r="AL17" s="415">
        <v>1</v>
      </c>
      <c r="AM17" s="415">
        <f t="shared" si="15"/>
        <v>5212.55</v>
      </c>
      <c r="AN17" s="448">
        <v>3.8437000000000001</v>
      </c>
      <c r="AO17" s="448">
        <f t="shared" si="16"/>
        <v>20035.478435000001</v>
      </c>
      <c r="AP17" s="448">
        <v>2003.56</v>
      </c>
      <c r="AQ17" s="448">
        <v>2203.91</v>
      </c>
      <c r="AR17" s="448">
        <v>420.75</v>
      </c>
      <c r="AS17" s="448">
        <v>1933.43</v>
      </c>
      <c r="AT17" s="448">
        <v>5822.56</v>
      </c>
      <c r="AU17" s="448">
        <v>0</v>
      </c>
      <c r="AV17" s="413">
        <v>1</v>
      </c>
      <c r="AW17" s="448">
        <v>214.5</v>
      </c>
      <c r="AX17" s="413" t="s">
        <v>3139</v>
      </c>
      <c r="AY17" s="340">
        <f t="shared" si="17"/>
        <v>43630</v>
      </c>
      <c r="AZ17" s="413" t="s">
        <v>1771</v>
      </c>
      <c r="BA17" s="448">
        <v>1212.9100000000001</v>
      </c>
      <c r="BB17" s="448">
        <f t="shared" si="18"/>
        <v>20035.478435000001</v>
      </c>
      <c r="BC17" s="448">
        <f t="shared" si="19"/>
        <v>30053.217652500003</v>
      </c>
      <c r="BD17" s="460">
        <f t="shared" si="20"/>
        <v>1</v>
      </c>
      <c r="BE17" s="448">
        <f t="shared" si="21"/>
        <v>30053.217652500003</v>
      </c>
      <c r="BF17" s="492">
        <f>430.67+53</f>
        <v>483.67</v>
      </c>
      <c r="BG17" s="448">
        <f t="shared" si="22"/>
        <v>-90</v>
      </c>
      <c r="BH17" s="448">
        <f t="shared" si="23"/>
        <v>393.67</v>
      </c>
      <c r="BI17" s="456">
        <v>1917.2</v>
      </c>
      <c r="BJ17" s="400"/>
    </row>
    <row r="18" spans="1:62" customFormat="1" ht="89.25">
      <c r="A18" s="403" t="s">
        <v>5229</v>
      </c>
      <c r="B18" s="404" t="s">
        <v>3042</v>
      </c>
      <c r="C18" s="404" t="s">
        <v>3043</v>
      </c>
      <c r="D18" s="405" t="s">
        <v>3203</v>
      </c>
      <c r="E18" s="465" t="s">
        <v>3204</v>
      </c>
      <c r="F18" s="465" t="s">
        <v>4335</v>
      </c>
      <c r="G18" s="407">
        <v>606502522</v>
      </c>
      <c r="H18" s="404" t="s">
        <v>3211</v>
      </c>
      <c r="I18" s="413" t="s">
        <v>1771</v>
      </c>
      <c r="J18" s="413">
        <v>1</v>
      </c>
      <c r="K18" s="404" t="s">
        <v>3205</v>
      </c>
      <c r="L18" s="404">
        <f>81.5+961.5+1376+968+967.5</f>
        <v>4354.5</v>
      </c>
      <c r="M18" s="408">
        <v>43600</v>
      </c>
      <c r="N18" s="447">
        <v>43601</v>
      </c>
      <c r="O18" s="447">
        <v>43601</v>
      </c>
      <c r="P18" s="408">
        <v>43632</v>
      </c>
      <c r="Q18" s="408">
        <v>43641</v>
      </c>
      <c r="R18" s="411" t="s">
        <v>4334</v>
      </c>
      <c r="S18" s="409" t="s">
        <v>1771</v>
      </c>
      <c r="T18" s="410" t="s">
        <v>1771</v>
      </c>
      <c r="U18" s="412" t="s">
        <v>2972</v>
      </c>
      <c r="V18" s="413" t="s">
        <v>3146</v>
      </c>
      <c r="W18" s="414" t="s">
        <v>3031</v>
      </c>
      <c r="X18" s="334">
        <v>43619</v>
      </c>
      <c r="Y18" s="413" t="s">
        <v>3147</v>
      </c>
      <c r="Z18" s="413" t="s">
        <v>3147</v>
      </c>
      <c r="AA18" s="408">
        <v>43633</v>
      </c>
      <c r="AB18" s="408">
        <v>43633</v>
      </c>
      <c r="AC18" s="413" t="s">
        <v>3224</v>
      </c>
      <c r="AD18" s="413" t="s">
        <v>3225</v>
      </c>
      <c r="AE18" s="413" t="s">
        <v>2146</v>
      </c>
      <c r="AF18" s="408">
        <v>43640</v>
      </c>
      <c r="AG18" s="413">
        <v>2456.73</v>
      </c>
      <c r="AH18" s="404" t="s">
        <v>3132</v>
      </c>
      <c r="AI18" s="413" t="s">
        <v>3108</v>
      </c>
      <c r="AJ18" s="415">
        <v>37916.75</v>
      </c>
      <c r="AK18" s="415">
        <v>2137.9</v>
      </c>
      <c r="AL18" s="415">
        <v>5</v>
      </c>
      <c r="AM18" s="415">
        <f t="shared" ref="AM18:AM25" si="24">SUM(AJ18:AL18)</f>
        <v>40059.65</v>
      </c>
      <c r="AN18" s="448">
        <v>3.8254999999999999</v>
      </c>
      <c r="AO18" s="448">
        <f t="shared" si="16"/>
        <v>153248.19107500001</v>
      </c>
      <c r="AP18" s="448">
        <v>13214.16</v>
      </c>
      <c r="AQ18" s="448">
        <v>16646.21</v>
      </c>
      <c r="AR18" s="448">
        <v>3218.21</v>
      </c>
      <c r="AS18" s="448">
        <v>14788.46</v>
      </c>
      <c r="AT18" s="448">
        <v>41067.910000000003</v>
      </c>
      <c r="AU18" s="448">
        <v>0</v>
      </c>
      <c r="AV18" s="413">
        <v>4</v>
      </c>
      <c r="AW18" s="448">
        <v>291.2</v>
      </c>
      <c r="AX18" s="413" t="s">
        <v>3139</v>
      </c>
      <c r="AY18" s="340">
        <f t="shared" si="17"/>
        <v>43641</v>
      </c>
      <c r="AZ18" s="413" t="s">
        <v>1771</v>
      </c>
      <c r="BA18" s="448">
        <v>2015.56</v>
      </c>
      <c r="BB18" s="448">
        <f t="shared" si="18"/>
        <v>153248.19107500001</v>
      </c>
      <c r="BC18" s="448">
        <f t="shared" si="19"/>
        <v>229872.28661250003</v>
      </c>
      <c r="BD18" s="460">
        <f t="shared" si="20"/>
        <v>1</v>
      </c>
      <c r="BE18" s="448">
        <f t="shared" si="21"/>
        <v>229872.28661250003</v>
      </c>
      <c r="BF18" s="448">
        <v>483.67</v>
      </c>
      <c r="BG18" s="448">
        <f t="shared" si="22"/>
        <v>-60</v>
      </c>
      <c r="BH18" s="448">
        <f t="shared" si="23"/>
        <v>423.67</v>
      </c>
      <c r="BI18" s="456">
        <v>2326.91</v>
      </c>
      <c r="BJ18" s="400"/>
    </row>
    <row r="19" spans="1:62" customFormat="1" ht="76.5">
      <c r="A19" s="403" t="s">
        <v>5230</v>
      </c>
      <c r="B19" s="404" t="s">
        <v>3042</v>
      </c>
      <c r="C19" s="404" t="s">
        <v>3043</v>
      </c>
      <c r="D19" s="405" t="s">
        <v>3214</v>
      </c>
      <c r="E19" s="465" t="s">
        <v>3215</v>
      </c>
      <c r="F19" s="465" t="s">
        <v>4337</v>
      </c>
      <c r="G19" s="407">
        <v>582594826</v>
      </c>
      <c r="H19" s="404" t="s">
        <v>3219</v>
      </c>
      <c r="I19" s="413" t="s">
        <v>1771</v>
      </c>
      <c r="J19" s="413">
        <v>1</v>
      </c>
      <c r="K19" s="404" t="s">
        <v>3216</v>
      </c>
      <c r="L19" s="404">
        <f>1189.1+1485+928.5+928</f>
        <v>4530.6000000000004</v>
      </c>
      <c r="M19" s="408">
        <v>43614</v>
      </c>
      <c r="N19" s="447">
        <v>43611</v>
      </c>
      <c r="O19" s="447">
        <v>43616</v>
      </c>
      <c r="P19" s="408">
        <v>43646</v>
      </c>
      <c r="Q19" s="408">
        <v>43649</v>
      </c>
      <c r="R19" s="411" t="s">
        <v>4336</v>
      </c>
      <c r="S19" s="409" t="s">
        <v>1771</v>
      </c>
      <c r="T19" s="410" t="s">
        <v>1771</v>
      </c>
      <c r="U19" s="412" t="s">
        <v>3218</v>
      </c>
      <c r="V19" s="413" t="s">
        <v>3146</v>
      </c>
      <c r="W19" s="414" t="s">
        <v>3031</v>
      </c>
      <c r="X19" s="334">
        <v>43643</v>
      </c>
      <c r="Y19" s="413" t="s">
        <v>3147</v>
      </c>
      <c r="Z19" s="413" t="s">
        <v>3147</v>
      </c>
      <c r="AA19" s="408">
        <v>43647</v>
      </c>
      <c r="AB19" s="413"/>
      <c r="AC19" s="413" t="s">
        <v>3096</v>
      </c>
      <c r="AD19" s="413" t="s">
        <v>3233</v>
      </c>
      <c r="AE19" s="413" t="s">
        <v>2146</v>
      </c>
      <c r="AF19" s="408">
        <v>43648</v>
      </c>
      <c r="AG19" s="412">
        <v>3109.5199899999998</v>
      </c>
      <c r="AH19" s="404" t="s">
        <v>3131</v>
      </c>
      <c r="AI19" s="413" t="s">
        <v>3108</v>
      </c>
      <c r="AJ19" s="415">
        <v>49586.239999999998</v>
      </c>
      <c r="AK19" s="415">
        <v>2139.4899999999998</v>
      </c>
      <c r="AL19" s="415">
        <v>4</v>
      </c>
      <c r="AM19" s="415">
        <f t="shared" si="24"/>
        <v>51729.729999999996</v>
      </c>
      <c r="AN19" s="448">
        <v>3.8193000000000001</v>
      </c>
      <c r="AO19" s="448">
        <f t="shared" si="16"/>
        <v>197571.357789</v>
      </c>
      <c r="AP19" s="448">
        <v>15805.72</v>
      </c>
      <c r="AQ19" s="448">
        <v>21337.68</v>
      </c>
      <c r="AR19" s="448">
        <v>4149</v>
      </c>
      <c r="AS19" s="448">
        <v>19065.64</v>
      </c>
      <c r="AT19" s="448">
        <v>52513.05</v>
      </c>
      <c r="AU19" s="448">
        <v>0</v>
      </c>
      <c r="AV19" s="413">
        <v>6</v>
      </c>
      <c r="AW19" s="448">
        <v>332.5</v>
      </c>
      <c r="AX19" s="413" t="s">
        <v>3139</v>
      </c>
      <c r="AY19" s="340">
        <f t="shared" si="17"/>
        <v>43649</v>
      </c>
      <c r="AZ19" s="413" t="s">
        <v>1771</v>
      </c>
      <c r="BA19" s="448">
        <v>1626.99</v>
      </c>
      <c r="BB19" s="448">
        <f t="shared" si="18"/>
        <v>197571.357789</v>
      </c>
      <c r="BC19" s="448">
        <f t="shared" si="19"/>
        <v>296357.03668349999</v>
      </c>
      <c r="BD19" s="460">
        <f t="shared" si="20"/>
        <v>1</v>
      </c>
      <c r="BE19" s="448">
        <f t="shared" si="21"/>
        <v>296357.03668349999</v>
      </c>
      <c r="BF19" s="448">
        <v>483.67</v>
      </c>
      <c r="BG19" s="448">
        <f t="shared" si="22"/>
        <v>-40</v>
      </c>
      <c r="BH19" s="448">
        <f t="shared" si="23"/>
        <v>443.67</v>
      </c>
      <c r="BI19" s="456">
        <v>2301.87</v>
      </c>
      <c r="BJ19" s="400"/>
    </row>
    <row r="20" spans="1:62" customFormat="1" ht="127.5">
      <c r="A20" s="403" t="s">
        <v>5231</v>
      </c>
      <c r="B20" s="404" t="s">
        <v>3042</v>
      </c>
      <c r="C20" s="404" t="s">
        <v>3043</v>
      </c>
      <c r="D20" s="405" t="s">
        <v>3235</v>
      </c>
      <c r="E20" s="465" t="s">
        <v>3239</v>
      </c>
      <c r="F20" s="465"/>
      <c r="G20" s="407" t="s">
        <v>3236</v>
      </c>
      <c r="H20" s="404" t="s">
        <v>3237</v>
      </c>
      <c r="I20" s="413" t="s">
        <v>1771</v>
      </c>
      <c r="J20" s="413">
        <v>1</v>
      </c>
      <c r="K20" s="404">
        <f>13+11</f>
        <v>24</v>
      </c>
      <c r="L20" s="404">
        <f>2596+997.48</f>
        <v>3593.48</v>
      </c>
      <c r="M20" s="408" t="s">
        <v>1771</v>
      </c>
      <c r="N20" s="447" t="s">
        <v>1771</v>
      </c>
      <c r="O20" s="447" t="s">
        <v>1771</v>
      </c>
      <c r="P20" s="408">
        <v>43629</v>
      </c>
      <c r="Q20" s="408">
        <v>43677</v>
      </c>
      <c r="R20" s="411" t="s">
        <v>3244</v>
      </c>
      <c r="S20" s="409" t="s">
        <v>1771</v>
      </c>
      <c r="T20" s="500">
        <v>9155.15</v>
      </c>
      <c r="U20" s="412" t="s">
        <v>1771</v>
      </c>
      <c r="V20" s="413" t="s">
        <v>3154</v>
      </c>
      <c r="W20" s="414" t="s">
        <v>3031</v>
      </c>
      <c r="X20" s="334"/>
      <c r="Y20" s="413" t="s">
        <v>1771</v>
      </c>
      <c r="Z20" s="413" t="s">
        <v>1771</v>
      </c>
      <c r="AA20" s="413" t="s">
        <v>1771</v>
      </c>
      <c r="AB20" s="413" t="s">
        <v>1771</v>
      </c>
      <c r="AC20" s="413" t="s">
        <v>3096</v>
      </c>
      <c r="AD20" s="413" t="s">
        <v>3242</v>
      </c>
      <c r="AE20" s="413" t="s">
        <v>2146</v>
      </c>
      <c r="AF20" s="408">
        <v>43675</v>
      </c>
      <c r="AG20" s="412">
        <v>2292.8679999999999</v>
      </c>
      <c r="AH20" s="404" t="s">
        <v>3238</v>
      </c>
      <c r="AI20" s="413" t="s">
        <v>3108</v>
      </c>
      <c r="AJ20" s="415">
        <v>50361.59</v>
      </c>
      <c r="AK20" s="415">
        <v>1781</v>
      </c>
      <c r="AL20" s="415">
        <v>2</v>
      </c>
      <c r="AM20" s="415">
        <f t="shared" si="24"/>
        <v>52144.59</v>
      </c>
      <c r="AN20" s="448">
        <v>3.7740999999999998</v>
      </c>
      <c r="AO20" s="448">
        <f t="shared" si="16"/>
        <v>196798.89711899997</v>
      </c>
      <c r="AP20" s="448">
        <v>15688.5</v>
      </c>
      <c r="AQ20" s="448">
        <v>21283.360000000001</v>
      </c>
      <c r="AR20" s="448">
        <v>4132.78</v>
      </c>
      <c r="AS20" s="448">
        <v>18991.09</v>
      </c>
      <c r="AT20" s="448">
        <v>52046.86</v>
      </c>
      <c r="AU20" s="448">
        <v>0</v>
      </c>
      <c r="AV20" s="413">
        <v>3</v>
      </c>
      <c r="AW20" s="448">
        <v>267.60000000000002</v>
      </c>
      <c r="AX20" s="413" t="s">
        <v>3139</v>
      </c>
      <c r="AY20" s="340">
        <f t="shared" si="17"/>
        <v>43677</v>
      </c>
      <c r="AZ20" s="413" t="s">
        <v>1771</v>
      </c>
      <c r="BA20" s="448">
        <f>4709.06+2406</f>
        <v>7115.06</v>
      </c>
      <c r="BB20" s="448">
        <f t="shared" si="18"/>
        <v>196798.89711899997</v>
      </c>
      <c r="BC20" s="448">
        <f t="shared" si="19"/>
        <v>295198.34567849996</v>
      </c>
      <c r="BD20" s="460">
        <f t="shared" si="20"/>
        <v>1</v>
      </c>
      <c r="BE20" s="448">
        <f t="shared" si="21"/>
        <v>295198.34567849996</v>
      </c>
      <c r="BF20" s="448">
        <v>483.67</v>
      </c>
      <c r="BG20" s="448">
        <f t="shared" si="22"/>
        <v>-70</v>
      </c>
      <c r="BH20" s="448">
        <f t="shared" si="23"/>
        <v>413.67</v>
      </c>
      <c r="BI20" s="456">
        <v>2005.61</v>
      </c>
      <c r="BJ20" s="400"/>
    </row>
    <row r="21" spans="1:62" customFormat="1" ht="89.25">
      <c r="A21" s="403" t="s">
        <v>5232</v>
      </c>
      <c r="B21" s="404" t="s">
        <v>3042</v>
      </c>
      <c r="C21" s="404" t="s">
        <v>3043</v>
      </c>
      <c r="D21" s="405" t="s">
        <v>3226</v>
      </c>
      <c r="E21" s="465" t="s">
        <v>3227</v>
      </c>
      <c r="F21" s="465" t="s">
        <v>4339</v>
      </c>
      <c r="G21" s="407">
        <v>583126173</v>
      </c>
      <c r="H21" s="404" t="s">
        <v>3229</v>
      </c>
      <c r="I21" s="413">
        <v>1</v>
      </c>
      <c r="J21" s="413" t="s">
        <v>1771</v>
      </c>
      <c r="K21" s="404" t="s">
        <v>3228</v>
      </c>
      <c r="L21" s="404">
        <f>285+39.5+228.5+322.5</f>
        <v>875.5</v>
      </c>
      <c r="M21" s="408">
        <v>43640</v>
      </c>
      <c r="N21" s="447">
        <v>43641</v>
      </c>
      <c r="O21" s="447">
        <v>43641</v>
      </c>
      <c r="P21" s="408">
        <v>43674</v>
      </c>
      <c r="Q21" s="408">
        <v>43684</v>
      </c>
      <c r="R21" s="411" t="s">
        <v>4338</v>
      </c>
      <c r="S21" s="409" t="s">
        <v>1771</v>
      </c>
      <c r="T21" s="410" t="s">
        <v>1771</v>
      </c>
      <c r="U21" s="412" t="s">
        <v>3218</v>
      </c>
      <c r="V21" s="413" t="s">
        <v>3146</v>
      </c>
      <c r="W21" s="414" t="s">
        <v>3031</v>
      </c>
      <c r="X21" s="334">
        <v>43671</v>
      </c>
      <c r="Y21" s="413" t="s">
        <v>3147</v>
      </c>
      <c r="Z21" s="413" t="s">
        <v>3147</v>
      </c>
      <c r="AA21" s="408">
        <v>43676</v>
      </c>
      <c r="AB21" s="413" t="s">
        <v>3252</v>
      </c>
      <c r="AC21" s="413" t="s">
        <v>3096</v>
      </c>
      <c r="AD21" s="413" t="s">
        <v>3251</v>
      </c>
      <c r="AE21" s="413" t="s">
        <v>2146</v>
      </c>
      <c r="AF21" s="408">
        <v>43683</v>
      </c>
      <c r="AG21" s="413">
        <v>358.23</v>
      </c>
      <c r="AH21" s="404" t="s">
        <v>3142</v>
      </c>
      <c r="AI21" s="413" t="s">
        <v>3108</v>
      </c>
      <c r="AJ21" s="415">
        <v>7076.39</v>
      </c>
      <c r="AK21" s="415">
        <v>1770.43</v>
      </c>
      <c r="AL21" s="415">
        <v>4</v>
      </c>
      <c r="AM21" s="415">
        <f t="shared" si="24"/>
        <v>8850.82</v>
      </c>
      <c r="AN21" s="448">
        <v>3.9403999999999999</v>
      </c>
      <c r="AO21" s="448">
        <f t="shared" si="16"/>
        <v>34875.771128</v>
      </c>
      <c r="AP21" s="448">
        <v>3487.59</v>
      </c>
      <c r="AQ21" s="448">
        <v>3836.34</v>
      </c>
      <c r="AR21" s="448">
        <v>732.39</v>
      </c>
      <c r="AS21" s="448">
        <v>3365.52</v>
      </c>
      <c r="AT21" s="448">
        <v>9806.1299999999992</v>
      </c>
      <c r="AU21" s="448">
        <v>0</v>
      </c>
      <c r="AV21" s="413">
        <v>1</v>
      </c>
      <c r="AW21" s="448">
        <v>214.5</v>
      </c>
      <c r="AX21" s="413" t="s">
        <v>3139</v>
      </c>
      <c r="AY21" s="340">
        <f t="shared" si="17"/>
        <v>43684</v>
      </c>
      <c r="AZ21" s="413" t="s">
        <v>1771</v>
      </c>
      <c r="BA21" s="448">
        <v>1920.71</v>
      </c>
      <c r="BB21" s="448">
        <f t="shared" si="18"/>
        <v>34875.771128</v>
      </c>
      <c r="BC21" s="448">
        <f t="shared" si="19"/>
        <v>52313.656692000004</v>
      </c>
      <c r="BD21" s="460">
        <f t="shared" si="20"/>
        <v>1</v>
      </c>
      <c r="BE21" s="448">
        <f t="shared" si="21"/>
        <v>52313.656692000004</v>
      </c>
      <c r="BF21" s="448">
        <v>483.67</v>
      </c>
      <c r="BG21" s="448">
        <f t="shared" si="22"/>
        <v>-90</v>
      </c>
      <c r="BH21" s="448">
        <f t="shared" si="23"/>
        <v>393.67</v>
      </c>
      <c r="BI21" s="456">
        <v>1996.5</v>
      </c>
      <c r="BJ21" s="400"/>
    </row>
    <row r="22" spans="1:62" customFormat="1" ht="102">
      <c r="A22" s="403" t="s">
        <v>5233</v>
      </c>
      <c r="B22" s="404" t="s">
        <v>3042</v>
      </c>
      <c r="C22" s="404" t="s">
        <v>3043</v>
      </c>
      <c r="D22" s="405" t="s">
        <v>3230</v>
      </c>
      <c r="E22" s="465" t="s">
        <v>3231</v>
      </c>
      <c r="F22" s="465" t="s">
        <v>4341</v>
      </c>
      <c r="G22" s="407">
        <v>583391193</v>
      </c>
      <c r="H22" s="404" t="s">
        <v>3234</v>
      </c>
      <c r="I22" s="413" t="s">
        <v>1771</v>
      </c>
      <c r="J22" s="413">
        <v>1</v>
      </c>
      <c r="K22" s="404" t="s">
        <v>3232</v>
      </c>
      <c r="L22" s="404">
        <f>1232.5+1593.5+934.5+930</f>
        <v>4690.5</v>
      </c>
      <c r="M22" s="408">
        <v>43648</v>
      </c>
      <c r="N22" s="447">
        <v>43648</v>
      </c>
      <c r="O22" s="447">
        <v>43648</v>
      </c>
      <c r="P22" s="408">
        <v>43681</v>
      </c>
      <c r="Q22" s="408">
        <v>43691</v>
      </c>
      <c r="R22" s="411" t="s">
        <v>4340</v>
      </c>
      <c r="S22" s="409" t="s">
        <v>1771</v>
      </c>
      <c r="T22" s="410" t="s">
        <v>1771</v>
      </c>
      <c r="U22" s="412" t="s">
        <v>3218</v>
      </c>
      <c r="V22" s="413" t="s">
        <v>3146</v>
      </c>
      <c r="W22" s="414" t="s">
        <v>3031</v>
      </c>
      <c r="X22" s="334">
        <v>43672</v>
      </c>
      <c r="Y22" s="413" t="s">
        <v>3147</v>
      </c>
      <c r="Z22" s="413" t="s">
        <v>3147</v>
      </c>
      <c r="AA22" s="408">
        <v>43684</v>
      </c>
      <c r="AB22" s="413" t="s">
        <v>3252</v>
      </c>
      <c r="AC22" s="413" t="s">
        <v>3096</v>
      </c>
      <c r="AD22" s="413" t="s">
        <v>3257</v>
      </c>
      <c r="AE22" s="413" t="s">
        <v>2146</v>
      </c>
      <c r="AF22" s="408">
        <v>43689</v>
      </c>
      <c r="AG22" s="412">
        <v>3109.5245100000002</v>
      </c>
      <c r="AH22" s="404" t="s">
        <v>3131</v>
      </c>
      <c r="AI22" s="413" t="s">
        <v>3108</v>
      </c>
      <c r="AJ22" s="415">
        <v>49582.7</v>
      </c>
      <c r="AK22" s="415">
        <v>2135.85</v>
      </c>
      <c r="AL22" s="415">
        <v>4</v>
      </c>
      <c r="AM22" s="415">
        <f t="shared" si="24"/>
        <v>51722.549999999996</v>
      </c>
      <c r="AN22" s="448">
        <v>3.9361999999999999</v>
      </c>
      <c r="AO22" s="448">
        <f t="shared" ref="AO22:AO27" si="25">AM22*AN22</f>
        <v>203590.30130999998</v>
      </c>
      <c r="AP22" s="448">
        <v>16287.22</v>
      </c>
      <c r="AQ22" s="448">
        <v>21987.73</v>
      </c>
      <c r="AR22" s="448">
        <v>4275.3900000000003</v>
      </c>
      <c r="AS22" s="448">
        <v>19646.46</v>
      </c>
      <c r="AT22" s="448">
        <v>54095.74</v>
      </c>
      <c r="AU22" s="448">
        <v>0</v>
      </c>
      <c r="AV22" s="413">
        <v>3</v>
      </c>
      <c r="AW22" s="448">
        <v>267.60000000000002</v>
      </c>
      <c r="AX22" s="413" t="s">
        <v>3139</v>
      </c>
      <c r="AY22" s="340">
        <f t="shared" ref="AY22:AY27" si="26">Q22</f>
        <v>43691</v>
      </c>
      <c r="AZ22" s="413" t="s">
        <v>1771</v>
      </c>
      <c r="BA22" s="448">
        <v>1641.03</v>
      </c>
      <c r="BB22" s="448">
        <f t="shared" ref="BB22:BB27" si="27">AO22</f>
        <v>203590.30130999998</v>
      </c>
      <c r="BC22" s="448">
        <f t="shared" ref="BC22:BC27" si="28">(BB22*50%)+BB22</f>
        <v>305385.45196499996</v>
      </c>
      <c r="BD22" s="460">
        <f t="shared" ref="BD22:BD27" si="29">SUM(I22:J22)</f>
        <v>1</v>
      </c>
      <c r="BE22" s="448">
        <f t="shared" ref="BE22:BE27" si="30">BC22/BD22</f>
        <v>305385.45196499996</v>
      </c>
      <c r="BF22" s="448">
        <v>483.67</v>
      </c>
      <c r="BG22" s="448">
        <f t="shared" ref="BG22:BG27" si="31">(AV22-10)*10</f>
        <v>-70</v>
      </c>
      <c r="BH22" s="448">
        <f t="shared" ref="BH22:BH27" si="32">SUM(BF22:BG22)</f>
        <v>413.67</v>
      </c>
      <c r="BI22" s="456">
        <v>2369.2399999999998</v>
      </c>
      <c r="BJ22" s="400"/>
    </row>
    <row r="23" spans="1:62" customFormat="1" ht="189">
      <c r="A23" s="403" t="s">
        <v>5234</v>
      </c>
      <c r="B23" s="404" t="s">
        <v>3042</v>
      </c>
      <c r="C23" s="404" t="s">
        <v>3043</v>
      </c>
      <c r="D23" s="405" t="s">
        <v>3240</v>
      </c>
      <c r="E23" s="465" t="s">
        <v>3241</v>
      </c>
      <c r="F23" s="465" t="s">
        <v>4343</v>
      </c>
      <c r="G23" s="407">
        <v>583914764</v>
      </c>
      <c r="H23" s="404" t="s">
        <v>3243</v>
      </c>
      <c r="I23" s="413" t="s">
        <v>1771</v>
      </c>
      <c r="J23" s="413">
        <v>1</v>
      </c>
      <c r="K23" s="404">
        <f>4+4+4+1+3+3+3+2+4+15+10+5+4+7</f>
        <v>69</v>
      </c>
      <c r="L23" s="404">
        <f>252.6+259.2+259.4+57.6+151.52+149.51+142.52+119.4+355+1105+387.38+399.5+348+48.7</f>
        <v>4035.33</v>
      </c>
      <c r="M23" s="408">
        <v>43671</v>
      </c>
      <c r="N23" s="447">
        <v>43672</v>
      </c>
      <c r="O23" s="447">
        <v>43672</v>
      </c>
      <c r="P23" s="408">
        <v>43705</v>
      </c>
      <c r="Q23" s="408">
        <v>43707</v>
      </c>
      <c r="R23" s="411" t="s">
        <v>4342</v>
      </c>
      <c r="S23" s="409" t="s">
        <v>1771</v>
      </c>
      <c r="T23" s="410" t="s">
        <v>1771</v>
      </c>
      <c r="U23" s="412" t="s">
        <v>3218</v>
      </c>
      <c r="V23" s="413" t="s">
        <v>3154</v>
      </c>
      <c r="W23" s="414" t="s">
        <v>3031</v>
      </c>
      <c r="X23" s="334">
        <v>43697</v>
      </c>
      <c r="Y23" s="413" t="s">
        <v>3261</v>
      </c>
      <c r="Z23" s="413" t="s">
        <v>3262</v>
      </c>
      <c r="AA23" s="408">
        <v>43706</v>
      </c>
      <c r="AB23" s="408">
        <v>43706</v>
      </c>
      <c r="AC23" s="413" t="s">
        <v>3096</v>
      </c>
      <c r="AD23" s="413" t="s">
        <v>3270</v>
      </c>
      <c r="AE23" s="413" t="s">
        <v>2146</v>
      </c>
      <c r="AF23" s="408">
        <v>43706</v>
      </c>
      <c r="AG23" s="412">
        <v>2201.41266</v>
      </c>
      <c r="AH23" s="404" t="s">
        <v>3132</v>
      </c>
      <c r="AI23" s="413" t="s">
        <v>3108</v>
      </c>
      <c r="AJ23" s="415">
        <v>44025.27</v>
      </c>
      <c r="AK23" s="415">
        <v>2040</v>
      </c>
      <c r="AL23" s="415">
        <v>14</v>
      </c>
      <c r="AM23" s="415">
        <f t="shared" si="24"/>
        <v>46079.27</v>
      </c>
      <c r="AN23" s="448">
        <v>4.1558999999999999</v>
      </c>
      <c r="AO23" s="448">
        <f t="shared" si="25"/>
        <v>191500.83819299997</v>
      </c>
      <c r="AP23" s="448">
        <v>21732.22</v>
      </c>
      <c r="AQ23" s="448">
        <v>16914.689999999999</v>
      </c>
      <c r="AR23" s="448">
        <v>4021.52</v>
      </c>
      <c r="AS23" s="448">
        <v>18479.87</v>
      </c>
      <c r="AT23" s="448">
        <v>52097.17</v>
      </c>
      <c r="AU23" s="448">
        <v>0</v>
      </c>
      <c r="AV23" s="413">
        <v>14</v>
      </c>
      <c r="AW23" s="448">
        <v>450.5</v>
      </c>
      <c r="AX23" s="413" t="s">
        <v>3139</v>
      </c>
      <c r="AY23" s="340">
        <f t="shared" si="26"/>
        <v>43707</v>
      </c>
      <c r="AZ23" s="413" t="s">
        <v>1771</v>
      </c>
      <c r="BA23" s="448">
        <v>1300</v>
      </c>
      <c r="BB23" s="448">
        <f t="shared" si="27"/>
        <v>191500.83819299997</v>
      </c>
      <c r="BC23" s="448">
        <f t="shared" si="28"/>
        <v>287251.25728949998</v>
      </c>
      <c r="BD23" s="460">
        <f t="shared" si="29"/>
        <v>1</v>
      </c>
      <c r="BE23" s="448">
        <f t="shared" si="30"/>
        <v>287251.25728949998</v>
      </c>
      <c r="BF23" s="448">
        <v>529.79</v>
      </c>
      <c r="BG23" s="448">
        <f t="shared" si="31"/>
        <v>40</v>
      </c>
      <c r="BH23" s="448">
        <f t="shared" si="32"/>
        <v>569.79</v>
      </c>
      <c r="BI23" s="456">
        <v>2466.85</v>
      </c>
      <c r="BJ23" s="400"/>
    </row>
    <row r="24" spans="1:62" customFormat="1" ht="140.25">
      <c r="A24" s="403" t="s">
        <v>5235</v>
      </c>
      <c r="B24" s="404" t="s">
        <v>3042</v>
      </c>
      <c r="C24" s="404" t="s">
        <v>3043</v>
      </c>
      <c r="D24" s="405" t="s">
        <v>3246</v>
      </c>
      <c r="E24" s="465" t="s">
        <v>3245</v>
      </c>
      <c r="F24" s="465" t="s">
        <v>4345</v>
      </c>
      <c r="G24" s="407">
        <v>584362029</v>
      </c>
      <c r="H24" s="404" t="s">
        <v>3247</v>
      </c>
      <c r="I24" s="413" t="s">
        <v>1771</v>
      </c>
      <c r="J24" s="413">
        <v>1</v>
      </c>
      <c r="K24" s="404">
        <f>5+11+17+9+1</f>
        <v>43</v>
      </c>
      <c r="L24" s="404">
        <f>69.25+1307.24+3171.5+1742.5+63</f>
        <v>6353.49</v>
      </c>
      <c r="M24" s="408">
        <v>43678</v>
      </c>
      <c r="N24" s="447">
        <v>43678</v>
      </c>
      <c r="O24" s="447">
        <v>43678</v>
      </c>
      <c r="P24" s="408">
        <v>43709</v>
      </c>
      <c r="Q24" s="408">
        <v>43719</v>
      </c>
      <c r="R24" s="411" t="s">
        <v>4344</v>
      </c>
      <c r="S24" s="409" t="s">
        <v>1771</v>
      </c>
      <c r="T24" s="410" t="s">
        <v>1771</v>
      </c>
      <c r="U24" s="412" t="s">
        <v>3218</v>
      </c>
      <c r="V24" s="413" t="s">
        <v>3154</v>
      </c>
      <c r="W24" s="414" t="s">
        <v>3031</v>
      </c>
      <c r="X24" s="334">
        <v>43705</v>
      </c>
      <c r="Y24" s="413" t="s">
        <v>3261</v>
      </c>
      <c r="Z24" s="413" t="s">
        <v>3262</v>
      </c>
      <c r="AA24" s="408">
        <v>43713</v>
      </c>
      <c r="AB24" s="413" t="s">
        <v>3252</v>
      </c>
      <c r="AC24" s="413" t="s">
        <v>3096</v>
      </c>
      <c r="AD24" s="413" t="s">
        <v>3276</v>
      </c>
      <c r="AE24" s="413" t="s">
        <v>2146</v>
      </c>
      <c r="AF24" s="408">
        <v>43718</v>
      </c>
      <c r="AG24" s="412">
        <v>4746.41</v>
      </c>
      <c r="AH24" s="404" t="s">
        <v>3132</v>
      </c>
      <c r="AI24" s="413" t="s">
        <v>3108</v>
      </c>
      <c r="AJ24" s="415">
        <v>76542.89</v>
      </c>
      <c r="AK24" s="415">
        <v>1990</v>
      </c>
      <c r="AL24" s="415">
        <v>5</v>
      </c>
      <c r="AM24" s="415">
        <f t="shared" si="24"/>
        <v>78537.89</v>
      </c>
      <c r="AN24" s="467">
        <v>4.0766</v>
      </c>
      <c r="AO24" s="448">
        <f t="shared" si="25"/>
        <v>320167.56237399997</v>
      </c>
      <c r="AP24" s="448">
        <v>12242.53</v>
      </c>
      <c r="AQ24" s="448">
        <v>33240.980000000003</v>
      </c>
      <c r="AR24" s="448">
        <v>6723.53</v>
      </c>
      <c r="AS24" s="448">
        <v>30896.18</v>
      </c>
      <c r="AT24" s="448">
        <v>81821.89</v>
      </c>
      <c r="AU24" s="448">
        <v>0</v>
      </c>
      <c r="AV24" s="413">
        <v>5</v>
      </c>
      <c r="AW24" s="448">
        <v>314.8</v>
      </c>
      <c r="AX24" s="413" t="s">
        <v>3139</v>
      </c>
      <c r="AY24" s="340">
        <f t="shared" si="26"/>
        <v>43719</v>
      </c>
      <c r="AZ24" s="413" t="s">
        <v>1771</v>
      </c>
      <c r="BA24" s="448">
        <v>1300</v>
      </c>
      <c r="BB24" s="448">
        <f t="shared" si="27"/>
        <v>320167.56237399997</v>
      </c>
      <c r="BC24" s="448">
        <f t="shared" si="28"/>
        <v>480251.34356099996</v>
      </c>
      <c r="BD24" s="460">
        <f t="shared" si="29"/>
        <v>1</v>
      </c>
      <c r="BE24" s="448">
        <f t="shared" si="30"/>
        <v>480251.34356099996</v>
      </c>
      <c r="BF24" s="448">
        <v>483.67</v>
      </c>
      <c r="BG24" s="448">
        <f t="shared" si="31"/>
        <v>-50</v>
      </c>
      <c r="BH24" s="448">
        <f t="shared" si="32"/>
        <v>433.67</v>
      </c>
      <c r="BI24" s="456">
        <v>2399.58</v>
      </c>
      <c r="BJ24" s="400"/>
    </row>
    <row r="25" spans="1:62" customFormat="1" ht="191.25">
      <c r="A25" s="403" t="s">
        <v>5236</v>
      </c>
      <c r="B25" s="404" t="s">
        <v>3042</v>
      </c>
      <c r="C25" s="404" t="s">
        <v>3043</v>
      </c>
      <c r="D25" s="405" t="s">
        <v>3248</v>
      </c>
      <c r="E25" s="465" t="s">
        <v>3249</v>
      </c>
      <c r="F25" s="465" t="s">
        <v>4347</v>
      </c>
      <c r="G25" s="407">
        <v>584663646</v>
      </c>
      <c r="H25" s="404" t="s">
        <v>3253</v>
      </c>
      <c r="I25" s="413">
        <v>1</v>
      </c>
      <c r="J25" s="413">
        <v>1</v>
      </c>
      <c r="K25" s="404">
        <f>4+15+6</f>
        <v>25</v>
      </c>
      <c r="L25" s="404">
        <f>334+1036+265.5</f>
        <v>1635.5</v>
      </c>
      <c r="M25" s="408">
        <v>43683</v>
      </c>
      <c r="N25" s="447">
        <v>43683</v>
      </c>
      <c r="O25" s="447">
        <v>43683</v>
      </c>
      <c r="P25" s="408">
        <v>43716</v>
      </c>
      <c r="Q25" s="408">
        <v>43724</v>
      </c>
      <c r="R25" s="411" t="s">
        <v>4346</v>
      </c>
      <c r="S25" s="409" t="s">
        <v>1771</v>
      </c>
      <c r="T25" s="410" t="s">
        <v>1771</v>
      </c>
      <c r="U25" s="412" t="s">
        <v>3218</v>
      </c>
      <c r="V25" s="413" t="s">
        <v>3146</v>
      </c>
      <c r="W25" s="414" t="s">
        <v>3031</v>
      </c>
      <c r="X25" s="334">
        <v>43707</v>
      </c>
      <c r="Y25" s="413" t="s">
        <v>3147</v>
      </c>
      <c r="Z25" s="413" t="s">
        <v>3147</v>
      </c>
      <c r="AA25" s="408">
        <v>43717</v>
      </c>
      <c r="AB25" s="413" t="s">
        <v>3252</v>
      </c>
      <c r="AC25" s="413" t="s">
        <v>3096</v>
      </c>
      <c r="AD25" s="413" t="s">
        <v>3277</v>
      </c>
      <c r="AE25" s="413" t="s">
        <v>2146</v>
      </c>
      <c r="AF25" s="408">
        <v>43721</v>
      </c>
      <c r="AG25" s="413">
        <v>777.34</v>
      </c>
      <c r="AH25" s="404" t="s">
        <v>3250</v>
      </c>
      <c r="AI25" s="413" t="s">
        <v>3108</v>
      </c>
      <c r="AJ25" s="415">
        <v>2923.94</v>
      </c>
      <c r="AK25" s="415">
        <v>3664</v>
      </c>
      <c r="AL25" s="415">
        <v>3</v>
      </c>
      <c r="AM25" s="415">
        <f t="shared" si="24"/>
        <v>6590.9400000000005</v>
      </c>
      <c r="AN25" s="467">
        <v>4.0494000000000003</v>
      </c>
      <c r="AO25" s="448">
        <f t="shared" si="25"/>
        <v>26689.352436000005</v>
      </c>
      <c r="AP25" s="448">
        <v>3684.92</v>
      </c>
      <c r="AQ25" s="448">
        <v>4019.52</v>
      </c>
      <c r="AR25" s="448">
        <v>560.47</v>
      </c>
      <c r="AS25" s="448">
        <v>2575.52</v>
      </c>
      <c r="AT25" s="448">
        <v>8361.3700000000008</v>
      </c>
      <c r="AU25" s="448">
        <v>0</v>
      </c>
      <c r="AV25" s="413">
        <v>3</v>
      </c>
      <c r="AW25" s="448">
        <v>267.60000000000002</v>
      </c>
      <c r="AX25" s="413" t="s">
        <v>3139</v>
      </c>
      <c r="AY25" s="340">
        <f t="shared" si="26"/>
        <v>43724</v>
      </c>
      <c r="AZ25" s="413" t="s">
        <v>1771</v>
      </c>
      <c r="BA25" s="448">
        <v>3067.8</v>
      </c>
      <c r="BB25" s="448">
        <f t="shared" si="27"/>
        <v>26689.352436000005</v>
      </c>
      <c r="BC25" s="448">
        <f t="shared" si="28"/>
        <v>40034.028654000009</v>
      </c>
      <c r="BD25" s="460">
        <f t="shared" si="29"/>
        <v>2</v>
      </c>
      <c r="BE25" s="448">
        <f t="shared" si="30"/>
        <v>20017.014327000004</v>
      </c>
      <c r="BF25" s="448">
        <v>483.67</v>
      </c>
      <c r="BG25" s="448">
        <f t="shared" si="31"/>
        <v>-70</v>
      </c>
      <c r="BH25" s="448">
        <f t="shared" si="32"/>
        <v>413.67</v>
      </c>
      <c r="BI25" s="456">
        <v>4312.8599999999997</v>
      </c>
      <c r="BJ25" s="400"/>
    </row>
    <row r="26" spans="1:62" customFormat="1" ht="216.75">
      <c r="A26" s="479" t="s">
        <v>5237</v>
      </c>
      <c r="B26" s="480" t="s">
        <v>3042</v>
      </c>
      <c r="C26" s="480" t="s">
        <v>3043</v>
      </c>
      <c r="D26" s="481" t="s">
        <v>3254</v>
      </c>
      <c r="E26" s="497" t="s">
        <v>3255</v>
      </c>
      <c r="F26" s="497" t="s">
        <v>4349</v>
      </c>
      <c r="G26" s="482">
        <v>584801590</v>
      </c>
      <c r="H26" s="480" t="s">
        <v>3260</v>
      </c>
      <c r="I26" s="483" t="s">
        <v>1771</v>
      </c>
      <c r="J26" s="483">
        <v>2</v>
      </c>
      <c r="K26" s="480">
        <f>15+15+1+1+1+6+1</f>
        <v>40</v>
      </c>
      <c r="L26" s="480">
        <f>992.5+1037.5+66+67+67+397+66</f>
        <v>2693</v>
      </c>
      <c r="M26" s="484">
        <v>43686</v>
      </c>
      <c r="N26" s="485">
        <v>43686</v>
      </c>
      <c r="O26" s="485">
        <v>43686</v>
      </c>
      <c r="P26" s="484">
        <v>43724</v>
      </c>
      <c r="Q26" s="484">
        <v>43728</v>
      </c>
      <c r="R26" s="486" t="s">
        <v>4348</v>
      </c>
      <c r="S26" s="487" t="s">
        <v>1771</v>
      </c>
      <c r="T26" s="488" t="s">
        <v>1771</v>
      </c>
      <c r="U26" s="489" t="s">
        <v>3218</v>
      </c>
      <c r="V26" s="483" t="s">
        <v>3154</v>
      </c>
      <c r="W26" s="490" t="s">
        <v>3031</v>
      </c>
      <c r="X26" s="321">
        <v>43718</v>
      </c>
      <c r="Y26" s="483" t="s">
        <v>3261</v>
      </c>
      <c r="Z26" s="483" t="s">
        <v>3262</v>
      </c>
      <c r="AA26" s="484">
        <v>43726</v>
      </c>
      <c r="AB26" s="483" t="s">
        <v>3252</v>
      </c>
      <c r="AC26" s="483" t="s">
        <v>3096</v>
      </c>
      <c r="AD26" s="483" t="s">
        <v>3279</v>
      </c>
      <c r="AE26" s="483" t="s">
        <v>2146</v>
      </c>
      <c r="AF26" s="484">
        <v>43727</v>
      </c>
      <c r="AG26" s="483">
        <v>1360</v>
      </c>
      <c r="AH26" s="480" t="s">
        <v>3256</v>
      </c>
      <c r="AI26" s="483" t="s">
        <v>3108</v>
      </c>
      <c r="AJ26" s="491">
        <v>5445.67</v>
      </c>
      <c r="AK26" s="491">
        <v>4030</v>
      </c>
      <c r="AL26" s="491">
        <v>7</v>
      </c>
      <c r="AM26" s="491">
        <f t="shared" ref="AM26:AM31" si="33">SUM(AJ26:AL26)</f>
        <v>9482.67</v>
      </c>
      <c r="AN26" s="492">
        <v>4.0972</v>
      </c>
      <c r="AO26" s="492">
        <f t="shared" si="25"/>
        <v>38852.395524</v>
      </c>
      <c r="AP26" s="492">
        <v>6216.4</v>
      </c>
      <c r="AQ26" s="492">
        <v>6760.33</v>
      </c>
      <c r="AR26" s="492">
        <v>815.9</v>
      </c>
      <c r="AS26" s="492">
        <v>3749.27</v>
      </c>
      <c r="AT26" s="492">
        <v>11976.1</v>
      </c>
      <c r="AU26" s="492">
        <v>0</v>
      </c>
      <c r="AV26" s="483">
        <v>1</v>
      </c>
      <c r="AW26" s="492">
        <v>214.5</v>
      </c>
      <c r="AX26" s="483" t="s">
        <v>3139</v>
      </c>
      <c r="AY26" s="327">
        <f t="shared" si="26"/>
        <v>43728</v>
      </c>
      <c r="AZ26" s="483" t="s">
        <v>1771</v>
      </c>
      <c r="BA26" s="448">
        <v>2600</v>
      </c>
      <c r="BB26" s="492">
        <f t="shared" si="27"/>
        <v>38852.395524</v>
      </c>
      <c r="BC26" s="492">
        <f t="shared" si="28"/>
        <v>58278.593286000003</v>
      </c>
      <c r="BD26" s="498">
        <f t="shared" si="29"/>
        <v>2</v>
      </c>
      <c r="BE26" s="492">
        <f t="shared" si="30"/>
        <v>29139.296643000001</v>
      </c>
      <c r="BF26" s="492"/>
      <c r="BG26" s="492">
        <f t="shared" si="31"/>
        <v>-90</v>
      </c>
      <c r="BH26" s="492">
        <f t="shared" si="32"/>
        <v>-90</v>
      </c>
      <c r="BI26" s="495">
        <v>4709.24</v>
      </c>
      <c r="BJ26" s="400"/>
    </row>
    <row r="27" spans="1:62" customFormat="1" ht="216" customHeight="1">
      <c r="A27" s="403" t="s">
        <v>5238</v>
      </c>
      <c r="B27" s="404" t="s">
        <v>3042</v>
      </c>
      <c r="C27" s="404" t="s">
        <v>3043</v>
      </c>
      <c r="D27" s="405" t="s">
        <v>3258</v>
      </c>
      <c r="E27" s="465" t="s">
        <v>3259</v>
      </c>
      <c r="F27" s="465" t="s">
        <v>4351</v>
      </c>
      <c r="G27" s="407">
        <v>584801876</v>
      </c>
      <c r="H27" s="404" t="s">
        <v>3260</v>
      </c>
      <c r="I27" s="413">
        <v>1</v>
      </c>
      <c r="J27" s="413" t="s">
        <v>1771</v>
      </c>
      <c r="K27" s="404">
        <f>1+1+1+1+1+1</f>
        <v>6</v>
      </c>
      <c r="L27" s="404">
        <f>66+65+66+65.5+65.5+65.5</f>
        <v>393.5</v>
      </c>
      <c r="M27" s="408">
        <v>43692</v>
      </c>
      <c r="N27" s="447">
        <v>43687</v>
      </c>
      <c r="O27" s="447">
        <v>43692</v>
      </c>
      <c r="P27" s="408">
        <v>43724</v>
      </c>
      <c r="Q27" s="408">
        <v>43728</v>
      </c>
      <c r="R27" s="478" t="s">
        <v>4350</v>
      </c>
      <c r="S27" s="409" t="s">
        <v>1771</v>
      </c>
      <c r="T27" s="410" t="s">
        <v>1771</v>
      </c>
      <c r="U27" s="412" t="s">
        <v>3218</v>
      </c>
      <c r="V27" s="413" t="s">
        <v>3154</v>
      </c>
      <c r="W27" s="414" t="s">
        <v>3031</v>
      </c>
      <c r="X27" s="334">
        <v>43718</v>
      </c>
      <c r="Y27" s="413" t="s">
        <v>3261</v>
      </c>
      <c r="Z27" s="413" t="s">
        <v>3262</v>
      </c>
      <c r="AA27" s="408">
        <v>43726</v>
      </c>
      <c r="AB27" s="413" t="s">
        <v>3252</v>
      </c>
      <c r="AC27" s="413" t="s">
        <v>3096</v>
      </c>
      <c r="AD27" s="413" t="s">
        <v>3278</v>
      </c>
      <c r="AE27" s="413" t="s">
        <v>2146</v>
      </c>
      <c r="AF27" s="408">
        <v>43727</v>
      </c>
      <c r="AG27" s="413">
        <v>276</v>
      </c>
      <c r="AH27" s="404" t="s">
        <v>3256</v>
      </c>
      <c r="AI27" s="413" t="s">
        <v>3108</v>
      </c>
      <c r="AJ27" s="415">
        <v>655.35</v>
      </c>
      <c r="AK27" s="415">
        <v>1674</v>
      </c>
      <c r="AL27" s="415">
        <v>6</v>
      </c>
      <c r="AM27" s="415">
        <f t="shared" si="33"/>
        <v>2335.35</v>
      </c>
      <c r="AN27" s="448">
        <v>4.0972</v>
      </c>
      <c r="AO27" s="448">
        <f t="shared" si="25"/>
        <v>9568.3960200000001</v>
      </c>
      <c r="AP27" s="448">
        <v>1530.94</v>
      </c>
      <c r="AQ27" s="448">
        <v>1664.9</v>
      </c>
      <c r="AR27" s="448">
        <v>200.94</v>
      </c>
      <c r="AS27" s="448">
        <v>923.35</v>
      </c>
      <c r="AT27" s="448">
        <v>3183.22</v>
      </c>
      <c r="AU27" s="448">
        <v>0</v>
      </c>
      <c r="AV27" s="413">
        <v>1</v>
      </c>
      <c r="AW27" s="448">
        <v>214.5</v>
      </c>
      <c r="AX27" s="413" t="s">
        <v>3139</v>
      </c>
      <c r="AY27" s="340">
        <f t="shared" si="26"/>
        <v>43728</v>
      </c>
      <c r="AZ27" s="413" t="s">
        <v>1771</v>
      </c>
      <c r="BA27" s="448">
        <v>1300</v>
      </c>
      <c r="BB27" s="448">
        <f t="shared" si="27"/>
        <v>9568.3960200000001</v>
      </c>
      <c r="BC27" s="448">
        <f t="shared" si="28"/>
        <v>14352.59403</v>
      </c>
      <c r="BD27" s="460">
        <f t="shared" si="29"/>
        <v>1</v>
      </c>
      <c r="BE27" s="448">
        <f t="shared" si="30"/>
        <v>14352.59403</v>
      </c>
      <c r="BF27" s="448">
        <v>483.67</v>
      </c>
      <c r="BG27" s="448">
        <f t="shared" si="31"/>
        <v>-90</v>
      </c>
      <c r="BH27" s="448">
        <f t="shared" si="32"/>
        <v>393.67</v>
      </c>
      <c r="BI27" s="456">
        <v>2063.21</v>
      </c>
      <c r="BJ27" s="400"/>
    </row>
    <row r="28" spans="1:62" customFormat="1" ht="114.75">
      <c r="A28" s="403" t="s">
        <v>5239</v>
      </c>
      <c r="B28" s="404" t="s">
        <v>3042</v>
      </c>
      <c r="C28" s="404" t="s">
        <v>3043</v>
      </c>
      <c r="D28" s="405" t="s">
        <v>3266</v>
      </c>
      <c r="E28" s="465" t="s">
        <v>3267</v>
      </c>
      <c r="F28" s="465" t="s">
        <v>4353</v>
      </c>
      <c r="G28" s="407">
        <v>584680485</v>
      </c>
      <c r="H28" s="404" t="s">
        <v>3271</v>
      </c>
      <c r="I28" s="413" t="s">
        <v>1771</v>
      </c>
      <c r="J28" s="413">
        <v>1</v>
      </c>
      <c r="K28" s="404">
        <f>5+6+8+1+5+5</f>
        <v>30</v>
      </c>
      <c r="L28" s="404">
        <f>1062.5+737.5+1074.5+130+615.5+995.5</f>
        <v>4615.5</v>
      </c>
      <c r="M28" s="408">
        <v>43704</v>
      </c>
      <c r="N28" s="447">
        <v>43704</v>
      </c>
      <c r="O28" s="447">
        <v>43704</v>
      </c>
      <c r="P28" s="408">
        <v>43737</v>
      </c>
      <c r="Q28" s="408">
        <v>43746</v>
      </c>
      <c r="R28" s="478" t="s">
        <v>4352</v>
      </c>
      <c r="S28" s="409" t="s">
        <v>1771</v>
      </c>
      <c r="T28" s="410" t="s">
        <v>1771</v>
      </c>
      <c r="U28" s="412" t="s">
        <v>3218</v>
      </c>
      <c r="V28" s="413" t="s">
        <v>3146</v>
      </c>
      <c r="W28" s="414" t="s">
        <v>3031</v>
      </c>
      <c r="X28" s="334">
        <v>43733</v>
      </c>
      <c r="Y28" s="413" t="s">
        <v>3147</v>
      </c>
      <c r="Z28" s="413" t="s">
        <v>3147</v>
      </c>
      <c r="AA28" s="408">
        <v>43738</v>
      </c>
      <c r="AB28" s="413" t="s">
        <v>3252</v>
      </c>
      <c r="AC28" s="413" t="s">
        <v>3096</v>
      </c>
      <c r="AD28" s="413" t="s">
        <v>3287</v>
      </c>
      <c r="AE28" s="413" t="s">
        <v>2146</v>
      </c>
      <c r="AF28" s="408">
        <v>43745</v>
      </c>
      <c r="AG28" s="412">
        <v>3221.5884999999998</v>
      </c>
      <c r="AH28" s="404" t="s">
        <v>3268</v>
      </c>
      <c r="AI28" s="413" t="s">
        <v>3108</v>
      </c>
      <c r="AJ28" s="415">
        <v>94921.45</v>
      </c>
      <c r="AK28" s="415">
        <v>2040</v>
      </c>
      <c r="AL28" s="415">
        <v>6</v>
      </c>
      <c r="AM28" s="415">
        <f t="shared" si="33"/>
        <v>96967.45</v>
      </c>
      <c r="AN28" s="467">
        <v>4.0609999999999999</v>
      </c>
      <c r="AO28" s="448">
        <f t="shared" ref="AO28:AO38" si="34">AM28*AN28</f>
        <v>393784.81445000001</v>
      </c>
      <c r="AP28" s="448">
        <v>33023.379999999997</v>
      </c>
      <c r="AQ28" s="448">
        <v>43330.28</v>
      </c>
      <c r="AR28" s="448">
        <v>8269.49</v>
      </c>
      <c r="AS28" s="448">
        <v>38000.269999999997</v>
      </c>
      <c r="AT28" s="448">
        <v>104472.93</v>
      </c>
      <c r="AU28" s="448">
        <v>0</v>
      </c>
      <c r="AV28" s="413">
        <v>9</v>
      </c>
      <c r="AW28" s="448">
        <v>385.6</v>
      </c>
      <c r="AX28" s="413" t="s">
        <v>3139</v>
      </c>
      <c r="AY28" s="340">
        <f t="shared" ref="AY28:AY38" si="35">Q28</f>
        <v>43746</v>
      </c>
      <c r="AZ28" s="413" t="s">
        <v>1771</v>
      </c>
      <c r="BA28" s="448">
        <v>2084.63</v>
      </c>
      <c r="BB28" s="448">
        <f t="shared" ref="BB28:BB38" si="36">AO28</f>
        <v>393784.81445000001</v>
      </c>
      <c r="BC28" s="448">
        <f t="shared" ref="BC28:BC38" si="37">(BB28*50%)+BB28</f>
        <v>590677.22167500004</v>
      </c>
      <c r="BD28" s="460">
        <f t="shared" ref="BD28:BD38" si="38">SUM(I28:J28)</f>
        <v>1</v>
      </c>
      <c r="BE28" s="448">
        <f t="shared" ref="BE28:BE38" si="39">BC28/BD28</f>
        <v>590677.22167500004</v>
      </c>
      <c r="BF28" s="448">
        <v>483.67</v>
      </c>
      <c r="BG28" s="448">
        <f t="shared" ref="BG28:BG38" si="40">(AV28-10)*10</f>
        <v>-10</v>
      </c>
      <c r="BH28" s="448">
        <f t="shared" ref="BH28:BH38" si="41">SUM(BF28:BG28)</f>
        <v>473.67</v>
      </c>
      <c r="BI28" s="456">
        <v>2468.38</v>
      </c>
      <c r="BJ28" s="400"/>
    </row>
    <row r="29" spans="1:62" customFormat="1" ht="162">
      <c r="A29" s="479" t="s">
        <v>5240</v>
      </c>
      <c r="B29" s="480" t="s">
        <v>3042</v>
      </c>
      <c r="C29" s="480" t="s">
        <v>3043</v>
      </c>
      <c r="D29" s="481" t="s">
        <v>3263</v>
      </c>
      <c r="E29" s="497" t="s">
        <v>3264</v>
      </c>
      <c r="F29" s="497" t="s">
        <v>4355</v>
      </c>
      <c r="G29" s="482">
        <v>584680316</v>
      </c>
      <c r="H29" s="480" t="s">
        <v>3269</v>
      </c>
      <c r="I29" s="483" t="s">
        <v>1771</v>
      </c>
      <c r="J29" s="483">
        <v>1</v>
      </c>
      <c r="K29" s="480">
        <f>1+6+10+5+1+1+1+1+1+1+4+4</f>
        <v>36</v>
      </c>
      <c r="L29" s="480">
        <f>121.8+651.5+1864.5+365.8+65+66.5+65.5+65.5+68.5+67.5+171+171</f>
        <v>3744.1000000000004</v>
      </c>
      <c r="M29" s="484">
        <v>43700</v>
      </c>
      <c r="N29" s="485">
        <v>43702</v>
      </c>
      <c r="O29" s="485">
        <v>43702</v>
      </c>
      <c r="P29" s="484">
        <v>43734</v>
      </c>
      <c r="Q29" s="484">
        <v>43747</v>
      </c>
      <c r="R29" s="502" t="s">
        <v>4354</v>
      </c>
      <c r="S29" s="487" t="s">
        <v>1771</v>
      </c>
      <c r="T29" s="488" t="s">
        <v>1771</v>
      </c>
      <c r="U29" s="489" t="s">
        <v>3218</v>
      </c>
      <c r="V29" s="483" t="s">
        <v>3154</v>
      </c>
      <c r="W29" s="490" t="s">
        <v>3031</v>
      </c>
      <c r="X29" s="321">
        <v>43726</v>
      </c>
      <c r="Y29" s="483" t="s">
        <v>3261</v>
      </c>
      <c r="Z29" s="483" t="s">
        <v>3262</v>
      </c>
      <c r="AA29" s="484">
        <v>43738</v>
      </c>
      <c r="AB29" s="483" t="s">
        <v>3252</v>
      </c>
      <c r="AC29" s="483" t="s">
        <v>3096</v>
      </c>
      <c r="AD29" s="483" t="s">
        <v>3286</v>
      </c>
      <c r="AE29" s="483" t="s">
        <v>2146</v>
      </c>
      <c r="AF29" s="484">
        <v>43745</v>
      </c>
      <c r="AG29" s="489">
        <v>2445.6647400000002</v>
      </c>
      <c r="AH29" s="480" t="s">
        <v>3265</v>
      </c>
      <c r="AI29" s="483" t="s">
        <v>3108</v>
      </c>
      <c r="AJ29" s="491">
        <v>52448.61</v>
      </c>
      <c r="AK29" s="491">
        <v>2040</v>
      </c>
      <c r="AL29" s="491">
        <v>12</v>
      </c>
      <c r="AM29" s="491">
        <f t="shared" si="33"/>
        <v>54500.61</v>
      </c>
      <c r="AN29" s="503">
        <v>4.0609999999999999</v>
      </c>
      <c r="AO29" s="492">
        <f t="shared" si="34"/>
        <v>221326.97721000001</v>
      </c>
      <c r="AP29" s="492">
        <v>19723.330000000002</v>
      </c>
      <c r="AQ29" s="492">
        <v>25247.23</v>
      </c>
      <c r="AR29" s="492">
        <v>4647.8900000000003</v>
      </c>
      <c r="AS29" s="492">
        <v>21358.07</v>
      </c>
      <c r="AT29" s="492">
        <v>59255.13</v>
      </c>
      <c r="AU29" s="492">
        <v>0</v>
      </c>
      <c r="AV29" s="483">
        <v>11</v>
      </c>
      <c r="AW29" s="492">
        <v>415.1</v>
      </c>
      <c r="AX29" s="483" t="s">
        <v>3139</v>
      </c>
      <c r="AY29" s="327">
        <f t="shared" si="35"/>
        <v>43747</v>
      </c>
      <c r="AZ29" s="483" t="s">
        <v>1771</v>
      </c>
      <c r="BA29" s="492">
        <v>1300</v>
      </c>
      <c r="BB29" s="492">
        <f t="shared" si="36"/>
        <v>221326.97721000001</v>
      </c>
      <c r="BC29" s="492">
        <f t="shared" si="37"/>
        <v>331990.465815</v>
      </c>
      <c r="BD29" s="498">
        <f t="shared" si="38"/>
        <v>1</v>
      </c>
      <c r="BE29" s="492">
        <f t="shared" si="39"/>
        <v>331990.465815</v>
      </c>
      <c r="BF29" s="492">
        <v>495.2</v>
      </c>
      <c r="BG29" s="492">
        <f t="shared" si="40"/>
        <v>10</v>
      </c>
      <c r="BH29" s="492">
        <f t="shared" si="41"/>
        <v>505.2</v>
      </c>
      <c r="BI29" s="495">
        <v>2468.38</v>
      </c>
      <c r="BJ29" s="400"/>
    </row>
    <row r="30" spans="1:62" customFormat="1" ht="148.5">
      <c r="A30" s="403" t="s">
        <v>5241</v>
      </c>
      <c r="B30" s="404" t="s">
        <v>3042</v>
      </c>
      <c r="C30" s="404" t="s">
        <v>3043</v>
      </c>
      <c r="D30" s="405" t="s">
        <v>3272</v>
      </c>
      <c r="E30" s="465" t="s">
        <v>3273</v>
      </c>
      <c r="F30" s="465" t="s">
        <v>4357</v>
      </c>
      <c r="G30" s="407">
        <v>584680318</v>
      </c>
      <c r="H30" s="404" t="s">
        <v>3275</v>
      </c>
      <c r="I30" s="413" t="s">
        <v>1771</v>
      </c>
      <c r="J30" s="413">
        <v>1</v>
      </c>
      <c r="K30" s="404">
        <f>6+8+1+1+1+1+1+1+1+1+5</f>
        <v>27</v>
      </c>
      <c r="L30" s="404">
        <f>739.5+1017.5+65+65.5+66+64.5+65.5+67+65+64.5+340</f>
        <v>2620</v>
      </c>
      <c r="M30" s="408">
        <v>43710</v>
      </c>
      <c r="N30" s="447">
        <v>43707</v>
      </c>
      <c r="O30" s="447">
        <v>43712</v>
      </c>
      <c r="P30" s="408">
        <v>43738</v>
      </c>
      <c r="Q30" s="408">
        <v>43747</v>
      </c>
      <c r="R30" s="478" t="s">
        <v>4356</v>
      </c>
      <c r="S30" s="409" t="s">
        <v>1771</v>
      </c>
      <c r="T30" s="410" t="s">
        <v>1771</v>
      </c>
      <c r="U30" s="412" t="s">
        <v>3218</v>
      </c>
      <c r="V30" s="413" t="s">
        <v>3154</v>
      </c>
      <c r="W30" s="414" t="s">
        <v>3031</v>
      </c>
      <c r="X30" s="334">
        <v>43733</v>
      </c>
      <c r="Y30" s="413" t="s">
        <v>3261</v>
      </c>
      <c r="Z30" s="413" t="s">
        <v>3262</v>
      </c>
      <c r="AA30" s="408">
        <v>43741</v>
      </c>
      <c r="AB30" s="413" t="s">
        <v>3252</v>
      </c>
      <c r="AC30" s="413" t="s">
        <v>3096</v>
      </c>
      <c r="AD30" s="413" t="s">
        <v>3288</v>
      </c>
      <c r="AE30" s="413" t="s">
        <v>2146</v>
      </c>
      <c r="AF30" s="408">
        <v>43745</v>
      </c>
      <c r="AG30" s="414">
        <v>1563</v>
      </c>
      <c r="AH30" s="404" t="s">
        <v>3274</v>
      </c>
      <c r="AI30" s="413" t="s">
        <v>3108</v>
      </c>
      <c r="AJ30" s="415">
        <v>16382.36</v>
      </c>
      <c r="AK30" s="415">
        <v>1990</v>
      </c>
      <c r="AL30" s="415">
        <v>11</v>
      </c>
      <c r="AM30" s="415">
        <f t="shared" si="33"/>
        <v>18383.36</v>
      </c>
      <c r="AN30" s="467">
        <v>4.0609999999999999</v>
      </c>
      <c r="AO30" s="448">
        <f t="shared" si="34"/>
        <v>74654.824959999998</v>
      </c>
      <c r="AP30" s="448">
        <v>6976.85</v>
      </c>
      <c r="AQ30" s="448">
        <v>8891.39</v>
      </c>
      <c r="AR30" s="448">
        <v>1567.75</v>
      </c>
      <c r="AS30" s="448">
        <v>7204.19</v>
      </c>
      <c r="AT30" s="448">
        <v>20433.43</v>
      </c>
      <c r="AU30" s="448">
        <v>0</v>
      </c>
      <c r="AV30" s="413">
        <v>3</v>
      </c>
      <c r="AW30" s="448">
        <v>267.60000000000002</v>
      </c>
      <c r="AX30" s="413" t="s">
        <v>3139</v>
      </c>
      <c r="AY30" s="340">
        <f t="shared" si="35"/>
        <v>43747</v>
      </c>
      <c r="AZ30" s="413" t="s">
        <v>1771</v>
      </c>
      <c r="BA30" s="448">
        <v>1300</v>
      </c>
      <c r="BB30" s="448">
        <f t="shared" si="36"/>
        <v>74654.824959999998</v>
      </c>
      <c r="BC30" s="448">
        <f t="shared" si="37"/>
        <v>111982.23744</v>
      </c>
      <c r="BD30" s="460">
        <f t="shared" si="38"/>
        <v>1</v>
      </c>
      <c r="BE30" s="448">
        <f t="shared" si="39"/>
        <v>111982.23744</v>
      </c>
      <c r="BF30" s="448">
        <v>483.67</v>
      </c>
      <c r="BG30" s="448">
        <f t="shared" si="40"/>
        <v>-70</v>
      </c>
      <c r="BH30" s="448">
        <f t="shared" si="41"/>
        <v>413.67</v>
      </c>
      <c r="BI30" s="456">
        <v>2414.36</v>
      </c>
      <c r="BJ30" s="400"/>
    </row>
    <row r="31" spans="1:62" customFormat="1" ht="153.75" customHeight="1">
      <c r="A31" s="403" t="s">
        <v>5242</v>
      </c>
      <c r="B31" s="404" t="s">
        <v>3042</v>
      </c>
      <c r="C31" s="404" t="s">
        <v>3043</v>
      </c>
      <c r="D31" s="405" t="s">
        <v>3280</v>
      </c>
      <c r="E31" s="465" t="s">
        <v>3281</v>
      </c>
      <c r="F31" s="465" t="s">
        <v>4359</v>
      </c>
      <c r="G31" s="407">
        <v>586193978</v>
      </c>
      <c r="H31" s="404" t="s">
        <v>3282</v>
      </c>
      <c r="I31" s="413" t="s">
        <v>1771</v>
      </c>
      <c r="J31" s="413">
        <v>1</v>
      </c>
      <c r="K31" s="404">
        <f>2+1+5+4+5</f>
        <v>17</v>
      </c>
      <c r="L31" s="404">
        <f>161.5+67+344.5+461.63+771.27</f>
        <v>1805.9</v>
      </c>
      <c r="M31" s="408">
        <v>43728</v>
      </c>
      <c r="N31" s="447">
        <v>43728</v>
      </c>
      <c r="O31" s="447">
        <v>43728</v>
      </c>
      <c r="P31" s="408">
        <v>43758</v>
      </c>
      <c r="Q31" s="408">
        <v>43766</v>
      </c>
      <c r="R31" s="478" t="s">
        <v>4358</v>
      </c>
      <c r="S31" s="409" t="s">
        <v>1771</v>
      </c>
      <c r="T31" s="410" t="s">
        <v>1771</v>
      </c>
      <c r="U31" s="412" t="s">
        <v>3218</v>
      </c>
      <c r="V31" s="413" t="s">
        <v>3154</v>
      </c>
      <c r="W31" s="414" t="s">
        <v>3031</v>
      </c>
      <c r="X31" s="334">
        <v>43753</v>
      </c>
      <c r="Y31" s="413" t="s">
        <v>3261</v>
      </c>
      <c r="Z31" s="413" t="s">
        <v>3262</v>
      </c>
      <c r="AA31" s="408">
        <v>43760</v>
      </c>
      <c r="AB31" s="413" t="s">
        <v>3298</v>
      </c>
      <c r="AC31" s="413" t="s">
        <v>3096</v>
      </c>
      <c r="AD31" s="413" t="s">
        <v>3299</v>
      </c>
      <c r="AE31" s="413" t="s">
        <v>2146</v>
      </c>
      <c r="AF31" s="408">
        <v>43763</v>
      </c>
      <c r="AG31" s="412">
        <v>1057.47</v>
      </c>
      <c r="AH31" s="404" t="s">
        <v>3283</v>
      </c>
      <c r="AI31" s="413" t="s">
        <v>3108</v>
      </c>
      <c r="AJ31" s="415">
        <v>25178</v>
      </c>
      <c r="AK31" s="415">
        <v>1990</v>
      </c>
      <c r="AL31" s="415">
        <v>5</v>
      </c>
      <c r="AM31" s="415">
        <f t="shared" si="33"/>
        <v>27173</v>
      </c>
      <c r="AN31" s="467">
        <v>4.0088999999999997</v>
      </c>
      <c r="AO31" s="448">
        <f t="shared" si="34"/>
        <v>108933.8397</v>
      </c>
      <c r="AP31" s="448">
        <v>9224.7800000000007</v>
      </c>
      <c r="AQ31" s="448">
        <v>12081.46</v>
      </c>
      <c r="AR31" s="448">
        <v>2287.61</v>
      </c>
      <c r="AS31" s="448">
        <v>10512.12</v>
      </c>
      <c r="AT31" s="448">
        <v>29328.16</v>
      </c>
      <c r="AU31" s="448">
        <v>0</v>
      </c>
      <c r="AV31" s="413">
        <v>3</v>
      </c>
      <c r="AW31" s="448">
        <v>267.60000000000002</v>
      </c>
      <c r="AX31" s="413" t="s">
        <v>3139</v>
      </c>
      <c r="AY31" s="340">
        <f t="shared" si="35"/>
        <v>43766</v>
      </c>
      <c r="AZ31" s="413" t="s">
        <v>1771</v>
      </c>
      <c r="BA31" s="448">
        <v>1300</v>
      </c>
      <c r="BB31" s="448">
        <f t="shared" si="36"/>
        <v>108933.8397</v>
      </c>
      <c r="BC31" s="448">
        <f t="shared" si="37"/>
        <v>163400.75954999999</v>
      </c>
      <c r="BD31" s="460">
        <f t="shared" si="38"/>
        <v>1</v>
      </c>
      <c r="BE31" s="448">
        <f t="shared" si="39"/>
        <v>163400.75954999999</v>
      </c>
      <c r="BF31" s="448">
        <v>406.47</v>
      </c>
      <c r="BG31" s="448">
        <f t="shared" si="40"/>
        <v>-70</v>
      </c>
      <c r="BH31" s="448">
        <f t="shared" si="41"/>
        <v>336.47</v>
      </c>
      <c r="BI31" s="456">
        <v>2380.13</v>
      </c>
      <c r="BJ31" s="400"/>
    </row>
    <row r="32" spans="1:62" customFormat="1" ht="153">
      <c r="A32" s="403" t="s">
        <v>5243</v>
      </c>
      <c r="B32" s="404" t="s">
        <v>3042</v>
      </c>
      <c r="C32" s="404" t="s">
        <v>3043</v>
      </c>
      <c r="D32" s="405" t="s">
        <v>3284</v>
      </c>
      <c r="E32" s="465" t="s">
        <v>3285</v>
      </c>
      <c r="F32" s="465" t="s">
        <v>4361</v>
      </c>
      <c r="G32" s="407">
        <v>585710220</v>
      </c>
      <c r="H32" s="404" t="s">
        <v>3303</v>
      </c>
      <c r="I32" s="413" t="s">
        <v>1771</v>
      </c>
      <c r="J32" s="413">
        <v>1</v>
      </c>
      <c r="K32" s="404">
        <f>4+5+1+1+1+1+1+1+1</f>
        <v>16</v>
      </c>
      <c r="L32" s="404">
        <f>325.5+792.5+66.5+64.5+65.5+65+66.5+66+65.5</f>
        <v>1577.5</v>
      </c>
      <c r="M32" s="408" t="s">
        <v>1771</v>
      </c>
      <c r="N32" s="447">
        <v>43737</v>
      </c>
      <c r="O32" s="447">
        <v>43741</v>
      </c>
      <c r="P32" s="408">
        <v>43772</v>
      </c>
      <c r="Q32" s="408">
        <v>43775</v>
      </c>
      <c r="R32" s="478" t="s">
        <v>4360</v>
      </c>
      <c r="S32" s="409" t="s">
        <v>1771</v>
      </c>
      <c r="T32" s="410" t="s">
        <v>1771</v>
      </c>
      <c r="U32" s="412" t="s">
        <v>3218</v>
      </c>
      <c r="V32" s="413" t="s">
        <v>3146</v>
      </c>
      <c r="W32" s="414" t="s">
        <v>3031</v>
      </c>
      <c r="X32" s="334">
        <v>43768</v>
      </c>
      <c r="Y32" s="413" t="s">
        <v>3147</v>
      </c>
      <c r="Z32" s="413" t="s">
        <v>3147</v>
      </c>
      <c r="AA32" s="408">
        <v>43773</v>
      </c>
      <c r="AB32" s="413" t="s">
        <v>3252</v>
      </c>
      <c r="AC32" s="413" t="s">
        <v>3096</v>
      </c>
      <c r="AD32" s="413" t="s">
        <v>3307</v>
      </c>
      <c r="AE32" s="413" t="s">
        <v>2146</v>
      </c>
      <c r="AF32" s="408">
        <v>43773</v>
      </c>
      <c r="AG32" s="413">
        <v>985.74</v>
      </c>
      <c r="AH32" s="404" t="s">
        <v>3283</v>
      </c>
      <c r="AI32" s="413" t="s">
        <v>3108</v>
      </c>
      <c r="AJ32" s="415">
        <v>17450.13</v>
      </c>
      <c r="AK32" s="415">
        <v>1990</v>
      </c>
      <c r="AL32" s="415">
        <v>9</v>
      </c>
      <c r="AM32" s="415">
        <f t="shared" ref="AM32:AM38" si="42">SUM(AJ32:AL32)</f>
        <v>19449.13</v>
      </c>
      <c r="AN32" s="467">
        <v>3.9786000000000001</v>
      </c>
      <c r="AO32" s="448">
        <f t="shared" si="34"/>
        <v>77380.30861800001</v>
      </c>
      <c r="AP32" s="448">
        <v>6955.19</v>
      </c>
      <c r="AQ32" s="448">
        <v>8839.7000000000007</v>
      </c>
      <c r="AR32" s="448">
        <v>1624.98</v>
      </c>
      <c r="AS32" s="448">
        <v>7467.2</v>
      </c>
      <c r="AT32" s="448">
        <v>21083.200000000001</v>
      </c>
      <c r="AU32" s="448">
        <v>0</v>
      </c>
      <c r="AV32" s="413">
        <v>4</v>
      </c>
      <c r="AW32" s="448">
        <v>291.2</v>
      </c>
      <c r="AX32" s="413" t="s">
        <v>3139</v>
      </c>
      <c r="AY32" s="340">
        <f t="shared" si="35"/>
        <v>43775</v>
      </c>
      <c r="AZ32" s="413" t="s">
        <v>1771</v>
      </c>
      <c r="BA32" s="448">
        <v>1346.66</v>
      </c>
      <c r="BB32" s="448">
        <f t="shared" si="36"/>
        <v>77380.30861800001</v>
      </c>
      <c r="BC32" s="448">
        <f t="shared" si="37"/>
        <v>116070.46292700002</v>
      </c>
      <c r="BD32" s="460">
        <f t="shared" si="38"/>
        <v>1</v>
      </c>
      <c r="BE32" s="448">
        <f t="shared" si="39"/>
        <v>116070.46292700002</v>
      </c>
      <c r="BF32" s="448">
        <v>506.47</v>
      </c>
      <c r="BG32" s="448">
        <f t="shared" si="40"/>
        <v>-60</v>
      </c>
      <c r="BH32" s="448">
        <f t="shared" si="41"/>
        <v>446.47</v>
      </c>
      <c r="BI32" s="456">
        <v>2326.8000000000002</v>
      </c>
      <c r="BJ32" s="400"/>
    </row>
    <row r="33" spans="1:62" customFormat="1" ht="153">
      <c r="A33" s="403" t="s">
        <v>5244</v>
      </c>
      <c r="B33" s="404" t="s">
        <v>3042</v>
      </c>
      <c r="C33" s="404" t="s">
        <v>3043</v>
      </c>
      <c r="D33" s="405" t="s">
        <v>3289</v>
      </c>
      <c r="E33" s="465" t="s">
        <v>3290</v>
      </c>
      <c r="F33" s="465" t="s">
        <v>4363</v>
      </c>
      <c r="G33" s="407">
        <v>585710212</v>
      </c>
      <c r="H33" s="404" t="s">
        <v>3292</v>
      </c>
      <c r="I33" s="413">
        <v>1</v>
      </c>
      <c r="J33" s="413" t="s">
        <v>1771</v>
      </c>
      <c r="K33" s="404">
        <f>5+7+5</f>
        <v>17</v>
      </c>
      <c r="L33" s="404">
        <f>584.94+949.5+804.5</f>
        <v>2338.94</v>
      </c>
      <c r="M33" s="408">
        <v>43746</v>
      </c>
      <c r="N33" s="447">
        <v>43746</v>
      </c>
      <c r="O33" s="447">
        <v>43746</v>
      </c>
      <c r="P33" s="408">
        <v>43779</v>
      </c>
      <c r="Q33" s="408">
        <v>43782</v>
      </c>
      <c r="R33" s="478" t="s">
        <v>4362</v>
      </c>
      <c r="S33" s="409" t="s">
        <v>1771</v>
      </c>
      <c r="T33" s="410" t="s">
        <v>1771</v>
      </c>
      <c r="U33" s="412" t="s">
        <v>3218</v>
      </c>
      <c r="V33" s="413" t="s">
        <v>3146</v>
      </c>
      <c r="W33" s="414" t="s">
        <v>3031</v>
      </c>
      <c r="X33" s="334">
        <v>43774</v>
      </c>
      <c r="Y33" s="413" t="s">
        <v>3147</v>
      </c>
      <c r="Z33" s="413" t="s">
        <v>3147</v>
      </c>
      <c r="AA33" s="408">
        <v>43781</v>
      </c>
      <c r="AB33" s="413" t="s">
        <v>3252</v>
      </c>
      <c r="AC33" s="413" t="s">
        <v>3096</v>
      </c>
      <c r="AD33" s="413" t="s">
        <v>3312</v>
      </c>
      <c r="AE33" s="413" t="s">
        <v>2146</v>
      </c>
      <c r="AF33" s="408">
        <v>43781</v>
      </c>
      <c r="AG33" s="412">
        <v>1776.2623000000001</v>
      </c>
      <c r="AH33" s="404" t="s">
        <v>3268</v>
      </c>
      <c r="AI33" s="413" t="s">
        <v>3108</v>
      </c>
      <c r="AJ33" s="415">
        <v>38278.25</v>
      </c>
      <c r="AK33" s="415">
        <v>1624</v>
      </c>
      <c r="AL33" s="415">
        <v>3</v>
      </c>
      <c r="AM33" s="415">
        <f t="shared" si="42"/>
        <v>39905.25</v>
      </c>
      <c r="AN33" s="467">
        <v>4.1558999999999999</v>
      </c>
      <c r="AO33" s="448">
        <f t="shared" si="34"/>
        <v>165842.22847500001</v>
      </c>
      <c r="AP33" s="448">
        <v>3493.99</v>
      </c>
      <c r="AQ33" s="448">
        <v>16933.599999999999</v>
      </c>
      <c r="AR33" s="448">
        <v>3482.69</v>
      </c>
      <c r="AS33" s="448">
        <v>16003.77</v>
      </c>
      <c r="AT33" s="448">
        <v>41968.52</v>
      </c>
      <c r="AU33" s="448">
        <v>0</v>
      </c>
      <c r="AV33" s="413">
        <v>6</v>
      </c>
      <c r="AW33" s="448">
        <v>332.5</v>
      </c>
      <c r="AX33" s="413" t="s">
        <v>3139</v>
      </c>
      <c r="AY33" s="340">
        <f t="shared" si="35"/>
        <v>43782</v>
      </c>
      <c r="AZ33" s="413" t="s">
        <v>1771</v>
      </c>
      <c r="BA33" s="448">
        <v>1552.98</v>
      </c>
      <c r="BB33" s="448">
        <f t="shared" si="36"/>
        <v>165842.22847500001</v>
      </c>
      <c r="BC33" s="448">
        <f t="shared" si="37"/>
        <v>248763.34271250002</v>
      </c>
      <c r="BD33" s="460">
        <f t="shared" si="38"/>
        <v>1</v>
      </c>
      <c r="BE33" s="448">
        <f t="shared" si="39"/>
        <v>248763.34271250002</v>
      </c>
      <c r="BF33" s="448">
        <v>485.53</v>
      </c>
      <c r="BG33" s="448">
        <f t="shared" si="40"/>
        <v>-40</v>
      </c>
      <c r="BH33" s="448">
        <f t="shared" si="41"/>
        <v>445.53</v>
      </c>
      <c r="BI33" s="456">
        <v>2034.74</v>
      </c>
      <c r="BJ33" s="400"/>
    </row>
    <row r="34" spans="1:62" customFormat="1" ht="153">
      <c r="A34" s="403" t="s">
        <v>5245</v>
      </c>
      <c r="B34" s="404" t="s">
        <v>3042</v>
      </c>
      <c r="C34" s="404" t="s">
        <v>3043</v>
      </c>
      <c r="D34" s="405" t="s">
        <v>3294</v>
      </c>
      <c r="E34" s="465" t="s">
        <v>3295</v>
      </c>
      <c r="F34" s="465" t="s">
        <v>4365</v>
      </c>
      <c r="G34" s="407">
        <v>585709898</v>
      </c>
      <c r="H34" s="404" t="s">
        <v>3297</v>
      </c>
      <c r="I34" s="413">
        <v>1</v>
      </c>
      <c r="J34" s="413" t="s">
        <v>1771</v>
      </c>
      <c r="K34" s="404">
        <f>5+12+2</f>
        <v>19</v>
      </c>
      <c r="L34" s="404">
        <f>181.48+977.5+164</f>
        <v>1322.98</v>
      </c>
      <c r="M34" s="408" t="s">
        <v>1771</v>
      </c>
      <c r="N34" s="447">
        <v>43753</v>
      </c>
      <c r="O34" s="447">
        <v>43753</v>
      </c>
      <c r="P34" s="408">
        <v>43786</v>
      </c>
      <c r="Q34" s="408">
        <v>43794</v>
      </c>
      <c r="R34" s="478" t="s">
        <v>4364</v>
      </c>
      <c r="S34" s="409" t="s">
        <v>1771</v>
      </c>
      <c r="T34" s="410" t="s">
        <v>1771</v>
      </c>
      <c r="U34" s="412" t="s">
        <v>3218</v>
      </c>
      <c r="V34" s="413" t="s">
        <v>3146</v>
      </c>
      <c r="W34" s="414" t="s">
        <v>3031</v>
      </c>
      <c r="X34" s="334">
        <v>43781</v>
      </c>
      <c r="Y34" s="413" t="s">
        <v>3261</v>
      </c>
      <c r="Z34" s="413" t="s">
        <v>3262</v>
      </c>
      <c r="AA34" s="408">
        <v>43790</v>
      </c>
      <c r="AB34" s="413" t="s">
        <v>3252</v>
      </c>
      <c r="AC34" s="413" t="s">
        <v>3096</v>
      </c>
      <c r="AD34" s="413" t="s">
        <v>3329</v>
      </c>
      <c r="AE34" s="413" t="s">
        <v>2146</v>
      </c>
      <c r="AF34" s="408">
        <v>43791</v>
      </c>
      <c r="AG34" s="413">
        <v>720.10599999999999</v>
      </c>
      <c r="AH34" s="404" t="s">
        <v>3296</v>
      </c>
      <c r="AI34" s="413" t="s">
        <v>3108</v>
      </c>
      <c r="AJ34" s="415">
        <v>16780.04</v>
      </c>
      <c r="AK34" s="415">
        <v>1624</v>
      </c>
      <c r="AL34" s="415">
        <v>3</v>
      </c>
      <c r="AM34" s="415">
        <f t="shared" si="42"/>
        <v>18407.04</v>
      </c>
      <c r="AN34" s="467">
        <v>4.2012</v>
      </c>
      <c r="AO34" s="448">
        <f t="shared" si="34"/>
        <v>77331.656448000009</v>
      </c>
      <c r="AP34" s="448">
        <v>9634.15</v>
      </c>
      <c r="AQ34" s="448">
        <v>6440.28</v>
      </c>
      <c r="AR34" s="448">
        <v>1623.97</v>
      </c>
      <c r="AS34" s="448">
        <v>7462.51</v>
      </c>
      <c r="AT34" s="448">
        <v>21594.32</v>
      </c>
      <c r="AU34" s="448">
        <v>0</v>
      </c>
      <c r="AV34" s="413">
        <v>3</v>
      </c>
      <c r="AW34" s="448">
        <v>267.60000000000002</v>
      </c>
      <c r="AX34" s="413" t="s">
        <v>3139</v>
      </c>
      <c r="AY34" s="340">
        <f t="shared" si="35"/>
        <v>43794</v>
      </c>
      <c r="AZ34" s="413" t="s">
        <v>1771</v>
      </c>
      <c r="BA34" s="448">
        <v>1300</v>
      </c>
      <c r="BB34" s="448">
        <f t="shared" si="36"/>
        <v>77331.656448000009</v>
      </c>
      <c r="BC34" s="448">
        <f t="shared" si="37"/>
        <v>115997.48467200002</v>
      </c>
      <c r="BD34" s="460">
        <f t="shared" si="38"/>
        <v>1</v>
      </c>
      <c r="BE34" s="448">
        <f t="shared" si="39"/>
        <v>115997.48467200002</v>
      </c>
      <c r="BF34" s="448">
        <v>506.47</v>
      </c>
      <c r="BG34" s="448">
        <f t="shared" si="40"/>
        <v>-70</v>
      </c>
      <c r="BH34" s="448">
        <f t="shared" si="41"/>
        <v>436.47</v>
      </c>
      <c r="BI34" s="456">
        <v>2054.15</v>
      </c>
      <c r="BJ34" s="400"/>
    </row>
    <row r="35" spans="1:62" customFormat="1" ht="114.75">
      <c r="A35" s="403" t="s">
        <v>5246</v>
      </c>
      <c r="B35" s="404" t="s">
        <v>3042</v>
      </c>
      <c r="C35" s="404" t="s">
        <v>3043</v>
      </c>
      <c r="D35" s="405" t="s">
        <v>3300</v>
      </c>
      <c r="E35" s="465" t="s">
        <v>3301</v>
      </c>
      <c r="F35" s="465" t="s">
        <v>4367</v>
      </c>
      <c r="G35" s="407">
        <v>587343866</v>
      </c>
      <c r="H35" s="404" t="s">
        <v>3302</v>
      </c>
      <c r="I35" s="413">
        <v>1</v>
      </c>
      <c r="J35" s="413" t="s">
        <v>1771</v>
      </c>
      <c r="K35" s="404">
        <f>2+2+2+1+2+2</f>
        <v>11</v>
      </c>
      <c r="L35" s="404">
        <f>132.5+133.5+132.5+64+133.5+129</f>
        <v>725</v>
      </c>
      <c r="M35" s="408">
        <v>43766</v>
      </c>
      <c r="N35" s="447">
        <v>43764</v>
      </c>
      <c r="O35" s="447">
        <v>43764</v>
      </c>
      <c r="P35" s="408">
        <v>43793</v>
      </c>
      <c r="Q35" s="408">
        <v>43805</v>
      </c>
      <c r="R35" s="478" t="s">
        <v>4366</v>
      </c>
      <c r="S35" s="409" t="s">
        <v>1771</v>
      </c>
      <c r="T35" s="410" t="s">
        <v>1771</v>
      </c>
      <c r="U35" s="412" t="s">
        <v>3218</v>
      </c>
      <c r="V35" s="413" t="s">
        <v>3154</v>
      </c>
      <c r="W35" s="414" t="s">
        <v>3031</v>
      </c>
      <c r="X35" s="334">
        <v>43795</v>
      </c>
      <c r="Y35" s="413" t="s">
        <v>3261</v>
      </c>
      <c r="Z35" s="413" t="s">
        <v>3262</v>
      </c>
      <c r="AA35" s="408">
        <v>43796</v>
      </c>
      <c r="AB35" s="413" t="s">
        <v>3298</v>
      </c>
      <c r="AC35" s="413" t="s">
        <v>3096</v>
      </c>
      <c r="AD35" s="413" t="s">
        <v>3338</v>
      </c>
      <c r="AE35" s="413" t="s">
        <v>2146</v>
      </c>
      <c r="AF35" s="408">
        <v>43804</v>
      </c>
      <c r="AG35" s="413">
        <v>506</v>
      </c>
      <c r="AH35" s="404" t="s">
        <v>3256</v>
      </c>
      <c r="AI35" s="413" t="s">
        <v>3108</v>
      </c>
      <c r="AJ35" s="415">
        <v>1278.8</v>
      </c>
      <c r="AK35" s="415">
        <v>1624</v>
      </c>
      <c r="AL35" s="415">
        <v>6</v>
      </c>
      <c r="AM35" s="415">
        <f t="shared" si="42"/>
        <v>2908.8</v>
      </c>
      <c r="AN35" s="467">
        <v>4.1925999999999997</v>
      </c>
      <c r="AO35" s="448">
        <f t="shared" si="34"/>
        <v>12195.434879999999</v>
      </c>
      <c r="AP35" s="448">
        <v>1951.27</v>
      </c>
      <c r="AQ35" s="448">
        <v>2122</v>
      </c>
      <c r="AR35" s="448">
        <v>256.10000000000002</v>
      </c>
      <c r="AS35" s="448">
        <v>1176.8599999999999</v>
      </c>
      <c r="AT35" s="448">
        <v>3922.58</v>
      </c>
      <c r="AU35" s="448">
        <v>0</v>
      </c>
      <c r="AV35" s="413">
        <v>1</v>
      </c>
      <c r="AW35" s="448">
        <v>214.5</v>
      </c>
      <c r="AX35" s="413" t="s">
        <v>3139</v>
      </c>
      <c r="AY35" s="340">
        <f t="shared" si="35"/>
        <v>43805</v>
      </c>
      <c r="AZ35" s="413" t="s">
        <v>1771</v>
      </c>
      <c r="BA35" s="448">
        <v>1300</v>
      </c>
      <c r="BB35" s="448">
        <f t="shared" si="36"/>
        <v>12195.434879999999</v>
      </c>
      <c r="BC35" s="448">
        <f t="shared" si="37"/>
        <v>18293.152319999997</v>
      </c>
      <c r="BD35" s="460">
        <f t="shared" si="38"/>
        <v>1</v>
      </c>
      <c r="BE35" s="448">
        <f t="shared" si="39"/>
        <v>18293.152319999997</v>
      </c>
      <c r="BF35" s="448">
        <v>506.47</v>
      </c>
      <c r="BG35" s="448">
        <f t="shared" si="40"/>
        <v>-90</v>
      </c>
      <c r="BH35" s="448">
        <f t="shared" si="41"/>
        <v>416.47</v>
      </c>
      <c r="BI35" s="456">
        <v>2075.34</v>
      </c>
      <c r="BJ35" s="400"/>
    </row>
    <row r="36" spans="1:62" customFormat="1" ht="178.5">
      <c r="A36" s="403" t="s">
        <v>5247</v>
      </c>
      <c r="B36" s="404" t="s">
        <v>3042</v>
      </c>
      <c r="C36" s="404" t="s">
        <v>3043</v>
      </c>
      <c r="D36" s="405" t="s">
        <v>3304</v>
      </c>
      <c r="E36" s="465" t="s">
        <v>3305</v>
      </c>
      <c r="F36" s="465" t="s">
        <v>4369</v>
      </c>
      <c r="G36" s="407" t="s">
        <v>3309</v>
      </c>
      <c r="H36" s="404" t="s">
        <v>3308</v>
      </c>
      <c r="I36" s="413" t="s">
        <v>1771</v>
      </c>
      <c r="J36" s="413">
        <v>1</v>
      </c>
      <c r="K36" s="404">
        <f>20+9+9+4+2+1</f>
        <v>45</v>
      </c>
      <c r="L36" s="404">
        <f>1560+1729+1546.5+310.4+203+59.5</f>
        <v>5408.4</v>
      </c>
      <c r="M36" s="408">
        <v>43773</v>
      </c>
      <c r="N36" s="447">
        <v>43772</v>
      </c>
      <c r="O36" s="447">
        <v>43772</v>
      </c>
      <c r="P36" s="408">
        <v>43804</v>
      </c>
      <c r="Q36" s="408">
        <v>43812</v>
      </c>
      <c r="R36" s="478" t="s">
        <v>4368</v>
      </c>
      <c r="S36" s="409" t="s">
        <v>1771</v>
      </c>
      <c r="T36" s="410" t="s">
        <v>1771</v>
      </c>
      <c r="U36" s="412" t="s">
        <v>3218</v>
      </c>
      <c r="V36" s="413" t="s">
        <v>3154</v>
      </c>
      <c r="W36" s="414" t="s">
        <v>3031</v>
      </c>
      <c r="X36" s="334">
        <v>43801</v>
      </c>
      <c r="Y36" s="413" t="s">
        <v>3337</v>
      </c>
      <c r="Z36" s="413" t="s">
        <v>3341</v>
      </c>
      <c r="AA36" s="408">
        <v>43808</v>
      </c>
      <c r="AB36" s="413" t="s">
        <v>3252</v>
      </c>
      <c r="AC36" s="413" t="s">
        <v>3096</v>
      </c>
      <c r="AD36" s="413" t="s">
        <v>3347</v>
      </c>
      <c r="AE36" s="413" t="s">
        <v>2146</v>
      </c>
      <c r="AF36" s="408">
        <v>43811</v>
      </c>
      <c r="AG36" s="412">
        <v>3626.6779999999999</v>
      </c>
      <c r="AH36" s="404" t="s">
        <v>3306</v>
      </c>
      <c r="AI36" s="413" t="s">
        <v>3108</v>
      </c>
      <c r="AJ36" s="415">
        <v>70307.53</v>
      </c>
      <c r="AK36" s="415">
        <v>1640</v>
      </c>
      <c r="AL36" s="415">
        <v>6</v>
      </c>
      <c r="AM36" s="415">
        <f t="shared" si="42"/>
        <v>71953.53</v>
      </c>
      <c r="AN36" s="467">
        <v>4.1153000000000004</v>
      </c>
      <c r="AO36" s="448">
        <f t="shared" si="34"/>
        <v>296110.36200900003</v>
      </c>
      <c r="AP36" s="448">
        <v>11145.51</v>
      </c>
      <c r="AQ36" s="448">
        <v>30725.56</v>
      </c>
      <c r="AR36" s="448">
        <v>6218.31</v>
      </c>
      <c r="AS36" s="448">
        <v>28574.65</v>
      </c>
      <c r="AT36" s="448">
        <v>75584.23</v>
      </c>
      <c r="AU36" s="448">
        <v>0</v>
      </c>
      <c r="AV36" s="413">
        <v>6</v>
      </c>
      <c r="AW36" s="448">
        <v>332.5</v>
      </c>
      <c r="AX36" s="413" t="s">
        <v>3139</v>
      </c>
      <c r="AY36" s="340">
        <f t="shared" si="35"/>
        <v>43812</v>
      </c>
      <c r="AZ36" s="413" t="s">
        <v>1771</v>
      </c>
      <c r="BA36" s="448">
        <v>1210.5</v>
      </c>
      <c r="BB36" s="448">
        <f t="shared" si="36"/>
        <v>296110.36200900003</v>
      </c>
      <c r="BC36" s="448">
        <f t="shared" si="37"/>
        <v>444165.54301350005</v>
      </c>
      <c r="BD36" s="460">
        <f t="shared" si="38"/>
        <v>1</v>
      </c>
      <c r="BE36" s="448">
        <f t="shared" si="39"/>
        <v>444165.54301350005</v>
      </c>
      <c r="BF36" s="448">
        <v>506.47</v>
      </c>
      <c r="BG36" s="448">
        <f t="shared" si="40"/>
        <v>-40</v>
      </c>
      <c r="BH36" s="448">
        <f t="shared" si="41"/>
        <v>466.47</v>
      </c>
      <c r="BI36" s="456">
        <v>1946.8</v>
      </c>
      <c r="BJ36" s="400"/>
    </row>
    <row r="37" spans="1:62" customFormat="1" ht="102">
      <c r="A37" s="479" t="s">
        <v>5248</v>
      </c>
      <c r="B37" s="480" t="s">
        <v>3042</v>
      </c>
      <c r="C37" s="480" t="s">
        <v>3043</v>
      </c>
      <c r="D37" s="481" t="s">
        <v>3310</v>
      </c>
      <c r="E37" s="497" t="s">
        <v>3311</v>
      </c>
      <c r="F37" s="497" t="s">
        <v>4371</v>
      </c>
      <c r="G37" s="482" t="s">
        <v>3316</v>
      </c>
      <c r="H37" s="480" t="s">
        <v>3317</v>
      </c>
      <c r="I37" s="483" t="s">
        <v>1771</v>
      </c>
      <c r="J37" s="483">
        <v>1</v>
      </c>
      <c r="K37" s="480">
        <f>7+14+8+6+9+9+2</f>
        <v>55</v>
      </c>
      <c r="L37" s="480">
        <f>938+1865+1062.54+725.02+1095.5+1505+54.14</f>
        <v>7245.2</v>
      </c>
      <c r="M37" s="484">
        <v>43781</v>
      </c>
      <c r="N37" s="485">
        <v>43781</v>
      </c>
      <c r="O37" s="485">
        <v>43782</v>
      </c>
      <c r="P37" s="484">
        <v>43812</v>
      </c>
      <c r="Q37" s="484">
        <v>43819</v>
      </c>
      <c r="R37" s="502" t="s">
        <v>4370</v>
      </c>
      <c r="S37" s="487" t="s">
        <v>1771</v>
      </c>
      <c r="T37" s="488" t="s">
        <v>1771</v>
      </c>
      <c r="U37" s="489" t="s">
        <v>3218</v>
      </c>
      <c r="V37" s="483" t="s">
        <v>3146</v>
      </c>
      <c r="W37" s="490" t="s">
        <v>3031</v>
      </c>
      <c r="X37" s="321">
        <v>43808</v>
      </c>
      <c r="Y37" s="483" t="s">
        <v>3147</v>
      </c>
      <c r="Z37" s="483" t="s">
        <v>3147</v>
      </c>
      <c r="AA37" s="484">
        <v>43815</v>
      </c>
      <c r="AB37" s="483" t="s">
        <v>3252</v>
      </c>
      <c r="AC37" s="483" t="s">
        <v>3096</v>
      </c>
      <c r="AD37" s="483" t="s">
        <v>3351</v>
      </c>
      <c r="AE37" s="483" t="s">
        <v>2146</v>
      </c>
      <c r="AF37" s="484">
        <v>43817</v>
      </c>
      <c r="AG37" s="489">
        <v>4704.9582799999998</v>
      </c>
      <c r="AH37" s="480" t="s">
        <v>3268</v>
      </c>
      <c r="AI37" s="483" t="s">
        <v>3108</v>
      </c>
      <c r="AJ37" s="491">
        <v>84111.72</v>
      </c>
      <c r="AK37" s="491">
        <v>1640</v>
      </c>
      <c r="AL37" s="491">
        <v>7</v>
      </c>
      <c r="AM37" s="491">
        <f t="shared" si="42"/>
        <v>85758.720000000001</v>
      </c>
      <c r="AN37" s="503">
        <v>4.0686999999999998</v>
      </c>
      <c r="AO37" s="492">
        <f t="shared" si="34"/>
        <v>348926.50406399998</v>
      </c>
      <c r="AP37" s="492">
        <v>27914.12</v>
      </c>
      <c r="AQ37" s="492">
        <v>37684.03</v>
      </c>
      <c r="AR37" s="492">
        <v>7327.46</v>
      </c>
      <c r="AS37" s="492">
        <v>33671.4</v>
      </c>
      <c r="AT37" s="492">
        <v>92217.58</v>
      </c>
      <c r="AU37" s="492">
        <v>0</v>
      </c>
      <c r="AV37" s="483">
        <v>7</v>
      </c>
      <c r="AW37" s="492">
        <v>350.2</v>
      </c>
      <c r="AX37" s="483" t="s">
        <v>3139</v>
      </c>
      <c r="AY37" s="327">
        <f t="shared" si="35"/>
        <v>43819</v>
      </c>
      <c r="AZ37" s="483" t="s">
        <v>1771</v>
      </c>
      <c r="BA37" s="492">
        <v>1980</v>
      </c>
      <c r="BB37" s="492">
        <f t="shared" si="36"/>
        <v>348926.50406399998</v>
      </c>
      <c r="BC37" s="492">
        <f t="shared" si="37"/>
        <v>523389.75609599997</v>
      </c>
      <c r="BD37" s="498">
        <f t="shared" si="38"/>
        <v>1</v>
      </c>
      <c r="BE37" s="492">
        <f t="shared" si="39"/>
        <v>523389.75609599997</v>
      </c>
      <c r="BF37" s="492">
        <v>506.47</v>
      </c>
      <c r="BG37" s="492">
        <f t="shared" si="40"/>
        <v>-30</v>
      </c>
      <c r="BH37" s="492">
        <f t="shared" si="41"/>
        <v>476.47</v>
      </c>
      <c r="BI37" s="495">
        <v>1912.6</v>
      </c>
      <c r="BJ37" s="400"/>
    </row>
    <row r="38" spans="1:62" customFormat="1" ht="176.25" thickBot="1">
      <c r="A38" s="389" t="s">
        <v>5249</v>
      </c>
      <c r="B38" s="390" t="s">
        <v>3042</v>
      </c>
      <c r="C38" s="390" t="s">
        <v>3043</v>
      </c>
      <c r="D38" s="391" t="s">
        <v>3313</v>
      </c>
      <c r="E38" s="462" t="s">
        <v>3314</v>
      </c>
      <c r="F38" s="462" t="s">
        <v>4373</v>
      </c>
      <c r="G38" s="392" t="s">
        <v>3318</v>
      </c>
      <c r="H38" s="390" t="s">
        <v>3319</v>
      </c>
      <c r="I38" s="397" t="s">
        <v>1771</v>
      </c>
      <c r="J38" s="397">
        <v>3</v>
      </c>
      <c r="K38" s="390">
        <f>43+12+7+12+8+3+5+7+5+3+9+2+9</f>
        <v>125</v>
      </c>
      <c r="L38" s="390">
        <f>1706+815.85+562+1474.5+1433.5+153.44+783.19+945.5+783.8+154.42+1364.86+145.3+1558</f>
        <v>11880.359999999999</v>
      </c>
      <c r="M38" s="393">
        <v>43782</v>
      </c>
      <c r="N38" s="442">
        <v>43779</v>
      </c>
      <c r="O38" s="442">
        <v>43779</v>
      </c>
      <c r="P38" s="393">
        <v>43811</v>
      </c>
      <c r="Q38" s="393">
        <v>43819</v>
      </c>
      <c r="R38" s="499" t="s">
        <v>4372</v>
      </c>
      <c r="S38" s="394" t="s">
        <v>1771</v>
      </c>
      <c r="T38" s="395" t="s">
        <v>1771</v>
      </c>
      <c r="U38" s="396" t="s">
        <v>3218</v>
      </c>
      <c r="V38" s="397" t="s">
        <v>3154</v>
      </c>
      <c r="W38" s="398" t="s">
        <v>3031</v>
      </c>
      <c r="X38" s="342">
        <v>43808</v>
      </c>
      <c r="Y38" s="397" t="s">
        <v>3337</v>
      </c>
      <c r="Z38" s="397" t="s">
        <v>3352</v>
      </c>
      <c r="AA38" s="393">
        <v>43812</v>
      </c>
      <c r="AB38" s="397" t="s">
        <v>3252</v>
      </c>
      <c r="AC38" s="397" t="s">
        <v>3096</v>
      </c>
      <c r="AD38" s="397" t="s">
        <v>3353</v>
      </c>
      <c r="AE38" s="397" t="s">
        <v>2146</v>
      </c>
      <c r="AF38" s="393">
        <v>43817</v>
      </c>
      <c r="AG38" s="396">
        <v>7824.6933499999996</v>
      </c>
      <c r="AH38" s="390" t="s">
        <v>3315</v>
      </c>
      <c r="AI38" s="397" t="s">
        <v>3108</v>
      </c>
      <c r="AJ38" s="399">
        <v>164250.18</v>
      </c>
      <c r="AK38" s="399">
        <v>4920</v>
      </c>
      <c r="AL38" s="399">
        <v>13</v>
      </c>
      <c r="AM38" s="399">
        <f t="shared" si="42"/>
        <v>169183.18</v>
      </c>
      <c r="AN38" s="501">
        <v>4.0686999999999998</v>
      </c>
      <c r="AO38" s="419">
        <f t="shared" si="34"/>
        <v>688355.60446599987</v>
      </c>
      <c r="AP38" s="419">
        <v>40862.870000000003</v>
      </c>
      <c r="AQ38" s="419">
        <v>73577.41</v>
      </c>
      <c r="AR38" s="419">
        <v>14455.45</v>
      </c>
      <c r="AS38" s="419">
        <v>66426.34</v>
      </c>
      <c r="AT38" s="419">
        <v>179054.57</v>
      </c>
      <c r="AU38" s="419">
        <v>0</v>
      </c>
      <c r="AV38" s="397">
        <v>15</v>
      </c>
      <c r="AW38" s="419">
        <v>462.3</v>
      </c>
      <c r="AX38" s="397" t="s">
        <v>3139</v>
      </c>
      <c r="AY38" s="441">
        <f t="shared" si="35"/>
        <v>43819</v>
      </c>
      <c r="AZ38" s="397" t="s">
        <v>1771</v>
      </c>
      <c r="BA38" s="419">
        <v>3631.5</v>
      </c>
      <c r="BB38" s="419">
        <f t="shared" si="36"/>
        <v>688355.60446599987</v>
      </c>
      <c r="BC38" s="419">
        <f t="shared" si="37"/>
        <v>1032533.4066989998</v>
      </c>
      <c r="BD38" s="459">
        <f t="shared" si="38"/>
        <v>3</v>
      </c>
      <c r="BE38" s="419">
        <f t="shared" si="39"/>
        <v>344177.80223299994</v>
      </c>
      <c r="BF38" s="419">
        <v>566.02</v>
      </c>
      <c r="BG38" s="419">
        <f t="shared" si="40"/>
        <v>50</v>
      </c>
      <c r="BH38" s="419">
        <f t="shared" si="41"/>
        <v>616.02</v>
      </c>
      <c r="BI38" s="457">
        <v>5677.22</v>
      </c>
      <c r="BJ38" s="400"/>
    </row>
  </sheetData>
  <sheetProtection selectLockedCells="1" autoFilter="0" selectUnlockedCells="1"/>
  <autoFilter ref="A1:BI34">
    <filterColumn colId="5"/>
  </autoFilter>
  <conditionalFormatting sqref="X1 X4:X6">
    <cfRule type="cellIs" dxfId="215" priority="31" stopIfTrue="1" operator="equal">
      <formula>0</formula>
    </cfRule>
  </conditionalFormatting>
  <conditionalFormatting sqref="X7">
    <cfRule type="cellIs" dxfId="214" priority="28" stopIfTrue="1" operator="equal">
      <formula>0</formula>
    </cfRule>
  </conditionalFormatting>
  <conditionalFormatting sqref="X8:X11">
    <cfRule type="cellIs" dxfId="213" priority="27" stopIfTrue="1" operator="equal">
      <formula>0</formula>
    </cfRule>
  </conditionalFormatting>
  <conditionalFormatting sqref="X12">
    <cfRule type="cellIs" dxfId="212" priority="26" stopIfTrue="1" operator="equal">
      <formula>0</formula>
    </cfRule>
  </conditionalFormatting>
  <conditionalFormatting sqref="X13">
    <cfRule type="cellIs" dxfId="211" priority="25" stopIfTrue="1" operator="equal">
      <formula>0</formula>
    </cfRule>
  </conditionalFormatting>
  <conditionalFormatting sqref="X14:X15">
    <cfRule type="cellIs" dxfId="210" priority="24" stopIfTrue="1" operator="equal">
      <formula>0</formula>
    </cfRule>
  </conditionalFormatting>
  <conditionalFormatting sqref="X16">
    <cfRule type="cellIs" dxfId="209" priority="23" stopIfTrue="1" operator="equal">
      <formula>0</formula>
    </cfRule>
  </conditionalFormatting>
  <conditionalFormatting sqref="X17">
    <cfRule type="cellIs" dxfId="208" priority="22" stopIfTrue="1" operator="equal">
      <formula>0</formula>
    </cfRule>
  </conditionalFormatting>
  <conditionalFormatting sqref="X18">
    <cfRule type="cellIs" dxfId="207" priority="21" stopIfTrue="1" operator="equal">
      <formula>0</formula>
    </cfRule>
  </conditionalFormatting>
  <conditionalFormatting sqref="X19">
    <cfRule type="cellIs" dxfId="206" priority="20" stopIfTrue="1" operator="equal">
      <formula>0</formula>
    </cfRule>
  </conditionalFormatting>
  <conditionalFormatting sqref="X20">
    <cfRule type="cellIs" dxfId="205" priority="19" stopIfTrue="1" operator="equal">
      <formula>0</formula>
    </cfRule>
  </conditionalFormatting>
  <conditionalFormatting sqref="X21">
    <cfRule type="cellIs" dxfId="204" priority="18" stopIfTrue="1" operator="equal">
      <formula>0</formula>
    </cfRule>
  </conditionalFormatting>
  <conditionalFormatting sqref="X22">
    <cfRule type="cellIs" dxfId="203" priority="17" stopIfTrue="1" operator="equal">
      <formula>0</formula>
    </cfRule>
  </conditionalFormatting>
  <conditionalFormatting sqref="X23">
    <cfRule type="cellIs" dxfId="202" priority="16" stopIfTrue="1" operator="equal">
      <formula>0</formula>
    </cfRule>
  </conditionalFormatting>
  <conditionalFormatting sqref="X24">
    <cfRule type="cellIs" dxfId="201" priority="15" stopIfTrue="1" operator="equal">
      <formula>0</formula>
    </cfRule>
  </conditionalFormatting>
  <conditionalFormatting sqref="X25">
    <cfRule type="cellIs" dxfId="200" priority="14" stopIfTrue="1" operator="equal">
      <formula>0</formula>
    </cfRule>
  </conditionalFormatting>
  <conditionalFormatting sqref="X26">
    <cfRule type="cellIs" dxfId="199" priority="13" stopIfTrue="1" operator="equal">
      <formula>0</formula>
    </cfRule>
  </conditionalFormatting>
  <conditionalFormatting sqref="X27">
    <cfRule type="cellIs" dxfId="198" priority="12" stopIfTrue="1" operator="equal">
      <formula>0</formula>
    </cfRule>
  </conditionalFormatting>
  <conditionalFormatting sqref="X28">
    <cfRule type="cellIs" dxfId="197" priority="11" stopIfTrue="1" operator="equal">
      <formula>0</formula>
    </cfRule>
  </conditionalFormatting>
  <conditionalFormatting sqref="X29">
    <cfRule type="cellIs" dxfId="196" priority="10" stopIfTrue="1" operator="equal">
      <formula>0</formula>
    </cfRule>
  </conditionalFormatting>
  <conditionalFormatting sqref="X30">
    <cfRule type="cellIs" dxfId="195" priority="9" stopIfTrue="1" operator="equal">
      <formula>0</formula>
    </cfRule>
  </conditionalFormatting>
  <conditionalFormatting sqref="X31">
    <cfRule type="cellIs" dxfId="194" priority="8" stopIfTrue="1" operator="equal">
      <formula>0</formula>
    </cfRule>
  </conditionalFormatting>
  <conditionalFormatting sqref="X32">
    <cfRule type="cellIs" dxfId="193" priority="7" stopIfTrue="1" operator="equal">
      <formula>0</formula>
    </cfRule>
  </conditionalFormatting>
  <conditionalFormatting sqref="X33">
    <cfRule type="cellIs" dxfId="192" priority="6" stopIfTrue="1" operator="equal">
      <formula>0</formula>
    </cfRule>
  </conditionalFormatting>
  <conditionalFormatting sqref="X34">
    <cfRule type="cellIs" dxfId="191" priority="5" stopIfTrue="1" operator="equal">
      <formula>0</formula>
    </cfRule>
  </conditionalFormatting>
  <conditionalFormatting sqref="X35">
    <cfRule type="cellIs" dxfId="190" priority="4" stopIfTrue="1" operator="equal">
      <formula>0</formula>
    </cfRule>
  </conditionalFormatting>
  <conditionalFormatting sqref="X36">
    <cfRule type="cellIs" dxfId="189" priority="3" stopIfTrue="1" operator="equal">
      <formula>0</formula>
    </cfRule>
  </conditionalFormatting>
  <conditionalFormatting sqref="X37">
    <cfRule type="cellIs" dxfId="188" priority="2" stopIfTrue="1" operator="equal">
      <formula>0</formula>
    </cfRule>
  </conditionalFormatting>
  <conditionalFormatting sqref="X38">
    <cfRule type="cellIs" dxfId="187" priority="1" stopIfTrue="1" operator="equal">
      <formula>0</formula>
    </cfRule>
  </conditionalFormatting>
  <pageMargins left="0.78740157480314965" right="0.78740157480314965" top="0.98425196850393704" bottom="0.98425196850393704" header="0.51181102362204722" footer="0.51181102362204722"/>
  <pageSetup paperSize="9" scale="10" fitToHeight="4"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dimension ref="A1"/>
  <sheetViews>
    <sheetView workbookViewId="0">
      <selection activeCell="F24" sqref="F24"/>
    </sheetView>
  </sheetViews>
  <sheetFormatPr defaultRowHeight="12.75"/>
  <cols>
    <col min="2" max="2" width="10.28515625" bestFit="1" customWidth="1"/>
    <col min="3" max="3" width="12.7109375" customWidth="1"/>
    <col min="4" max="4" width="12.5703125" bestFit="1" customWidth="1"/>
    <col min="5" max="5" width="10" customWidth="1"/>
    <col min="6" max="6" width="15.85546875" customWidth="1"/>
    <col min="7" max="7" width="13.42578125" bestFit="1" customWidth="1"/>
    <col min="8" max="8" width="12.42578125" customWidth="1"/>
    <col min="9" max="9" width="9.85546875" customWidth="1"/>
    <col min="10" max="10" width="14.140625" bestFit="1" customWidth="1"/>
    <col min="11" max="11" width="17.28515625" customWidth="1"/>
    <col min="12" max="12" width="11" customWidth="1"/>
    <col min="14" max="14" width="13.28515625" customWidth="1"/>
    <col min="15" max="15" width="12" customWidth="1"/>
    <col min="16" max="16" width="10.5703125" bestFit="1" customWidth="1"/>
    <col min="19" max="19" width="16.5703125" customWidth="1"/>
    <col min="20" max="20" width="14.42578125" bestFit="1" customWidth="1"/>
    <col min="21" max="21" width="10.7109375" customWidth="1"/>
  </cols>
  <sheetData/>
  <customSheetViews>
    <customSheetView guid="{3DC6DB2D-2732-413F-B168-80FED6A56EC0}" showPageBreaks="1" state="hidden">
      <selection activeCell="F24" sqref="F24"/>
      <pageMargins left="0.511811024" right="0.511811024" top="0.78740157499999996" bottom="0.78740157499999996" header="0.31496062000000002" footer="0.31496062000000002"/>
      <pageSetup orientation="portrait" r:id="rId1"/>
    </customSheetView>
    <customSheetView guid="{B7B7C792-01A7-4AC6-B514-9B8806F4E6E0}" state="hidden">
      <selection activeCell="F24" sqref="F24"/>
      <pageMargins left="0.511811024" right="0.511811024" top="0.78740157499999996" bottom="0.78740157499999996" header="0.31496062000000002" footer="0.31496062000000002"/>
      <pageSetup orientation="portrait" r:id="rId2"/>
    </customSheetView>
    <customSheetView guid="{269F1B10-4E07-42BC-BAEF-00343A929B24}" state="hidden">
      <selection activeCell="F24" sqref="F24"/>
      <pageMargins left="0.511811024" right="0.511811024" top="0.78740157499999996" bottom="0.78740157499999996" header="0.31496062000000002" footer="0.31496062000000002"/>
      <pageSetup orientation="portrait" r:id="rId3"/>
    </customSheetView>
    <customSheetView guid="{2480A4FF-65AB-41EC-9340-4163653E8C2C}" state="hidden">
      <selection activeCell="F24" sqref="F24"/>
      <pageMargins left="0.511811024" right="0.511811024" top="0.78740157499999996" bottom="0.78740157499999996" header="0.31496062000000002" footer="0.31496062000000002"/>
      <pageSetup orientation="portrait" r:id="rId4"/>
    </customSheetView>
    <customSheetView guid="{316BA082-4614-439F-9CB4-340D61BDC344}" state="hidden">
      <selection activeCell="F24" sqref="F24"/>
      <pageMargins left="0.511811024" right="0.511811024" top="0.78740157499999996" bottom="0.78740157499999996" header="0.31496062000000002" footer="0.31496062000000002"/>
      <pageSetup orientation="portrait" r:id="rId5"/>
    </customSheetView>
    <customSheetView guid="{38CDF8B5-0F48-433A-A36F-EAD87AD19578}" showPageBreaks="1" state="hidden">
      <selection activeCell="F24" sqref="F24"/>
      <pageMargins left="0.511811024" right="0.511811024" top="0.78740157499999996" bottom="0.78740157499999996" header="0.31496062000000002" footer="0.31496062000000002"/>
      <pageSetup orientation="portrait" r:id="rId6"/>
    </customSheetView>
    <customSheetView guid="{DEAD857C-E742-4582-892F-EFCA94380712}" showPageBreaks="1" state="hidden">
      <selection activeCell="F24" sqref="F24"/>
      <pageMargins left="0.511811024" right="0.511811024" top="0.78740157499999996" bottom="0.78740157499999996" header="0.31496062000000002" footer="0.31496062000000002"/>
      <pageSetup orientation="portrait" r:id="rId7"/>
    </customSheetView>
  </customSheetViews>
  <pageMargins left="0.511811024" right="0.511811024" top="0.78740157499999996" bottom="0.78740157499999996" header="0.31496062000000002" footer="0.31496062000000002"/>
  <pageSetup orientation="portrait" r:id="rId8"/>
</worksheet>
</file>

<file path=xl/worksheets/sheet15.xml><?xml version="1.0" encoding="utf-8"?>
<worksheet xmlns="http://schemas.openxmlformats.org/spreadsheetml/2006/main" xmlns:r="http://schemas.openxmlformats.org/officeDocument/2006/relationships">
  <dimension ref="A1:BI2"/>
  <sheetViews>
    <sheetView workbookViewId="0">
      <selection activeCell="A2" sqref="A2:XFD2"/>
    </sheetView>
  </sheetViews>
  <sheetFormatPr defaultColWidth="9.85546875" defaultRowHeight="12"/>
  <cols>
    <col min="1" max="1" width="13.140625" style="348" bestFit="1" customWidth="1"/>
    <col min="2" max="2" width="8.140625" style="348" bestFit="1" customWidth="1"/>
    <col min="3" max="3" width="7" style="348" bestFit="1" customWidth="1"/>
    <col min="4" max="4" width="11" style="348" bestFit="1" customWidth="1"/>
    <col min="5" max="5" width="41.85546875" style="348" customWidth="1"/>
    <col min="6" max="6" width="25.5703125" style="348" bestFit="1" customWidth="1"/>
    <col min="7" max="7" width="17.7109375" style="348" bestFit="1" customWidth="1"/>
    <col min="8" max="8" width="14.85546875" style="348" bestFit="1" customWidth="1"/>
    <col min="9" max="10" width="7.28515625" style="348" bestFit="1" customWidth="1"/>
    <col min="11" max="11" width="6.5703125" style="348" bestFit="1" customWidth="1"/>
    <col min="12" max="12" width="6.42578125" style="348" bestFit="1" customWidth="1"/>
    <col min="13" max="13" width="7.140625" style="348" bestFit="1" customWidth="1"/>
    <col min="14" max="14" width="9" style="348" bestFit="1" customWidth="1"/>
    <col min="15" max="15" width="5.85546875" style="348" bestFit="1" customWidth="1"/>
    <col min="16" max="16" width="10.5703125" style="348" bestFit="1" customWidth="1"/>
    <col min="17" max="17" width="9" style="348" bestFit="1" customWidth="1"/>
    <col min="18" max="18" width="52.85546875" style="348" bestFit="1" customWidth="1"/>
    <col min="19" max="19" width="7.5703125" style="348" bestFit="1" customWidth="1"/>
    <col min="20" max="20" width="8" style="348" bestFit="1" customWidth="1"/>
    <col min="21" max="21" width="7.140625" style="348" bestFit="1" customWidth="1"/>
    <col min="22" max="22" width="9.5703125" style="348" bestFit="1" customWidth="1"/>
    <col min="23" max="23" width="9.42578125" style="348" bestFit="1" customWidth="1"/>
    <col min="24" max="24" width="8.140625" style="348" bestFit="1" customWidth="1"/>
    <col min="25" max="25" width="8.85546875" style="348" bestFit="1" customWidth="1"/>
    <col min="26" max="26" width="6.42578125" style="348" bestFit="1" customWidth="1"/>
    <col min="27" max="27" width="9" style="348" bestFit="1" customWidth="1"/>
    <col min="28" max="28" width="3.42578125" style="348" bestFit="1" customWidth="1"/>
    <col min="29" max="29" width="7.5703125" style="348" bestFit="1" customWidth="1"/>
    <col min="30" max="30" width="9.42578125" style="348" bestFit="1" customWidth="1"/>
    <col min="31" max="31" width="8" style="348" bestFit="1" customWidth="1"/>
    <col min="32" max="32" width="8.85546875" style="348" bestFit="1" customWidth="1"/>
    <col min="33" max="33" width="8.28515625" style="348" bestFit="1" customWidth="1"/>
    <col min="34" max="34" width="10.85546875" style="348" bestFit="1" customWidth="1"/>
    <col min="35" max="35" width="9.85546875" style="348"/>
    <col min="36" max="36" width="6.85546875" style="348" bestFit="1" customWidth="1"/>
    <col min="37" max="37" width="10.85546875" style="348" bestFit="1" customWidth="1"/>
    <col min="38" max="38" width="7.7109375" style="348" bestFit="1" customWidth="1"/>
    <col min="39" max="39" width="7.42578125" style="348" bestFit="1" customWidth="1"/>
    <col min="40" max="40" width="5.42578125" style="348" bestFit="1" customWidth="1"/>
    <col min="41" max="41" width="7.5703125" style="348" bestFit="1" customWidth="1"/>
    <col min="42" max="42" width="6.42578125" style="348" bestFit="1" customWidth="1"/>
    <col min="43" max="43" width="7.5703125" style="348" bestFit="1" customWidth="1"/>
    <col min="44" max="44" width="7.42578125" style="348" bestFit="1" customWidth="1"/>
    <col min="45" max="45" width="7" style="348" bestFit="1" customWidth="1"/>
    <col min="46" max="46" width="8.85546875" style="348" bestFit="1" customWidth="1"/>
    <col min="47" max="47" width="8.7109375" style="348" bestFit="1" customWidth="1"/>
    <col min="48" max="48" width="9.7109375" style="348" bestFit="1" customWidth="1"/>
    <col min="49" max="49" width="9.85546875" style="348"/>
    <col min="50" max="50" width="8.140625" style="348" bestFit="1" customWidth="1"/>
    <col min="51" max="51" width="9.28515625" style="348" bestFit="1" customWidth="1"/>
    <col min="52" max="52" width="8.5703125" style="348" bestFit="1" customWidth="1"/>
    <col min="53" max="54" width="8.85546875" style="348" bestFit="1" customWidth="1"/>
    <col min="55" max="55" width="9.140625" style="348" bestFit="1" customWidth="1"/>
    <col min="56" max="56" width="10.28515625" style="348" bestFit="1" customWidth="1"/>
    <col min="57" max="57" width="9.140625" style="348" bestFit="1" customWidth="1"/>
    <col min="58" max="58" width="9.28515625" style="348" bestFit="1" customWidth="1"/>
    <col min="59" max="59" width="9.140625" style="348" bestFit="1" customWidth="1"/>
    <col min="60" max="60" width="8" style="348" bestFit="1" customWidth="1"/>
    <col min="61" max="16384" width="9.85546875" style="348"/>
  </cols>
  <sheetData>
    <row r="1" spans="1:61" s="506" customFormat="1" ht="42" customHeight="1">
      <c r="A1" s="525" t="s">
        <v>3291</v>
      </c>
      <c r="B1" s="525" t="s">
        <v>3022</v>
      </c>
      <c r="C1" s="525" t="s">
        <v>1470</v>
      </c>
      <c r="D1" s="525" t="s">
        <v>508</v>
      </c>
      <c r="E1" s="525" t="s">
        <v>1577</v>
      </c>
      <c r="F1" s="525" t="s">
        <v>3961</v>
      </c>
      <c r="G1" s="526" t="s">
        <v>59</v>
      </c>
      <c r="H1" s="526" t="s">
        <v>423</v>
      </c>
      <c r="I1" s="526" t="s">
        <v>3114</v>
      </c>
      <c r="J1" s="526" t="s">
        <v>3115</v>
      </c>
      <c r="K1" s="525" t="s">
        <v>3217</v>
      </c>
      <c r="L1" s="525" t="s">
        <v>3025</v>
      </c>
      <c r="M1" s="527" t="s">
        <v>3026</v>
      </c>
      <c r="N1" s="527" t="s">
        <v>3027</v>
      </c>
      <c r="O1" s="527" t="s">
        <v>2969</v>
      </c>
      <c r="P1" s="527" t="s">
        <v>4268</v>
      </c>
      <c r="Q1" s="527" t="s">
        <v>2974</v>
      </c>
      <c r="R1" s="528" t="s">
        <v>1205</v>
      </c>
      <c r="S1" s="530" t="s">
        <v>2928</v>
      </c>
      <c r="T1" s="530" t="s">
        <v>3024</v>
      </c>
      <c r="U1" s="530" t="s">
        <v>1185</v>
      </c>
      <c r="V1" s="530" t="s">
        <v>3039</v>
      </c>
      <c r="W1" s="530" t="s">
        <v>3035</v>
      </c>
      <c r="X1" s="530" t="s">
        <v>3137</v>
      </c>
      <c r="Y1" s="530" t="s">
        <v>3032</v>
      </c>
      <c r="Z1" s="530" t="s">
        <v>3033</v>
      </c>
      <c r="AA1" s="530" t="s">
        <v>3162</v>
      </c>
      <c r="AB1" s="531" t="s">
        <v>2970</v>
      </c>
      <c r="AC1" s="531" t="s">
        <v>2930</v>
      </c>
      <c r="AD1" s="531" t="s">
        <v>3028</v>
      </c>
      <c r="AE1" s="531" t="s">
        <v>3207</v>
      </c>
      <c r="AF1" s="532" t="s">
        <v>3113</v>
      </c>
      <c r="AG1" s="532" t="s">
        <v>3023</v>
      </c>
      <c r="AH1" s="533" t="s">
        <v>3116</v>
      </c>
      <c r="AI1" s="533" t="s">
        <v>3117</v>
      </c>
      <c r="AJ1" s="533" t="s">
        <v>3118</v>
      </c>
      <c r="AK1" s="533" t="s">
        <v>3119</v>
      </c>
      <c r="AL1" s="539" t="s">
        <v>3193</v>
      </c>
      <c r="AM1" s="533" t="s">
        <v>3121</v>
      </c>
      <c r="AN1" s="533" t="s">
        <v>3030</v>
      </c>
      <c r="AO1" s="535" t="s">
        <v>3029</v>
      </c>
      <c r="AP1" s="533" t="s">
        <v>3156</v>
      </c>
      <c r="AQ1" s="533" t="s">
        <v>3187</v>
      </c>
      <c r="AR1" s="533" t="s">
        <v>3188</v>
      </c>
      <c r="AS1" s="533" t="s">
        <v>3189</v>
      </c>
      <c r="AT1" s="533" t="s">
        <v>3191</v>
      </c>
      <c r="AU1" s="533" t="s">
        <v>3127</v>
      </c>
      <c r="AV1" s="533" t="s">
        <v>3122</v>
      </c>
      <c r="AW1" s="536" t="s">
        <v>3157</v>
      </c>
      <c r="AX1" s="532" t="s">
        <v>3123</v>
      </c>
      <c r="AY1" s="533" t="s">
        <v>3186</v>
      </c>
      <c r="AZ1" s="533" t="s">
        <v>3125</v>
      </c>
      <c r="BA1" s="537" t="s">
        <v>3126</v>
      </c>
      <c r="BB1" s="537" t="s">
        <v>3192</v>
      </c>
      <c r="BC1" s="533" t="s">
        <v>3182</v>
      </c>
      <c r="BD1" s="533" t="s">
        <v>3183</v>
      </c>
      <c r="BE1" s="533" t="s">
        <v>3184</v>
      </c>
      <c r="BF1" s="533" t="s">
        <v>3293</v>
      </c>
      <c r="BG1" s="533" t="s">
        <v>3041</v>
      </c>
      <c r="BH1" s="532" t="s">
        <v>3124</v>
      </c>
    </row>
    <row r="2" spans="1:61" s="523" customFormat="1" ht="72">
      <c r="A2" s="538" t="s">
        <v>5814</v>
      </c>
      <c r="B2" s="507" t="s">
        <v>3042</v>
      </c>
      <c r="C2" s="507" t="s">
        <v>5694</v>
      </c>
      <c r="D2" s="508" t="s">
        <v>5832</v>
      </c>
      <c r="E2" s="505" t="s">
        <v>5826</v>
      </c>
      <c r="F2" s="505" t="s">
        <v>5825</v>
      </c>
      <c r="G2" s="509" t="s">
        <v>5828</v>
      </c>
      <c r="H2" s="507" t="s">
        <v>5824</v>
      </c>
      <c r="I2" s="510" t="s">
        <v>1771</v>
      </c>
      <c r="J2" s="510">
        <v>1</v>
      </c>
      <c r="K2" s="507">
        <f>15+5+15+4+4+1</f>
        <v>44</v>
      </c>
      <c r="L2" s="507">
        <f>2053.5+700.5+2080.5+271+573+0.62</f>
        <v>5679.12</v>
      </c>
      <c r="M2" s="511">
        <v>44833</v>
      </c>
      <c r="N2" s="511"/>
      <c r="O2" s="511"/>
      <c r="P2" s="511">
        <v>44866</v>
      </c>
      <c r="Q2" s="511">
        <v>44872</v>
      </c>
      <c r="R2" s="512" t="s">
        <v>5827</v>
      </c>
      <c r="S2" s="515" t="s">
        <v>3752</v>
      </c>
      <c r="T2" s="510"/>
      <c r="U2" s="516" t="s">
        <v>3031</v>
      </c>
      <c r="V2" s="359"/>
      <c r="W2" s="510"/>
      <c r="X2" s="510"/>
      <c r="Y2" s="511"/>
      <c r="Z2" s="510"/>
      <c r="AA2" s="510"/>
      <c r="AB2" s="510"/>
      <c r="AC2" s="510"/>
      <c r="AD2" s="511"/>
      <c r="AE2" s="510"/>
      <c r="AF2" s="507" t="s">
        <v>5833</v>
      </c>
      <c r="AG2" s="510" t="s">
        <v>3108</v>
      </c>
      <c r="AH2" s="517">
        <f>35692.98</f>
        <v>35692.980000000003</v>
      </c>
      <c r="AI2" s="517">
        <f>11389</f>
        <v>11389</v>
      </c>
      <c r="AJ2" s="517"/>
      <c r="AK2" s="517">
        <f t="shared" ref="AK2" si="0">SUM(AH2:AJ2)</f>
        <v>47081.98</v>
      </c>
      <c r="AL2" s="518"/>
      <c r="AM2" s="519">
        <f t="shared" ref="AM2" si="1">AK2*AL2</f>
        <v>0</v>
      </c>
      <c r="AN2" s="519"/>
      <c r="AO2" s="510"/>
      <c r="AP2" s="519"/>
      <c r="AQ2" s="519"/>
      <c r="AR2" s="519"/>
      <c r="AS2" s="519"/>
      <c r="AT2" s="519"/>
      <c r="AU2" s="519"/>
      <c r="AV2" s="519"/>
      <c r="AW2" s="510" t="s">
        <v>3139</v>
      </c>
      <c r="AX2" s="520">
        <f t="shared" ref="AX2" si="2">Q2</f>
        <v>44872</v>
      </c>
      <c r="AY2" s="510"/>
      <c r="AZ2" s="519">
        <f t="shared" ref="AZ2" si="3">(AM2*50%)+AM2</f>
        <v>0</v>
      </c>
      <c r="BA2" s="521">
        <f t="shared" ref="BA2" si="4">SUM(I2:J2)</f>
        <v>1</v>
      </c>
      <c r="BB2" s="519">
        <f t="shared" ref="BB2" si="5">AZ2/BA2</f>
        <v>0</v>
      </c>
      <c r="BC2" s="519"/>
      <c r="BD2" s="519">
        <f t="shared" ref="BD2" si="6">(AO2-10)*10</f>
        <v>-100</v>
      </c>
      <c r="BE2" s="519"/>
      <c r="BF2" s="513" t="s">
        <v>1771</v>
      </c>
      <c r="BG2" s="514" t="s">
        <v>1771</v>
      </c>
      <c r="BH2" s="510" t="s">
        <v>1771</v>
      </c>
      <c r="BI2" s="522"/>
    </row>
  </sheetData>
  <conditionalFormatting sqref="T2">
    <cfRule type="cellIs" dxfId="186" priority="181" stopIfTrue="1" operator="equal">
      <formula>0</formula>
    </cfRule>
  </conditionalFormatting>
  <conditionalFormatting sqref="T1">
    <cfRule type="cellIs" dxfId="185" priority="180" stopIfTrue="1" operator="equal">
      <formula>0</formula>
    </cfRule>
  </conditionalFormatting>
  <conditionalFormatting sqref="T2">
    <cfRule type="cellIs" dxfId="184" priority="179" stopIfTrue="1" operator="equal">
      <formula>0</formula>
    </cfRule>
  </conditionalFormatting>
  <conditionalFormatting sqref="T2">
    <cfRule type="cellIs" dxfId="183" priority="178" stopIfTrue="1" operator="equal">
      <formula>0</formula>
    </cfRule>
  </conditionalFormatting>
  <conditionalFormatting sqref="W1">
    <cfRule type="cellIs" dxfId="182" priority="177" stopIfTrue="1" operator="equal">
      <formula>0</formula>
    </cfRule>
  </conditionalFormatting>
  <conditionalFormatting sqref="W1">
    <cfRule type="cellIs" dxfId="181" priority="176" stopIfTrue="1" operator="equal">
      <formula>0</formula>
    </cfRule>
  </conditionalFormatting>
  <conditionalFormatting sqref="W2">
    <cfRule type="cellIs" dxfId="180" priority="175" stopIfTrue="1" operator="equal">
      <formula>0</formula>
    </cfRule>
  </conditionalFormatting>
  <conditionalFormatting sqref="W2">
    <cfRule type="cellIs" dxfId="179" priority="174" stopIfTrue="1" operator="equal">
      <formula>0</formula>
    </cfRule>
  </conditionalFormatting>
  <conditionalFormatting sqref="W2">
    <cfRule type="cellIs" dxfId="178" priority="173" stopIfTrue="1" operator="equal">
      <formula>0</formula>
    </cfRule>
  </conditionalFormatting>
  <conditionalFormatting sqref="W2">
    <cfRule type="cellIs" dxfId="177" priority="172" stopIfTrue="1" operator="equal">
      <formula>0</formula>
    </cfRule>
  </conditionalFormatting>
  <conditionalFormatting sqref="W2">
    <cfRule type="cellIs" dxfId="176" priority="171" stopIfTrue="1" operator="equal">
      <formula>0</formula>
    </cfRule>
  </conditionalFormatting>
  <conditionalFormatting sqref="W2">
    <cfRule type="cellIs" dxfId="175" priority="170" stopIfTrue="1" operator="equal">
      <formula>0</formula>
    </cfRule>
  </conditionalFormatting>
  <conditionalFormatting sqref="W2">
    <cfRule type="cellIs" dxfId="174" priority="169" stopIfTrue="1" operator="equal">
      <formula>0</formula>
    </cfRule>
  </conditionalFormatting>
  <conditionalFormatting sqref="W2">
    <cfRule type="cellIs" dxfId="173" priority="168" stopIfTrue="1" operator="equal">
      <formula>0</formula>
    </cfRule>
  </conditionalFormatting>
  <conditionalFormatting sqref="W2">
    <cfRule type="cellIs" dxfId="172" priority="167" stopIfTrue="1" operator="equal">
      <formula>0</formula>
    </cfRule>
  </conditionalFormatting>
  <conditionalFormatting sqref="W2">
    <cfRule type="cellIs" dxfId="171" priority="166" stopIfTrue="1" operator="equal">
      <formula>0</formula>
    </cfRule>
  </conditionalFormatting>
  <conditionalFormatting sqref="W2">
    <cfRule type="cellIs" dxfId="170" priority="165" stopIfTrue="1" operator="equal">
      <formula>0</formula>
    </cfRule>
  </conditionalFormatting>
  <conditionalFormatting sqref="W2">
    <cfRule type="cellIs" dxfId="169" priority="164" stopIfTrue="1" operator="equal">
      <formula>0</formula>
    </cfRule>
  </conditionalFormatting>
  <conditionalFormatting sqref="W2">
    <cfRule type="cellIs" dxfId="168" priority="163" stopIfTrue="1" operator="equal">
      <formula>0</formula>
    </cfRule>
  </conditionalFormatting>
  <conditionalFormatting sqref="W2">
    <cfRule type="cellIs" dxfId="167" priority="162" stopIfTrue="1" operator="equal">
      <formula>0</formula>
    </cfRule>
  </conditionalFormatting>
  <conditionalFormatting sqref="W2">
    <cfRule type="cellIs" dxfId="166" priority="161" stopIfTrue="1" operator="equal">
      <formula>0</formula>
    </cfRule>
  </conditionalFormatting>
  <conditionalFormatting sqref="W2">
    <cfRule type="cellIs" dxfId="165" priority="160" stopIfTrue="1" operator="equal">
      <formula>0</formula>
    </cfRule>
  </conditionalFormatting>
  <conditionalFormatting sqref="W2">
    <cfRule type="cellIs" dxfId="164" priority="159" stopIfTrue="1" operator="equal">
      <formula>0</formula>
    </cfRule>
  </conditionalFormatting>
  <conditionalFormatting sqref="W2">
    <cfRule type="cellIs" dxfId="163" priority="158" stopIfTrue="1" operator="equal">
      <formula>0</formula>
    </cfRule>
  </conditionalFormatting>
  <conditionalFormatting sqref="W2">
    <cfRule type="cellIs" dxfId="162" priority="157" stopIfTrue="1" operator="equal">
      <formula>0</formula>
    </cfRule>
  </conditionalFormatting>
  <conditionalFormatting sqref="W2">
    <cfRule type="cellIs" dxfId="161" priority="156" stopIfTrue="1" operator="equal">
      <formula>0</formula>
    </cfRule>
  </conditionalFormatting>
  <conditionalFormatting sqref="X2">
    <cfRule type="cellIs" dxfId="160" priority="155" stopIfTrue="1" operator="equal">
      <formula>0</formula>
    </cfRule>
  </conditionalFormatting>
  <conditionalFormatting sqref="W2">
    <cfRule type="cellIs" dxfId="159" priority="154" stopIfTrue="1" operator="equal">
      <formula>0</formula>
    </cfRule>
  </conditionalFormatting>
  <conditionalFormatting sqref="W2">
    <cfRule type="cellIs" dxfId="158" priority="153" stopIfTrue="1" operator="equal">
      <formula>0</formula>
    </cfRule>
  </conditionalFormatting>
  <conditionalFormatting sqref="W2">
    <cfRule type="cellIs" dxfId="157" priority="152" stopIfTrue="1" operator="equal">
      <formula>0</formula>
    </cfRule>
  </conditionalFormatting>
  <conditionalFormatting sqref="W2">
    <cfRule type="cellIs" dxfId="156" priority="151" stopIfTrue="1" operator="equal">
      <formula>0</formula>
    </cfRule>
  </conditionalFormatting>
  <conditionalFormatting sqref="W2">
    <cfRule type="cellIs" dxfId="155" priority="150" stopIfTrue="1" operator="equal">
      <formula>0</formula>
    </cfRule>
  </conditionalFormatting>
  <conditionalFormatting sqref="W2">
    <cfRule type="cellIs" dxfId="154" priority="149" stopIfTrue="1" operator="equal">
      <formula>0</formula>
    </cfRule>
  </conditionalFormatting>
  <conditionalFormatting sqref="W2">
    <cfRule type="cellIs" dxfId="153" priority="148" stopIfTrue="1" operator="equal">
      <formula>0</formula>
    </cfRule>
  </conditionalFormatting>
  <conditionalFormatting sqref="W2">
    <cfRule type="cellIs" dxfId="152" priority="147" stopIfTrue="1" operator="equal">
      <formula>0</formula>
    </cfRule>
  </conditionalFormatting>
  <conditionalFormatting sqref="W2">
    <cfRule type="cellIs" dxfId="151" priority="146" stopIfTrue="1" operator="equal">
      <formula>0</formula>
    </cfRule>
  </conditionalFormatting>
  <conditionalFormatting sqref="W2">
    <cfRule type="cellIs" dxfId="150" priority="145" stopIfTrue="1" operator="equal">
      <formula>0</formula>
    </cfRule>
  </conditionalFormatting>
  <conditionalFormatting sqref="W2">
    <cfRule type="cellIs" dxfId="149" priority="144" stopIfTrue="1" operator="equal">
      <formula>0</formula>
    </cfRule>
  </conditionalFormatting>
  <conditionalFormatting sqref="W2">
    <cfRule type="cellIs" dxfId="148" priority="143" stopIfTrue="1" operator="equal">
      <formula>0</formula>
    </cfRule>
  </conditionalFormatting>
  <conditionalFormatting sqref="W2">
    <cfRule type="cellIs" dxfId="147" priority="142" stopIfTrue="1" operator="equal">
      <formula>0</formula>
    </cfRule>
  </conditionalFormatting>
  <conditionalFormatting sqref="W2">
    <cfRule type="cellIs" dxfId="146" priority="141" stopIfTrue="1" operator="equal">
      <formula>0</formula>
    </cfRule>
  </conditionalFormatting>
  <conditionalFormatting sqref="W2">
    <cfRule type="cellIs" dxfId="145" priority="140" stopIfTrue="1" operator="equal">
      <formula>0</formula>
    </cfRule>
  </conditionalFormatting>
  <conditionalFormatting sqref="W2">
    <cfRule type="cellIs" dxfId="144" priority="139" stopIfTrue="1" operator="equal">
      <formula>0</formula>
    </cfRule>
  </conditionalFormatting>
  <conditionalFormatting sqref="W2">
    <cfRule type="cellIs" dxfId="143" priority="138" stopIfTrue="1" operator="equal">
      <formula>0</formula>
    </cfRule>
  </conditionalFormatting>
  <conditionalFormatting sqref="W2">
    <cfRule type="cellIs" dxfId="142" priority="137" stopIfTrue="1" operator="equal">
      <formula>0</formula>
    </cfRule>
  </conditionalFormatting>
  <conditionalFormatting sqref="W2">
    <cfRule type="cellIs" dxfId="141" priority="136" stopIfTrue="1" operator="equal">
      <formula>0</formula>
    </cfRule>
  </conditionalFormatting>
  <conditionalFormatting sqref="W2">
    <cfRule type="cellIs" dxfId="140" priority="135" stopIfTrue="1" operator="equal">
      <formula>0</formula>
    </cfRule>
  </conditionalFormatting>
  <conditionalFormatting sqref="W2">
    <cfRule type="cellIs" dxfId="139" priority="134" stopIfTrue="1" operator="equal">
      <formula>0</formula>
    </cfRule>
  </conditionalFormatting>
  <conditionalFormatting sqref="W2">
    <cfRule type="cellIs" dxfId="138" priority="133" stopIfTrue="1" operator="equal">
      <formula>0</formula>
    </cfRule>
  </conditionalFormatting>
  <conditionalFormatting sqref="W2">
    <cfRule type="cellIs" dxfId="137" priority="132" stopIfTrue="1" operator="equal">
      <formula>0</formula>
    </cfRule>
  </conditionalFormatting>
  <conditionalFormatting sqref="W2">
    <cfRule type="cellIs" dxfId="136" priority="131" stopIfTrue="1" operator="equal">
      <formula>0</formula>
    </cfRule>
  </conditionalFormatting>
  <conditionalFormatting sqref="W2">
    <cfRule type="cellIs" dxfId="135" priority="130" stopIfTrue="1" operator="equal">
      <formula>0</formula>
    </cfRule>
  </conditionalFormatting>
  <conditionalFormatting sqref="W2">
    <cfRule type="cellIs" dxfId="134" priority="129" stopIfTrue="1" operator="equal">
      <formula>0</formula>
    </cfRule>
  </conditionalFormatting>
  <conditionalFormatting sqref="W2">
    <cfRule type="cellIs" dxfId="133" priority="128" stopIfTrue="1" operator="equal">
      <formula>0</formula>
    </cfRule>
  </conditionalFormatting>
  <conditionalFormatting sqref="W2">
    <cfRule type="cellIs" dxfId="132" priority="127" stopIfTrue="1" operator="equal">
      <formula>0</formula>
    </cfRule>
  </conditionalFormatting>
  <conditionalFormatting sqref="W2">
    <cfRule type="cellIs" dxfId="131" priority="126" stopIfTrue="1" operator="equal">
      <formula>0</formula>
    </cfRule>
  </conditionalFormatting>
  <conditionalFormatting sqref="W2">
    <cfRule type="cellIs" dxfId="130" priority="125" stopIfTrue="1" operator="equal">
      <formula>0</formula>
    </cfRule>
  </conditionalFormatting>
  <conditionalFormatting sqref="W2">
    <cfRule type="cellIs" dxfId="129" priority="124" stopIfTrue="1" operator="equal">
      <formula>0</formula>
    </cfRule>
  </conditionalFormatting>
  <conditionalFormatting sqref="W2">
    <cfRule type="cellIs" dxfId="128" priority="123" stopIfTrue="1" operator="equal">
      <formula>0</formula>
    </cfRule>
  </conditionalFormatting>
  <conditionalFormatting sqref="W2">
    <cfRule type="cellIs" dxfId="127" priority="122" stopIfTrue="1" operator="equal">
      <formula>0</formula>
    </cfRule>
  </conditionalFormatting>
  <conditionalFormatting sqref="W2">
    <cfRule type="cellIs" dxfId="126" priority="121" stopIfTrue="1" operator="equal">
      <formula>0</formula>
    </cfRule>
  </conditionalFormatting>
  <conditionalFormatting sqref="W2">
    <cfRule type="cellIs" dxfId="125" priority="120" stopIfTrue="1" operator="equal">
      <formula>0</formula>
    </cfRule>
  </conditionalFormatting>
  <conditionalFormatting sqref="W2">
    <cfRule type="cellIs" dxfId="124" priority="119" stopIfTrue="1" operator="equal">
      <formula>0</formula>
    </cfRule>
  </conditionalFormatting>
  <conditionalFormatting sqref="W2">
    <cfRule type="cellIs" dxfId="123" priority="118" stopIfTrue="1" operator="equal">
      <formula>0</formula>
    </cfRule>
  </conditionalFormatting>
  <conditionalFormatting sqref="W2">
    <cfRule type="cellIs" dxfId="122" priority="117" stopIfTrue="1" operator="equal">
      <formula>0</formula>
    </cfRule>
  </conditionalFormatting>
  <conditionalFormatting sqref="W2">
    <cfRule type="cellIs" dxfId="121" priority="116" stopIfTrue="1" operator="equal">
      <formula>0</formula>
    </cfRule>
  </conditionalFormatting>
  <conditionalFormatting sqref="W2">
    <cfRule type="cellIs" dxfId="120" priority="115" stopIfTrue="1" operator="equal">
      <formula>0</formula>
    </cfRule>
  </conditionalFormatting>
  <conditionalFormatting sqref="W2">
    <cfRule type="cellIs" dxfId="119" priority="114" stopIfTrue="1" operator="equal">
      <formula>0</formula>
    </cfRule>
  </conditionalFormatting>
  <conditionalFormatting sqref="W2">
    <cfRule type="cellIs" dxfId="118" priority="113" stopIfTrue="1" operator="equal">
      <formula>0</formula>
    </cfRule>
  </conditionalFormatting>
  <conditionalFormatting sqref="W2">
    <cfRule type="cellIs" dxfId="117" priority="112" stopIfTrue="1" operator="equal">
      <formula>0</formula>
    </cfRule>
  </conditionalFormatting>
  <conditionalFormatting sqref="W2">
    <cfRule type="cellIs" dxfId="116" priority="111" stopIfTrue="1" operator="equal">
      <formula>0</formula>
    </cfRule>
  </conditionalFormatting>
  <conditionalFormatting sqref="W2">
    <cfRule type="cellIs" dxfId="115" priority="110" stopIfTrue="1" operator="equal">
      <formula>0</formula>
    </cfRule>
  </conditionalFormatting>
  <conditionalFormatting sqref="W2">
    <cfRule type="cellIs" dxfId="114" priority="109" stopIfTrue="1" operator="equal">
      <formula>0</formula>
    </cfRule>
  </conditionalFormatting>
  <conditionalFormatting sqref="W2">
    <cfRule type="cellIs" dxfId="113" priority="108" stopIfTrue="1" operator="equal">
      <formula>0</formula>
    </cfRule>
  </conditionalFormatting>
  <conditionalFormatting sqref="W2">
    <cfRule type="cellIs" dxfId="112" priority="107" stopIfTrue="1" operator="equal">
      <formula>0</formula>
    </cfRule>
  </conditionalFormatting>
  <conditionalFormatting sqref="W2">
    <cfRule type="cellIs" dxfId="111" priority="106" stopIfTrue="1" operator="equal">
      <formula>0</formula>
    </cfRule>
  </conditionalFormatting>
  <conditionalFormatting sqref="W2">
    <cfRule type="cellIs" dxfId="110" priority="105" stopIfTrue="1" operator="equal">
      <formula>0</formula>
    </cfRule>
  </conditionalFormatting>
  <conditionalFormatting sqref="W2">
    <cfRule type="cellIs" dxfId="109" priority="104" stopIfTrue="1" operator="equal">
      <formula>0</formula>
    </cfRule>
  </conditionalFormatting>
  <conditionalFormatting sqref="W2">
    <cfRule type="cellIs" dxfId="108" priority="103" stopIfTrue="1" operator="equal">
      <formula>0</formula>
    </cfRule>
  </conditionalFormatting>
  <conditionalFormatting sqref="W2">
    <cfRule type="cellIs" dxfId="107" priority="102" stopIfTrue="1" operator="equal">
      <formula>0</formula>
    </cfRule>
  </conditionalFormatting>
  <conditionalFormatting sqref="W2">
    <cfRule type="cellIs" dxfId="106" priority="101" stopIfTrue="1" operator="equal">
      <formula>0</formula>
    </cfRule>
  </conditionalFormatting>
  <conditionalFormatting sqref="W2">
    <cfRule type="cellIs" dxfId="105" priority="100" stopIfTrue="1" operator="equal">
      <formula>0</formula>
    </cfRule>
  </conditionalFormatting>
  <conditionalFormatting sqref="W2">
    <cfRule type="cellIs" dxfId="104" priority="99" stopIfTrue="1" operator="equal">
      <formula>0</formula>
    </cfRule>
  </conditionalFormatting>
  <conditionalFormatting sqref="W2">
    <cfRule type="cellIs" dxfId="103" priority="98" stopIfTrue="1" operator="equal">
      <formula>0</formula>
    </cfRule>
  </conditionalFormatting>
  <conditionalFormatting sqref="W2">
    <cfRule type="cellIs" dxfId="102" priority="97" stopIfTrue="1" operator="equal">
      <formula>0</formula>
    </cfRule>
  </conditionalFormatting>
  <conditionalFormatting sqref="W2">
    <cfRule type="cellIs" dxfId="101" priority="96" stopIfTrue="1" operator="equal">
      <formula>0</formula>
    </cfRule>
  </conditionalFormatting>
  <conditionalFormatting sqref="W2">
    <cfRule type="cellIs" dxfId="100" priority="95" stopIfTrue="1" operator="equal">
      <formula>0</formula>
    </cfRule>
  </conditionalFormatting>
  <conditionalFormatting sqref="W2">
    <cfRule type="cellIs" dxfId="99" priority="94" stopIfTrue="1" operator="equal">
      <formula>0</formula>
    </cfRule>
  </conditionalFormatting>
  <conditionalFormatting sqref="W2">
    <cfRule type="cellIs" dxfId="98" priority="93" stopIfTrue="1" operator="equal">
      <formula>0</formula>
    </cfRule>
  </conditionalFormatting>
  <conditionalFormatting sqref="W2">
    <cfRule type="cellIs" dxfId="97" priority="92" stopIfTrue="1" operator="equal">
      <formula>0</formula>
    </cfRule>
  </conditionalFormatting>
  <conditionalFormatting sqref="W2">
    <cfRule type="cellIs" dxfId="96" priority="91" stopIfTrue="1" operator="equal">
      <formula>0</formula>
    </cfRule>
  </conditionalFormatting>
  <conditionalFormatting sqref="W2">
    <cfRule type="cellIs" dxfId="95" priority="90" stopIfTrue="1" operator="equal">
      <formula>0</formula>
    </cfRule>
  </conditionalFormatting>
  <conditionalFormatting sqref="W2">
    <cfRule type="cellIs" dxfId="94" priority="89" stopIfTrue="1" operator="equal">
      <formula>0</formula>
    </cfRule>
  </conditionalFormatting>
  <conditionalFormatting sqref="W2">
    <cfRule type="cellIs" dxfId="93" priority="88" stopIfTrue="1" operator="equal">
      <formula>0</formula>
    </cfRule>
  </conditionalFormatting>
  <conditionalFormatting sqref="W2">
    <cfRule type="cellIs" dxfId="92" priority="87" stopIfTrue="1" operator="equal">
      <formula>0</formula>
    </cfRule>
  </conditionalFormatting>
  <conditionalFormatting sqref="W2">
    <cfRule type="cellIs" dxfId="91" priority="86" stopIfTrue="1" operator="equal">
      <formula>0</formula>
    </cfRule>
  </conditionalFormatting>
  <conditionalFormatting sqref="W2">
    <cfRule type="cellIs" dxfId="90" priority="85" stopIfTrue="1" operator="equal">
      <formula>0</formula>
    </cfRule>
  </conditionalFormatting>
  <conditionalFormatting sqref="W2">
    <cfRule type="cellIs" dxfId="89" priority="84" stopIfTrue="1" operator="equal">
      <formula>0</formula>
    </cfRule>
  </conditionalFormatting>
  <conditionalFormatting sqref="W2">
    <cfRule type="cellIs" dxfId="88" priority="83" stopIfTrue="1" operator="equal">
      <formula>0</formula>
    </cfRule>
  </conditionalFormatting>
  <conditionalFormatting sqref="W2">
    <cfRule type="cellIs" dxfId="87" priority="82" stopIfTrue="1" operator="equal">
      <formula>0</formula>
    </cfRule>
  </conditionalFormatting>
  <conditionalFormatting sqref="W2">
    <cfRule type="cellIs" dxfId="86" priority="81" stopIfTrue="1" operator="equal">
      <formula>0</formula>
    </cfRule>
  </conditionalFormatting>
  <conditionalFormatting sqref="W2">
    <cfRule type="cellIs" dxfId="85" priority="80" stopIfTrue="1" operator="equal">
      <formula>0</formula>
    </cfRule>
  </conditionalFormatting>
  <conditionalFormatting sqref="W2">
    <cfRule type="cellIs" dxfId="84" priority="79" stopIfTrue="1" operator="equal">
      <formula>0</formula>
    </cfRule>
  </conditionalFormatting>
  <conditionalFormatting sqref="W2">
    <cfRule type="cellIs" dxfId="83" priority="78" stopIfTrue="1" operator="equal">
      <formula>0</formula>
    </cfRule>
  </conditionalFormatting>
  <conditionalFormatting sqref="W2">
    <cfRule type="cellIs" dxfId="82" priority="77" stopIfTrue="1" operator="equal">
      <formula>0</formula>
    </cfRule>
  </conditionalFormatting>
  <conditionalFormatting sqref="W2">
    <cfRule type="cellIs" dxfId="81" priority="76" stopIfTrue="1" operator="equal">
      <formula>0</formula>
    </cfRule>
  </conditionalFormatting>
  <conditionalFormatting sqref="W2">
    <cfRule type="cellIs" dxfId="80" priority="75" stopIfTrue="1" operator="equal">
      <formula>0</formula>
    </cfRule>
  </conditionalFormatting>
  <conditionalFormatting sqref="W2">
    <cfRule type="cellIs" dxfId="79" priority="74" stopIfTrue="1" operator="equal">
      <formula>0</formula>
    </cfRule>
  </conditionalFormatting>
  <conditionalFormatting sqref="W2">
    <cfRule type="cellIs" dxfId="78" priority="73" stopIfTrue="1" operator="equal">
      <formula>0</formula>
    </cfRule>
  </conditionalFormatting>
  <conditionalFormatting sqref="W2">
    <cfRule type="cellIs" dxfId="77" priority="72" stopIfTrue="1" operator="equal">
      <formula>0</formula>
    </cfRule>
  </conditionalFormatting>
  <conditionalFormatting sqref="W2">
    <cfRule type="cellIs" dxfId="76" priority="71" stopIfTrue="1" operator="equal">
      <formula>0</formula>
    </cfRule>
  </conditionalFormatting>
  <conditionalFormatting sqref="W2">
    <cfRule type="cellIs" dxfId="75" priority="70" stopIfTrue="1" operator="equal">
      <formula>0</formula>
    </cfRule>
  </conditionalFormatting>
  <conditionalFormatting sqref="W2">
    <cfRule type="cellIs" dxfId="74" priority="69" stopIfTrue="1" operator="equal">
      <formula>0</formula>
    </cfRule>
  </conditionalFormatting>
  <conditionalFormatting sqref="W2">
    <cfRule type="cellIs" dxfId="73" priority="68" stopIfTrue="1" operator="equal">
      <formula>0</formula>
    </cfRule>
  </conditionalFormatting>
  <conditionalFormatting sqref="W2">
    <cfRule type="cellIs" dxfId="72" priority="67" stopIfTrue="1" operator="equal">
      <formula>0</formula>
    </cfRule>
  </conditionalFormatting>
  <conditionalFormatting sqref="W2">
    <cfRule type="cellIs" dxfId="71" priority="66" stopIfTrue="1" operator="equal">
      <formula>0</formula>
    </cfRule>
  </conditionalFormatting>
  <conditionalFormatting sqref="W2">
    <cfRule type="cellIs" dxfId="70" priority="65" stopIfTrue="1" operator="equal">
      <formula>0</formula>
    </cfRule>
  </conditionalFormatting>
  <conditionalFormatting sqref="W2">
    <cfRule type="cellIs" dxfId="69" priority="64" stopIfTrue="1" operator="equal">
      <formula>0</formula>
    </cfRule>
  </conditionalFormatting>
  <conditionalFormatting sqref="W2">
    <cfRule type="cellIs" dxfId="68" priority="63" stopIfTrue="1" operator="equal">
      <formula>0</formula>
    </cfRule>
  </conditionalFormatting>
  <conditionalFormatting sqref="W2">
    <cfRule type="cellIs" dxfId="67" priority="62" stopIfTrue="1" operator="equal">
      <formula>0</formula>
    </cfRule>
  </conditionalFormatting>
  <conditionalFormatting sqref="W2">
    <cfRule type="cellIs" dxfId="66" priority="61" stopIfTrue="1" operator="equal">
      <formula>0</formula>
    </cfRule>
  </conditionalFormatting>
  <conditionalFormatting sqref="W2">
    <cfRule type="cellIs" dxfId="65" priority="60" stopIfTrue="1" operator="equal">
      <formula>0</formula>
    </cfRule>
  </conditionalFormatting>
  <conditionalFormatting sqref="W2">
    <cfRule type="cellIs" dxfId="64" priority="59" stopIfTrue="1" operator="equal">
      <formula>0</formula>
    </cfRule>
  </conditionalFormatting>
  <conditionalFormatting sqref="W2">
    <cfRule type="cellIs" dxfId="63" priority="58" stopIfTrue="1" operator="equal">
      <formula>0</formula>
    </cfRule>
  </conditionalFormatting>
  <conditionalFormatting sqref="W2">
    <cfRule type="cellIs" dxfId="62" priority="57" stopIfTrue="1" operator="equal">
      <formula>0</formula>
    </cfRule>
  </conditionalFormatting>
  <conditionalFormatting sqref="W2">
    <cfRule type="cellIs" dxfId="61" priority="56" stopIfTrue="1" operator="equal">
      <formula>0</formula>
    </cfRule>
  </conditionalFormatting>
  <conditionalFormatting sqref="W2">
    <cfRule type="cellIs" dxfId="60" priority="55" stopIfTrue="1" operator="equal">
      <formula>0</formula>
    </cfRule>
  </conditionalFormatting>
  <conditionalFormatting sqref="W2">
    <cfRule type="cellIs" dxfId="59" priority="54" stopIfTrue="1" operator="equal">
      <formula>0</formula>
    </cfRule>
  </conditionalFormatting>
  <conditionalFormatting sqref="W2">
    <cfRule type="cellIs" dxfId="58" priority="53" stopIfTrue="1" operator="equal">
      <formula>0</formula>
    </cfRule>
  </conditionalFormatting>
  <conditionalFormatting sqref="W2">
    <cfRule type="cellIs" dxfId="57" priority="52" stopIfTrue="1" operator="equal">
      <formula>0</formula>
    </cfRule>
  </conditionalFormatting>
  <conditionalFormatting sqref="W2">
    <cfRule type="cellIs" dxfId="56" priority="51" stopIfTrue="1" operator="equal">
      <formula>0</formula>
    </cfRule>
  </conditionalFormatting>
  <conditionalFormatting sqref="W2">
    <cfRule type="cellIs" dxfId="55" priority="50" stopIfTrue="1" operator="equal">
      <formula>0</formula>
    </cfRule>
  </conditionalFormatting>
  <conditionalFormatting sqref="W2">
    <cfRule type="cellIs" dxfId="54" priority="49" stopIfTrue="1" operator="equal">
      <formula>0</formula>
    </cfRule>
  </conditionalFormatting>
  <conditionalFormatting sqref="W2">
    <cfRule type="cellIs" dxfId="53" priority="48" stopIfTrue="1" operator="equal">
      <formula>0</formula>
    </cfRule>
  </conditionalFormatting>
  <conditionalFormatting sqref="W2">
    <cfRule type="cellIs" dxfId="52" priority="47" stopIfTrue="1" operator="equal">
      <formula>0</formula>
    </cfRule>
  </conditionalFormatting>
  <conditionalFormatting sqref="W2">
    <cfRule type="cellIs" dxfId="51" priority="46" stopIfTrue="1" operator="equal">
      <formula>0</formula>
    </cfRule>
  </conditionalFormatting>
  <conditionalFormatting sqref="W2">
    <cfRule type="cellIs" dxfId="50" priority="45" stopIfTrue="1" operator="equal">
      <formula>0</formula>
    </cfRule>
  </conditionalFormatting>
  <conditionalFormatting sqref="W2">
    <cfRule type="cellIs" dxfId="49" priority="44" stopIfTrue="1" operator="equal">
      <formula>0</formula>
    </cfRule>
  </conditionalFormatting>
  <conditionalFormatting sqref="W2">
    <cfRule type="cellIs" dxfId="48" priority="43" stopIfTrue="1" operator="equal">
      <formula>0</formula>
    </cfRule>
  </conditionalFormatting>
  <conditionalFormatting sqref="W2">
    <cfRule type="cellIs" dxfId="47" priority="42" stopIfTrue="1" operator="equal">
      <formula>0</formula>
    </cfRule>
  </conditionalFormatting>
  <conditionalFormatting sqref="W2">
    <cfRule type="cellIs" dxfId="46" priority="41" stopIfTrue="1" operator="equal">
      <formula>0</formula>
    </cfRule>
  </conditionalFormatting>
  <conditionalFormatting sqref="W2">
    <cfRule type="cellIs" dxfId="45" priority="40" stopIfTrue="1" operator="equal">
      <formula>0</formula>
    </cfRule>
  </conditionalFormatting>
  <conditionalFormatting sqref="W2">
    <cfRule type="cellIs" dxfId="44" priority="39" stopIfTrue="1" operator="equal">
      <formula>0</formula>
    </cfRule>
  </conditionalFormatting>
  <conditionalFormatting sqref="W2">
    <cfRule type="cellIs" dxfId="43" priority="38" stopIfTrue="1" operator="equal">
      <formula>0</formula>
    </cfRule>
  </conditionalFormatting>
  <conditionalFormatting sqref="W2">
    <cfRule type="cellIs" dxfId="42" priority="37" stopIfTrue="1" operator="equal">
      <formula>0</formula>
    </cfRule>
  </conditionalFormatting>
  <conditionalFormatting sqref="W2">
    <cfRule type="cellIs" dxfId="41" priority="36" stopIfTrue="1" operator="equal">
      <formula>0</formula>
    </cfRule>
  </conditionalFormatting>
  <conditionalFormatting sqref="W2">
    <cfRule type="cellIs" dxfId="40" priority="35" stopIfTrue="1" operator="equal">
      <formula>0</formula>
    </cfRule>
  </conditionalFormatting>
  <conditionalFormatting sqref="W2">
    <cfRule type="cellIs" dxfId="39" priority="34" stopIfTrue="1" operator="equal">
      <formula>0</formula>
    </cfRule>
  </conditionalFormatting>
  <conditionalFormatting sqref="W2">
    <cfRule type="cellIs" dxfId="38" priority="33" stopIfTrue="1" operator="equal">
      <formula>0</formula>
    </cfRule>
  </conditionalFormatting>
  <conditionalFormatting sqref="W2">
    <cfRule type="cellIs" dxfId="37" priority="32" stopIfTrue="1" operator="equal">
      <formula>0</formula>
    </cfRule>
  </conditionalFormatting>
  <conditionalFormatting sqref="W2">
    <cfRule type="cellIs" dxfId="36" priority="31" stopIfTrue="1" operator="equal">
      <formula>0</formula>
    </cfRule>
  </conditionalFormatting>
  <conditionalFormatting sqref="W2">
    <cfRule type="cellIs" dxfId="35" priority="30" stopIfTrue="1" operator="equal">
      <formula>0</formula>
    </cfRule>
  </conditionalFormatting>
  <conditionalFormatting sqref="W2">
    <cfRule type="cellIs" dxfId="34" priority="29" stopIfTrue="1" operator="equal">
      <formula>0</formula>
    </cfRule>
  </conditionalFormatting>
  <conditionalFormatting sqref="W2">
    <cfRule type="cellIs" dxfId="33" priority="28" stopIfTrue="1" operator="equal">
      <formula>0</formula>
    </cfRule>
  </conditionalFormatting>
  <conditionalFormatting sqref="W2">
    <cfRule type="cellIs" dxfId="32" priority="27" stopIfTrue="1" operator="equal">
      <formula>0</formula>
    </cfRule>
  </conditionalFormatting>
  <conditionalFormatting sqref="W2">
    <cfRule type="cellIs" dxfId="31" priority="26" stopIfTrue="1" operator="equal">
      <formula>0</formula>
    </cfRule>
  </conditionalFormatting>
  <conditionalFormatting sqref="W2">
    <cfRule type="cellIs" dxfId="30" priority="25" stopIfTrue="1" operator="equal">
      <formula>0</formula>
    </cfRule>
  </conditionalFormatting>
  <conditionalFormatting sqref="W2">
    <cfRule type="cellIs" dxfId="29" priority="24" stopIfTrue="1" operator="equal">
      <formula>0</formula>
    </cfRule>
  </conditionalFormatting>
  <conditionalFormatting sqref="W2">
    <cfRule type="cellIs" dxfId="28" priority="23" stopIfTrue="1" operator="equal">
      <formula>0</formula>
    </cfRule>
  </conditionalFormatting>
  <conditionalFormatting sqref="X2">
    <cfRule type="cellIs" dxfId="27" priority="22" stopIfTrue="1" operator="equal">
      <formula>0</formula>
    </cfRule>
  </conditionalFormatting>
  <conditionalFormatting sqref="X2">
    <cfRule type="cellIs" dxfId="26" priority="21" stopIfTrue="1" operator="equal">
      <formula>0</formula>
    </cfRule>
  </conditionalFormatting>
  <conditionalFormatting sqref="X2">
    <cfRule type="cellIs" dxfId="25" priority="20" stopIfTrue="1" operator="equal">
      <formula>0</formula>
    </cfRule>
  </conditionalFormatting>
  <conditionalFormatting sqref="X2">
    <cfRule type="cellIs" dxfId="24" priority="19" stopIfTrue="1" operator="equal">
      <formula>0</formula>
    </cfRule>
  </conditionalFormatting>
  <conditionalFormatting sqref="V2">
    <cfRule type="cellIs" dxfId="23" priority="18" stopIfTrue="1" operator="equal">
      <formula>0</formula>
    </cfRule>
  </conditionalFormatting>
  <conditionalFormatting sqref="V2">
    <cfRule type="cellIs" dxfId="22" priority="17" stopIfTrue="1" operator="equal">
      <formula>0</formula>
    </cfRule>
  </conditionalFormatting>
  <conditionalFormatting sqref="V2">
    <cfRule type="cellIs" dxfId="21" priority="16" stopIfTrue="1" operator="equal">
      <formula>0</formula>
    </cfRule>
  </conditionalFormatting>
  <conditionalFormatting sqref="V2">
    <cfRule type="cellIs" dxfId="20" priority="15" stopIfTrue="1" operator="equal">
      <formula>0</formula>
    </cfRule>
  </conditionalFormatting>
  <conditionalFormatting sqref="V2">
    <cfRule type="cellIs" dxfId="19" priority="14" stopIfTrue="1" operator="equal">
      <formula>0</formula>
    </cfRule>
  </conditionalFormatting>
  <conditionalFormatting sqref="V2">
    <cfRule type="cellIs" dxfId="18" priority="13" stopIfTrue="1" operator="equal">
      <formula>0</formula>
    </cfRule>
  </conditionalFormatting>
  <conditionalFormatting sqref="V2">
    <cfRule type="cellIs" dxfId="17" priority="12" stopIfTrue="1" operator="equal">
      <formula>0</formula>
    </cfRule>
  </conditionalFormatting>
  <conditionalFormatting sqref="V2">
    <cfRule type="cellIs" dxfId="16" priority="11" stopIfTrue="1" operator="equal">
      <formula>0</formula>
    </cfRule>
  </conditionalFormatting>
  <conditionalFormatting sqref="V2">
    <cfRule type="cellIs" dxfId="15" priority="10" stopIfTrue="1" operator="equal">
      <formula>0</formula>
    </cfRule>
  </conditionalFormatting>
  <conditionalFormatting sqref="V2">
    <cfRule type="cellIs" dxfId="14" priority="9" stopIfTrue="1" operator="equal">
      <formula>0</formula>
    </cfRule>
  </conditionalFormatting>
  <conditionalFormatting sqref="V1">
    <cfRule type="cellIs" dxfId="13" priority="8" stopIfTrue="1" operator="equal">
      <formula>0</formula>
    </cfRule>
  </conditionalFormatting>
  <conditionalFormatting sqref="V2">
    <cfRule type="cellIs" dxfId="12" priority="7" stopIfTrue="1" operator="equal">
      <formula>0</formula>
    </cfRule>
  </conditionalFormatting>
  <conditionalFormatting sqref="V2">
    <cfRule type="cellIs" dxfId="11" priority="6" stopIfTrue="1" operator="equal">
      <formula>0</formula>
    </cfRule>
  </conditionalFormatting>
  <conditionalFormatting sqref="V2">
    <cfRule type="cellIs" dxfId="10" priority="5" stopIfTrue="1" operator="equal">
      <formula>0</formula>
    </cfRule>
  </conditionalFormatting>
  <conditionalFormatting sqref="V2">
    <cfRule type="cellIs" dxfId="9" priority="4" stopIfTrue="1" operator="equal">
      <formula>0</formula>
    </cfRule>
  </conditionalFormatting>
  <conditionalFormatting sqref="V2">
    <cfRule type="cellIs" dxfId="8" priority="3" stopIfTrue="1" operator="equal">
      <formula>0</formula>
    </cfRule>
  </conditionalFormatting>
  <conditionalFormatting sqref="V2">
    <cfRule type="cellIs" dxfId="7" priority="2" stopIfTrue="1" operator="equal">
      <formula>0</formula>
    </cfRule>
  </conditionalFormatting>
  <conditionalFormatting sqref="V2">
    <cfRule type="cellIs" dxfId="6" priority="1" stopIfTrue="1" operator="equal">
      <formula>0</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sheetPr>
    <pageSetUpPr fitToPage="1"/>
  </sheetPr>
  <dimension ref="A1:I57"/>
  <sheetViews>
    <sheetView zoomScale="80" zoomScaleNormal="80" workbookViewId="0">
      <selection activeCell="N10" sqref="N10"/>
    </sheetView>
  </sheetViews>
  <sheetFormatPr defaultColWidth="9.140625" defaultRowHeight="15"/>
  <cols>
    <col min="1" max="1" width="9.140625" style="238"/>
    <col min="2" max="2" width="18.42578125" style="238" customWidth="1"/>
    <col min="3" max="3" width="19" style="238" customWidth="1"/>
    <col min="4" max="4" width="11.85546875" style="238" bestFit="1" customWidth="1"/>
    <col min="5" max="5" width="18.7109375" style="238" customWidth="1"/>
    <col min="6" max="7" width="9.140625" style="238"/>
    <col min="8" max="8" width="12.42578125" style="238" bestFit="1" customWidth="1"/>
    <col min="9" max="9" width="17.7109375" style="238" bestFit="1" customWidth="1"/>
    <col min="10" max="16384" width="9.140625" style="238"/>
  </cols>
  <sheetData>
    <row r="1" spans="1:9" ht="35.25">
      <c r="A1" s="237" t="s">
        <v>2975</v>
      </c>
      <c r="B1" s="237"/>
      <c r="C1" s="237"/>
      <c r="D1" s="769" t="str">
        <f>CAPA!A2</f>
        <v>SHW-45075I22</v>
      </c>
      <c r="E1" s="769"/>
      <c r="F1" s="769"/>
      <c r="G1" s="769"/>
      <c r="H1" s="769"/>
      <c r="I1" s="769"/>
    </row>
    <row r="2" spans="1:9" ht="20.25">
      <c r="A2" s="239"/>
      <c r="B2" s="239"/>
      <c r="C2" s="239"/>
      <c r="D2" s="770">
        <f ca="1">TODAY()</f>
        <v>45034</v>
      </c>
      <c r="E2" s="770"/>
      <c r="F2" s="770"/>
      <c r="G2" s="770"/>
      <c r="H2" s="770"/>
      <c r="I2" s="770"/>
    </row>
    <row r="3" spans="1:9" ht="15.75">
      <c r="A3" s="771" t="s">
        <v>2976</v>
      </c>
      <c r="B3" s="771"/>
      <c r="C3" s="771"/>
      <c r="D3" s="771"/>
      <c r="E3" s="771"/>
      <c r="F3" s="771"/>
      <c r="G3" s="771"/>
      <c r="H3" s="771"/>
      <c r="I3" s="771"/>
    </row>
    <row r="4" spans="1:9" ht="74.25" customHeight="1" thickBot="1">
      <c r="A4" s="772" t="s">
        <v>2977</v>
      </c>
      <c r="B4" s="773"/>
      <c r="C4" s="773"/>
      <c r="D4" s="773"/>
      <c r="E4" s="773"/>
      <c r="F4" s="773"/>
      <c r="G4" s="773"/>
      <c r="H4" s="773"/>
      <c r="I4" s="773"/>
    </row>
    <row r="5" spans="1:9" ht="24" thickBot="1">
      <c r="A5" s="774" t="s">
        <v>2978</v>
      </c>
      <c r="B5" s="775"/>
      <c r="C5" s="775"/>
      <c r="D5" s="775"/>
      <c r="E5" s="775"/>
      <c r="F5" s="775"/>
      <c r="G5" s="775"/>
      <c r="H5" s="775"/>
      <c r="I5" s="776"/>
    </row>
    <row r="6" spans="1:9">
      <c r="C6" s="282"/>
      <c r="D6" s="282"/>
      <c r="E6" s="282"/>
      <c r="F6" s="282"/>
      <c r="G6" s="282"/>
      <c r="H6" s="282"/>
      <c r="I6" s="282"/>
    </row>
    <row r="7" spans="1:9" ht="16.5" thickBot="1">
      <c r="A7" s="240" t="s">
        <v>2979</v>
      </c>
      <c r="B7" s="241"/>
      <c r="C7" s="750" t="str">
        <f>CAPA!B2</f>
        <v>HUAWEI</v>
      </c>
      <c r="D7" s="750"/>
      <c r="E7" s="750"/>
      <c r="F7" s="750"/>
      <c r="G7" s="750"/>
      <c r="H7" s="750"/>
      <c r="I7" s="750"/>
    </row>
    <row r="8" spans="1:9" ht="16.5" thickBot="1">
      <c r="A8" s="240" t="s">
        <v>2980</v>
      </c>
      <c r="B8" s="241"/>
      <c r="C8" s="750" t="str">
        <f>CAPA!B2</f>
        <v>HUAWEI</v>
      </c>
      <c r="D8" s="750"/>
      <c r="E8" s="750"/>
      <c r="F8" s="750"/>
      <c r="G8" s="750"/>
      <c r="H8" s="750"/>
      <c r="I8" s="750"/>
    </row>
    <row r="9" spans="1:9" ht="33" customHeight="1" thickBot="1">
      <c r="A9" s="240" t="s">
        <v>1470</v>
      </c>
      <c r="B9" s="242"/>
      <c r="C9" s="759" t="str">
        <f>CAPA!C2</f>
        <v>TALITA</v>
      </c>
      <c r="D9" s="759"/>
      <c r="E9" s="759"/>
      <c r="F9" s="281" t="s">
        <v>3040</v>
      </c>
      <c r="G9" s="760"/>
      <c r="H9" s="760"/>
      <c r="I9" s="760"/>
    </row>
    <row r="10" spans="1:9" ht="168.75" customHeight="1" thickBot="1">
      <c r="A10" s="243" t="s">
        <v>2982</v>
      </c>
      <c r="B10" s="242"/>
      <c r="C10" s="758" t="str">
        <f>CAPA!E2</f>
        <v>BRA2022092750015</v>
      </c>
      <c r="D10" s="758"/>
      <c r="E10" s="758"/>
      <c r="F10" s="283" t="s">
        <v>2981</v>
      </c>
      <c r="G10" s="756" t="str">
        <f>CAPA!D2</f>
        <v>4800017674  4800017679  4800017726  4800017794</v>
      </c>
      <c r="H10" s="757"/>
      <c r="I10" s="757"/>
    </row>
    <row r="11" spans="1:9" ht="7.5" hidden="1" customHeight="1">
      <c r="A11" s="240"/>
      <c r="B11" s="242"/>
      <c r="C11" s="280"/>
      <c r="D11" s="280"/>
      <c r="E11" s="280"/>
      <c r="F11" s="280"/>
      <c r="G11" s="280"/>
      <c r="H11" s="280"/>
      <c r="I11" s="280"/>
    </row>
    <row r="12" spans="1:9" ht="17.25" customHeight="1">
      <c r="A12" s="240" t="s">
        <v>3036</v>
      </c>
      <c r="B12" s="242"/>
      <c r="C12" s="504">
        <f>CAPA!BA2</f>
        <v>1</v>
      </c>
      <c r="D12" s="244"/>
      <c r="E12" s="244"/>
      <c r="F12" s="245" t="s">
        <v>2983</v>
      </c>
      <c r="G12" s="246"/>
      <c r="H12" s="246"/>
      <c r="I12" s="299">
        <f>CAPA!L2</f>
        <v>5679.12</v>
      </c>
    </row>
    <row r="13" spans="1:9" ht="24.95" customHeight="1">
      <c r="A13" s="240" t="s">
        <v>3037</v>
      </c>
      <c r="B13" s="242"/>
      <c r="C13" s="504">
        <f>CAPA!K2</f>
        <v>44</v>
      </c>
      <c r="D13" s="244"/>
      <c r="E13" s="247"/>
      <c r="F13" s="245" t="s">
        <v>2984</v>
      </c>
      <c r="G13" s="248"/>
      <c r="H13" s="248"/>
      <c r="I13" s="276">
        <f>CAPA!AK2</f>
        <v>47081.98</v>
      </c>
    </row>
    <row r="14" spans="1:9" ht="24.95" customHeight="1">
      <c r="A14" s="240" t="s">
        <v>2985</v>
      </c>
      <c r="B14" s="241"/>
      <c r="C14" s="274" t="str">
        <f>CAPA!AG2</f>
        <v>DAP</v>
      </c>
      <c r="D14" s="250"/>
      <c r="E14" s="250"/>
      <c r="F14" s="245" t="s">
        <v>2986</v>
      </c>
      <c r="G14" s="244"/>
      <c r="H14" s="244"/>
      <c r="I14" s="277" t="s">
        <v>3597</v>
      </c>
    </row>
    <row r="15" spans="1:9" ht="24.95" customHeight="1">
      <c r="A15" s="240" t="s">
        <v>2987</v>
      </c>
      <c r="B15" s="241"/>
      <c r="C15" s="300" t="str">
        <f>CAPA!S2</f>
        <v>Shenker</v>
      </c>
      <c r="D15" s="249"/>
      <c r="E15" s="249"/>
      <c r="F15" s="245" t="s">
        <v>2988</v>
      </c>
      <c r="G15" s="251"/>
      <c r="H15" s="461" t="str">
        <f>CAPA!U2</f>
        <v>Original</v>
      </c>
      <c r="I15" s="279"/>
    </row>
    <row r="16" spans="1:9" ht="15.75">
      <c r="A16" s="240" t="s">
        <v>2989</v>
      </c>
      <c r="B16" s="241"/>
      <c r="C16" s="275" t="s">
        <v>2990</v>
      </c>
      <c r="D16" s="249"/>
      <c r="E16" s="249"/>
      <c r="F16" s="245" t="s">
        <v>4517</v>
      </c>
      <c r="G16" s="251"/>
      <c r="H16" s="251"/>
      <c r="I16" s="278"/>
    </row>
    <row r="17" spans="1:9" ht="15.75">
      <c r="A17" s="252" t="s">
        <v>2991</v>
      </c>
      <c r="B17" s="241"/>
      <c r="C17" s="274" t="str">
        <f>CAPA!G2</f>
        <v>EGLV149207014698</v>
      </c>
      <c r="D17" s="249"/>
      <c r="E17" s="249"/>
      <c r="F17" s="751"/>
      <c r="G17" s="752"/>
      <c r="H17" s="752"/>
      <c r="I17" s="752"/>
    </row>
    <row r="18" spans="1:9" ht="15.75">
      <c r="A18" s="240" t="s">
        <v>3038</v>
      </c>
      <c r="B18" s="241"/>
      <c r="C18" s="755" t="str">
        <f>CAPA!H2</f>
        <v>CMA CGM NIAGARA 0AAD1W1MA</v>
      </c>
      <c r="D18" s="755"/>
      <c r="E18" s="755"/>
      <c r="F18" s="755"/>
      <c r="G18" s="755"/>
      <c r="H18" s="755"/>
      <c r="I18" s="755"/>
    </row>
    <row r="19" spans="1:9" ht="15.75">
      <c r="A19" s="240"/>
      <c r="B19" s="241"/>
      <c r="C19" s="253"/>
      <c r="D19" s="242"/>
      <c r="E19" s="242"/>
      <c r="F19" s="242"/>
      <c r="G19" s="242"/>
      <c r="H19" s="242"/>
      <c r="I19" s="254"/>
    </row>
    <row r="20" spans="1:9" ht="16.5" thickBot="1">
      <c r="A20" s="739" t="s">
        <v>2992</v>
      </c>
      <c r="B20" s="739"/>
      <c r="C20" s="740">
        <f>CAPA!O2</f>
        <v>0</v>
      </c>
      <c r="D20" s="740"/>
      <c r="E20" s="255"/>
      <c r="F20" s="240" t="s">
        <v>3130</v>
      </c>
      <c r="G20" s="740">
        <f>CAPA!P2</f>
        <v>44866</v>
      </c>
      <c r="H20" s="740"/>
      <c r="I20" s="740"/>
    </row>
    <row r="21" spans="1:9" ht="15.75">
      <c r="A21" s="241"/>
      <c r="B21" s="256"/>
      <c r="C21" s="241"/>
      <c r="D21" s="241"/>
      <c r="E21" s="242"/>
      <c r="F21" s="242"/>
      <c r="G21" s="241"/>
      <c r="H21" s="241"/>
    </row>
    <row r="22" spans="1:9" ht="15.75">
      <c r="A22" s="257"/>
      <c r="B22" s="258" t="s">
        <v>2993</v>
      </c>
      <c r="C22" s="761"/>
      <c r="D22" s="761"/>
      <c r="E22" s="257"/>
      <c r="F22" s="257" t="s">
        <v>2994</v>
      </c>
      <c r="G22" s="258" t="s">
        <v>2995</v>
      </c>
      <c r="H22" s="260"/>
      <c r="I22" s="261"/>
    </row>
    <row r="23" spans="1:9" ht="15.75">
      <c r="A23" s="257"/>
      <c r="B23" s="258"/>
      <c r="C23" s="241"/>
      <c r="D23" s="259"/>
      <c r="E23" s="262"/>
      <c r="F23" s="241"/>
      <c r="G23" s="257"/>
      <c r="H23" s="260"/>
      <c r="I23" s="261"/>
    </row>
    <row r="24" spans="1:9" ht="15.75">
      <c r="A24" s="262" t="s">
        <v>2996</v>
      </c>
      <c r="B24" s="263" t="s">
        <v>2997</v>
      </c>
      <c r="C24" s="241"/>
      <c r="D24" s="241"/>
      <c r="E24" s="262"/>
      <c r="F24" s="241"/>
      <c r="G24" s="257"/>
      <c r="H24" s="260"/>
      <c r="I24" s="261"/>
    </row>
    <row r="25" spans="1:9" ht="15.75">
      <c r="A25" s="257"/>
      <c r="B25" s="258"/>
      <c r="C25" s="241"/>
      <c r="D25" s="262"/>
      <c r="E25" s="262"/>
      <c r="F25" s="241"/>
      <c r="G25" s="241"/>
      <c r="H25" s="241"/>
      <c r="I25" s="261"/>
    </row>
    <row r="26" spans="1:9" ht="18.75" thickBot="1">
      <c r="A26" s="262" t="s">
        <v>2998</v>
      </c>
      <c r="B26" s="263" t="s">
        <v>2999</v>
      </c>
      <c r="C26" s="264" t="s">
        <v>3000</v>
      </c>
      <c r="D26" s="264"/>
      <c r="E26" s="241"/>
      <c r="F26" s="265" t="s">
        <v>3001</v>
      </c>
      <c r="G26" s="257" t="s">
        <v>2996</v>
      </c>
      <c r="H26" s="260" t="s">
        <v>2146</v>
      </c>
      <c r="I26" s="261"/>
    </row>
    <row r="27" spans="1:9" ht="15.75">
      <c r="A27" s="262"/>
      <c r="B27" s="260"/>
      <c r="C27" s="241"/>
      <c r="D27" s="241"/>
      <c r="E27" s="241"/>
      <c r="F27" s="241"/>
      <c r="G27" s="257" t="s">
        <v>2996</v>
      </c>
      <c r="H27" s="260" t="s">
        <v>2147</v>
      </c>
      <c r="I27" s="261"/>
    </row>
    <row r="28" spans="1:9" ht="15.75">
      <c r="A28" s="262" t="s">
        <v>2996</v>
      </c>
      <c r="B28" s="260" t="s">
        <v>3002</v>
      </c>
      <c r="C28" s="241"/>
      <c r="D28" s="241"/>
      <c r="E28" s="241"/>
      <c r="F28" s="241"/>
      <c r="G28" s="257" t="s">
        <v>2996</v>
      </c>
      <c r="H28" s="260" t="s">
        <v>2148</v>
      </c>
      <c r="I28" s="261"/>
    </row>
    <row r="29" spans="1:9" ht="15.75">
      <c r="A29" s="262"/>
      <c r="B29" s="260"/>
      <c r="C29" s="241"/>
      <c r="D29" s="241"/>
      <c r="E29" s="241"/>
      <c r="F29" s="241"/>
      <c r="G29" s="257"/>
      <c r="H29" s="260"/>
      <c r="I29" s="261"/>
    </row>
    <row r="30" spans="1:9">
      <c r="A30" s="762" t="s">
        <v>3003</v>
      </c>
      <c r="B30" s="763"/>
      <c r="C30" s="764"/>
      <c r="D30" s="764"/>
      <c r="E30" s="764"/>
      <c r="F30" s="764"/>
      <c r="G30" s="764"/>
      <c r="H30" s="764"/>
      <c r="I30" s="764"/>
    </row>
    <row r="31" spans="1:9" ht="25.5" customHeight="1" thickBot="1">
      <c r="A31" s="762"/>
      <c r="B31" s="764"/>
      <c r="C31" s="764"/>
      <c r="D31" s="764"/>
      <c r="E31" s="764"/>
      <c r="F31" s="764"/>
      <c r="G31" s="764"/>
      <c r="H31" s="764"/>
      <c r="I31" s="764"/>
    </row>
    <row r="32" spans="1:9" ht="12.75" hidden="1" customHeight="1" thickBot="1">
      <c r="A32" s="762"/>
      <c r="B32" s="765"/>
      <c r="C32" s="765"/>
      <c r="D32" s="765"/>
      <c r="E32" s="765"/>
      <c r="F32" s="765"/>
      <c r="G32" s="765"/>
      <c r="H32" s="765"/>
      <c r="I32" s="765"/>
    </row>
    <row r="33" spans="1:9" ht="15.75" customHeight="1">
      <c r="A33" s="766" t="s">
        <v>3004</v>
      </c>
      <c r="B33" s="741" t="str">
        <f>CAPA!R2</f>
        <v xml:space="preserve">*Shenker*
28/09 - Recebida Invoice
30/09 - Recebido BL_149207014698-draft
TGBU8674680 / 40'(SH) / EMCPBS1342 / 44 CASES
</v>
      </c>
      <c r="C33" s="742"/>
      <c r="D33" s="742"/>
      <c r="E33" s="742"/>
      <c r="F33" s="742"/>
      <c r="G33" s="742"/>
      <c r="H33" s="742"/>
      <c r="I33" s="743"/>
    </row>
    <row r="34" spans="1:9" ht="23.25" customHeight="1">
      <c r="A34" s="767"/>
      <c r="B34" s="744"/>
      <c r="C34" s="745"/>
      <c r="D34" s="745"/>
      <c r="E34" s="745"/>
      <c r="F34" s="745"/>
      <c r="G34" s="745"/>
      <c r="H34" s="745"/>
      <c r="I34" s="746"/>
    </row>
    <row r="35" spans="1:9">
      <c r="A35" s="767"/>
      <c r="B35" s="744"/>
      <c r="C35" s="745"/>
      <c r="D35" s="745"/>
      <c r="E35" s="745"/>
      <c r="F35" s="745"/>
      <c r="G35" s="745"/>
      <c r="H35" s="745"/>
      <c r="I35" s="746"/>
    </row>
    <row r="36" spans="1:9" ht="24" customHeight="1">
      <c r="A36" s="767"/>
      <c r="B36" s="744"/>
      <c r="C36" s="745"/>
      <c r="D36" s="745"/>
      <c r="E36" s="745"/>
      <c r="F36" s="745"/>
      <c r="G36" s="745"/>
      <c r="H36" s="745"/>
      <c r="I36" s="746"/>
    </row>
    <row r="37" spans="1:9" ht="15" customHeight="1">
      <c r="A37" s="767"/>
      <c r="B37" s="744"/>
      <c r="C37" s="745"/>
      <c r="D37" s="745"/>
      <c r="E37" s="745"/>
      <c r="F37" s="745"/>
      <c r="G37" s="745"/>
      <c r="H37" s="745"/>
      <c r="I37" s="746"/>
    </row>
    <row r="38" spans="1:9" ht="15.75" customHeight="1" thickBot="1">
      <c r="A38" s="768"/>
      <c r="B38" s="747"/>
      <c r="C38" s="748"/>
      <c r="D38" s="748"/>
      <c r="E38" s="748"/>
      <c r="F38" s="748"/>
      <c r="G38" s="748"/>
      <c r="H38" s="748"/>
      <c r="I38" s="749"/>
    </row>
    <row r="39" spans="1:9" ht="15.75">
      <c r="A39" s="266"/>
      <c r="B39" s="267"/>
      <c r="C39" s="267"/>
      <c r="D39" s="267"/>
      <c r="E39" s="267"/>
      <c r="F39" s="267"/>
      <c r="G39" s="267"/>
      <c r="H39" s="267"/>
      <c r="I39" s="267"/>
    </row>
    <row r="40" spans="1:9" ht="15.75">
      <c r="A40" s="241" t="s">
        <v>3005</v>
      </c>
      <c r="B40" s="241"/>
      <c r="C40" s="241"/>
      <c r="D40" s="241"/>
      <c r="E40" s="241"/>
      <c r="F40" s="241"/>
      <c r="G40" s="241"/>
      <c r="H40" s="241"/>
      <c r="I40" s="261"/>
    </row>
    <row r="41" spans="1:9" ht="15.75">
      <c r="A41" s="268" t="s">
        <v>3006</v>
      </c>
      <c r="B41" s="269"/>
      <c r="C41" s="270" t="s">
        <v>3007</v>
      </c>
      <c r="D41" s="269"/>
      <c r="E41" s="270" t="s">
        <v>3008</v>
      </c>
      <c r="F41" s="269"/>
      <c r="G41" s="269"/>
      <c r="H41" s="270" t="s">
        <v>3009</v>
      </c>
      <c r="I41" s="269"/>
    </row>
    <row r="42" spans="1:9" ht="15.75">
      <c r="A42" s="258"/>
      <c r="B42" s="241"/>
      <c r="C42" s="258"/>
      <c r="D42" s="263"/>
      <c r="E42" s="241"/>
      <c r="F42" s="241"/>
      <c r="G42" s="241"/>
      <c r="H42" s="241"/>
      <c r="I42" s="261"/>
    </row>
    <row r="43" spans="1:9" ht="15.75">
      <c r="A43" s="270" t="s">
        <v>3010</v>
      </c>
      <c r="B43" s="270"/>
      <c r="C43" s="271" t="s">
        <v>3011</v>
      </c>
      <c r="D43" s="269"/>
      <c r="E43" s="270"/>
      <c r="F43" s="241"/>
      <c r="G43" s="241"/>
      <c r="H43" s="270" t="s">
        <v>3012</v>
      </c>
      <c r="I43" s="261"/>
    </row>
    <row r="44" spans="1:9" ht="15.75">
      <c r="A44" s="270"/>
      <c r="B44" s="270"/>
      <c r="C44" s="271"/>
      <c r="D44" s="269"/>
      <c r="E44" s="270"/>
      <c r="F44" s="241"/>
      <c r="G44" s="241"/>
      <c r="H44" s="270"/>
      <c r="I44" s="261"/>
    </row>
    <row r="45" spans="1:9" ht="15.75">
      <c r="A45" s="753" t="s">
        <v>3013</v>
      </c>
      <c r="B45" s="753"/>
      <c r="C45" s="753"/>
      <c r="D45" s="753"/>
      <c r="E45" s="753"/>
      <c r="F45" s="753"/>
      <c r="G45" s="753"/>
      <c r="H45" s="753"/>
      <c r="I45" s="753"/>
    </row>
    <row r="46" spans="1:9" ht="15.75">
      <c r="A46" s="269"/>
      <c r="B46" s="269"/>
      <c r="C46" s="269"/>
      <c r="D46" s="269"/>
      <c r="E46" s="269"/>
      <c r="F46" s="269"/>
      <c r="G46" s="269"/>
      <c r="H46" s="269"/>
      <c r="I46" s="269"/>
    </row>
    <row r="47" spans="1:9" ht="18.75">
      <c r="A47" s="754" t="s">
        <v>3014</v>
      </c>
      <c r="B47" s="754"/>
      <c r="C47" s="754"/>
      <c r="D47" s="754"/>
      <c r="E47" s="754"/>
      <c r="F47" s="754"/>
      <c r="G47" s="754"/>
      <c r="H47" s="754"/>
      <c r="I47" s="754"/>
    </row>
    <row r="48" spans="1:9" ht="19.5" thickBot="1">
      <c r="C48" s="272" t="s">
        <v>3015</v>
      </c>
      <c r="D48" s="273"/>
      <c r="E48" s="273"/>
      <c r="F48" s="273"/>
    </row>
    <row r="49" spans="3:9" ht="19.5" thickBot="1">
      <c r="C49" s="272" t="s">
        <v>3016</v>
      </c>
      <c r="D49" s="273"/>
      <c r="E49" s="273"/>
      <c r="F49" s="273"/>
    </row>
    <row r="50" spans="3:9" ht="19.5" thickBot="1">
      <c r="C50" s="272" t="s">
        <v>3017</v>
      </c>
      <c r="D50" s="273"/>
      <c r="E50" s="273"/>
      <c r="F50" s="273"/>
    </row>
    <row r="51" spans="3:9" ht="19.5" thickBot="1">
      <c r="C51" s="272" t="s">
        <v>3018</v>
      </c>
      <c r="D51" s="273"/>
      <c r="E51" s="273"/>
      <c r="F51" s="273"/>
    </row>
    <row r="52" spans="3:9" ht="19.5" thickBot="1">
      <c r="C52" s="272" t="s">
        <v>3019</v>
      </c>
      <c r="D52" s="273"/>
      <c r="E52" s="273"/>
      <c r="F52" s="273"/>
    </row>
    <row r="53" spans="3:9" ht="19.5" thickBot="1">
      <c r="C53" s="272" t="s">
        <v>3020</v>
      </c>
      <c r="D53" s="273"/>
      <c r="E53" s="273"/>
      <c r="F53" s="273"/>
    </row>
    <row r="54" spans="3:9" ht="16.5" thickBot="1">
      <c r="C54" s="241" t="s">
        <v>3021</v>
      </c>
      <c r="D54" s="273"/>
      <c r="E54" s="273"/>
      <c r="F54" s="273"/>
    </row>
    <row r="55" spans="3:9" ht="33" customHeight="1" thickBot="1"/>
    <row r="56" spans="3:9" ht="33" customHeight="1">
      <c r="G56" s="733" t="str">
        <f>D1</f>
        <v>SHW-45075I22</v>
      </c>
      <c r="H56" s="734"/>
      <c r="I56" s="735"/>
    </row>
    <row r="57" spans="3:9" ht="36.75" thickBot="1">
      <c r="G57" s="736" t="s">
        <v>3042</v>
      </c>
      <c r="H57" s="737"/>
      <c r="I57" s="738"/>
    </row>
  </sheetData>
  <mergeCells count="25">
    <mergeCell ref="D1:I1"/>
    <mergeCell ref="D2:I2"/>
    <mergeCell ref="A3:I3"/>
    <mergeCell ref="A4:I4"/>
    <mergeCell ref="A5:I5"/>
    <mergeCell ref="C7:I7"/>
    <mergeCell ref="C8:I8"/>
    <mergeCell ref="F17:I17"/>
    <mergeCell ref="A45:I45"/>
    <mergeCell ref="A47:I47"/>
    <mergeCell ref="C18:I18"/>
    <mergeCell ref="G10:I10"/>
    <mergeCell ref="C10:E10"/>
    <mergeCell ref="C9:E9"/>
    <mergeCell ref="G9:I9"/>
    <mergeCell ref="C22:D22"/>
    <mergeCell ref="A30:A32"/>
    <mergeCell ref="B30:I32"/>
    <mergeCell ref="A33:A38"/>
    <mergeCell ref="G56:I56"/>
    <mergeCell ref="G57:I57"/>
    <mergeCell ref="A20:B20"/>
    <mergeCell ref="C20:D20"/>
    <mergeCell ref="G20:I20"/>
    <mergeCell ref="B33:I38"/>
  </mergeCells>
  <conditionalFormatting sqref="D13:E16">
    <cfRule type="cellIs" dxfId="5" priority="2" stopIfTrue="1" operator="greaterThan">
      <formula>50000</formula>
    </cfRule>
  </conditionalFormatting>
  <conditionalFormatting sqref="C14 C16:E18 F18:I18 D19:D21 C19:C22 E19:I22">
    <cfRule type="containsText" dxfId="4" priority="1" stopIfTrue="1" operator="containsText" text="Não">
      <formula>NOT(ISERROR(SEARCH("Não",C14)))</formula>
    </cfRule>
  </conditionalFormatting>
  <printOptions horizontalCentered="1"/>
  <pageMargins left="0" right="0" top="0.47" bottom="0" header="0.31496062992125984" footer="0.17"/>
  <pageSetup paperSize="9" scale="65" orientation="portrait" r:id="rId1"/>
</worksheet>
</file>

<file path=xl/worksheets/sheet17.xml><?xml version="1.0" encoding="utf-8"?>
<worksheet xmlns="http://schemas.openxmlformats.org/spreadsheetml/2006/main" xmlns:r="http://schemas.openxmlformats.org/officeDocument/2006/relationships">
  <dimension ref="A1:S78"/>
  <sheetViews>
    <sheetView workbookViewId="0">
      <selection activeCell="H14" sqref="H14:J16"/>
    </sheetView>
  </sheetViews>
  <sheetFormatPr defaultRowHeight="12.75"/>
  <cols>
    <col min="1" max="1" width="12.85546875" customWidth="1"/>
    <col min="2" max="2" width="26.7109375" customWidth="1"/>
    <col min="3" max="3" width="35.85546875" customWidth="1"/>
    <col min="4" max="4" width="26.85546875" customWidth="1"/>
    <col min="5" max="5" width="11.85546875" customWidth="1"/>
    <col min="8" max="8" width="14.42578125" customWidth="1"/>
    <col min="9" max="9" width="20.7109375" customWidth="1"/>
    <col min="10" max="10" width="23.28515625" customWidth="1"/>
    <col min="11" max="11" width="14.28515625" customWidth="1"/>
  </cols>
  <sheetData>
    <row r="1" spans="1:11" ht="26.25" customHeight="1">
      <c r="A1" s="187" t="s">
        <v>3064</v>
      </c>
      <c r="B1" s="155" t="s">
        <v>3046</v>
      </c>
      <c r="C1" s="155" t="s">
        <v>3048</v>
      </c>
      <c r="D1" s="155" t="s">
        <v>3047</v>
      </c>
    </row>
    <row r="2" spans="1:11">
      <c r="A2" s="777" t="s">
        <v>3050</v>
      </c>
      <c r="B2" s="285" t="s">
        <v>3053</v>
      </c>
      <c r="C2" s="285" t="s">
        <v>3057</v>
      </c>
      <c r="D2" s="286" t="s">
        <v>3061</v>
      </c>
      <c r="H2" s="644" t="s">
        <v>5907</v>
      </c>
      <c r="I2" s="644" t="s">
        <v>59</v>
      </c>
      <c r="J2" s="646">
        <v>44861</v>
      </c>
      <c r="K2" s="644" t="s">
        <v>5908</v>
      </c>
    </row>
    <row r="3" spans="1:11" ht="14.45" customHeight="1">
      <c r="A3" s="778"/>
      <c r="B3" s="285" t="s">
        <v>3054</v>
      </c>
      <c r="C3" s="285" t="s">
        <v>3058</v>
      </c>
      <c r="D3" s="285" t="s">
        <v>3062</v>
      </c>
      <c r="H3" s="633" t="s">
        <v>5766</v>
      </c>
      <c r="I3" s="509" t="s">
        <v>5783</v>
      </c>
      <c r="J3" s="645" t="s">
        <v>5914</v>
      </c>
      <c r="K3" s="643" t="s">
        <v>519</v>
      </c>
    </row>
    <row r="4" spans="1:11">
      <c r="A4" s="778"/>
      <c r="B4" s="285" t="s">
        <v>3055</v>
      </c>
      <c r="C4" s="285" t="s">
        <v>3059</v>
      </c>
      <c r="D4" s="72"/>
      <c r="H4" s="633" t="s">
        <v>5767</v>
      </c>
      <c r="I4" s="509" t="s">
        <v>5787</v>
      </c>
      <c r="J4" s="645" t="s">
        <v>5915</v>
      </c>
      <c r="K4" s="643" t="s">
        <v>519</v>
      </c>
    </row>
    <row r="5" spans="1:11">
      <c r="A5" s="779"/>
      <c r="B5" s="285" t="s">
        <v>3056</v>
      </c>
      <c r="C5" s="285" t="s">
        <v>3060</v>
      </c>
      <c r="D5" s="72"/>
      <c r="H5" s="633" t="s">
        <v>5794</v>
      </c>
      <c r="I5" s="509" t="s">
        <v>5797</v>
      </c>
      <c r="J5" s="645" t="s">
        <v>5916</v>
      </c>
      <c r="K5" s="643" t="s">
        <v>519</v>
      </c>
    </row>
    <row r="6" spans="1:11" ht="13.15" customHeight="1">
      <c r="A6" s="284" t="s">
        <v>3049</v>
      </c>
      <c r="B6" s="116" t="s">
        <v>3051</v>
      </c>
      <c r="C6" s="287" t="s">
        <v>3052</v>
      </c>
      <c r="D6" s="287" t="s">
        <v>3063</v>
      </c>
      <c r="H6" s="538"/>
      <c r="I6" s="643"/>
      <c r="J6" s="645"/>
      <c r="K6" s="643"/>
    </row>
    <row r="7" spans="1:11" s="288" customFormat="1">
      <c r="A7" s="289" t="s">
        <v>3065</v>
      </c>
      <c r="H7" s="538"/>
      <c r="I7" s="643"/>
      <c r="J7" s="645"/>
      <c r="K7" s="643"/>
    </row>
    <row r="8" spans="1:11" s="288" customFormat="1">
      <c r="A8" s="289"/>
      <c r="H8" s="643"/>
      <c r="I8" s="643"/>
      <c r="J8" s="645"/>
      <c r="K8" s="643"/>
    </row>
    <row r="9" spans="1:11">
      <c r="A9" s="290" t="s">
        <v>3071</v>
      </c>
      <c r="H9" s="643"/>
      <c r="I9" s="643"/>
      <c r="J9" s="645"/>
      <c r="K9" s="643"/>
    </row>
    <row r="10" spans="1:11">
      <c r="H10" s="643"/>
      <c r="I10" s="643"/>
      <c r="J10" s="645"/>
      <c r="K10" s="643"/>
    </row>
    <row r="11" spans="1:11">
      <c r="H11" s="643"/>
      <c r="I11" s="643"/>
      <c r="J11" s="645"/>
      <c r="K11" s="643"/>
    </row>
    <row r="12" spans="1:11">
      <c r="H12" s="643"/>
      <c r="I12" s="643"/>
      <c r="J12" s="643"/>
      <c r="K12" s="643"/>
    </row>
    <row r="14" spans="1:11">
      <c r="H14" s="644" t="s">
        <v>5907</v>
      </c>
      <c r="I14" s="644" t="s">
        <v>59</v>
      </c>
      <c r="J14" s="646">
        <v>44862</v>
      </c>
    </row>
    <row r="15" spans="1:11">
      <c r="H15" s="538" t="s">
        <v>5752</v>
      </c>
      <c r="I15" s="509" t="s">
        <v>5769</v>
      </c>
      <c r="J15" s="645" t="s">
        <v>5917</v>
      </c>
    </row>
    <row r="16" spans="1:11">
      <c r="H16" s="538" t="s">
        <v>5749</v>
      </c>
      <c r="I16" s="509" t="s">
        <v>5755</v>
      </c>
      <c r="J16" s="645" t="s">
        <v>5918</v>
      </c>
    </row>
    <row r="17" spans="8:10">
      <c r="H17" s="633"/>
      <c r="I17" s="643"/>
      <c r="J17" s="645"/>
    </row>
    <row r="18" spans="8:10">
      <c r="H18" s="538"/>
      <c r="I18" s="643"/>
      <c r="J18" s="645"/>
    </row>
    <row r="19" spans="8:10">
      <c r="H19" s="538"/>
      <c r="I19" s="643"/>
      <c r="J19" s="645"/>
    </row>
    <row r="36" spans="1:1">
      <c r="A36" t="s">
        <v>3066</v>
      </c>
    </row>
    <row r="67" spans="1:19">
      <c r="A67" t="s">
        <v>3067</v>
      </c>
    </row>
    <row r="68" spans="1:19">
      <c r="A68" t="s">
        <v>3068</v>
      </c>
    </row>
    <row r="70" spans="1:19">
      <c r="A70" t="s">
        <v>3069</v>
      </c>
    </row>
    <row r="71" spans="1:19">
      <c r="A71" t="s">
        <v>3070</v>
      </c>
    </row>
    <row r="72" spans="1:19">
      <c r="A72" t="s">
        <v>3072</v>
      </c>
    </row>
    <row r="74" spans="1:19">
      <c r="A74" s="290" t="s">
        <v>3091</v>
      </c>
    </row>
    <row r="75" spans="1:19" s="297" customFormat="1" ht="27.75" customHeight="1">
      <c r="A75" s="291" t="s">
        <v>3073</v>
      </c>
      <c r="B75" s="291" t="s">
        <v>3074</v>
      </c>
      <c r="C75" s="292" t="s">
        <v>3075</v>
      </c>
      <c r="D75" s="291" t="s">
        <v>3076</v>
      </c>
      <c r="E75" s="291" t="s">
        <v>3077</v>
      </c>
      <c r="F75" s="291" t="s">
        <v>3078</v>
      </c>
      <c r="G75" s="291" t="s">
        <v>2926</v>
      </c>
      <c r="H75" s="291" t="s">
        <v>3079</v>
      </c>
      <c r="I75" s="291" t="s">
        <v>3080</v>
      </c>
      <c r="J75" s="291" t="s">
        <v>3081</v>
      </c>
      <c r="K75" s="293" t="s">
        <v>3082</v>
      </c>
      <c r="L75" s="293" t="s">
        <v>3083</v>
      </c>
      <c r="M75" s="293" t="s">
        <v>3084</v>
      </c>
      <c r="N75" s="294" t="s">
        <v>3085</v>
      </c>
      <c r="O75" s="294" t="s">
        <v>3086</v>
      </c>
      <c r="P75" s="295" t="s">
        <v>3087</v>
      </c>
      <c r="Q75" s="295" t="s">
        <v>3088</v>
      </c>
      <c r="R75" s="294" t="s">
        <v>3089</v>
      </c>
      <c r="S75" s="296" t="s">
        <v>3090</v>
      </c>
    </row>
    <row r="77" spans="1:19">
      <c r="A77" s="290" t="s">
        <v>3093</v>
      </c>
    </row>
    <row r="78" spans="1:19">
      <c r="A78" s="298" t="s">
        <v>3092</v>
      </c>
    </row>
  </sheetData>
  <mergeCells count="1">
    <mergeCell ref="A2:A5"/>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C24"/>
  <sheetViews>
    <sheetView showGridLines="0" workbookViewId="0">
      <selection activeCell="B1" sqref="B1:C18"/>
    </sheetView>
  </sheetViews>
  <sheetFormatPr defaultColWidth="9.140625" defaultRowHeight="12.75"/>
  <cols>
    <col min="1" max="1" width="12.85546875" style="717" bestFit="1" customWidth="1"/>
    <col min="2" max="2" width="10.5703125" style="717" bestFit="1" customWidth="1"/>
    <col min="3" max="3" width="10.42578125" style="717" bestFit="1" customWidth="1"/>
    <col min="4" max="7" width="9.140625" style="717"/>
    <col min="8" max="8" width="10.140625" style="717" bestFit="1" customWidth="1"/>
    <col min="9" max="9" width="14.42578125" style="717" bestFit="1" customWidth="1"/>
    <col min="10" max="10" width="18.28515625" style="717" bestFit="1" customWidth="1"/>
    <col min="11" max="16384" width="9.140625" style="717"/>
  </cols>
  <sheetData>
    <row r="1" spans="1:3">
      <c r="A1" s="719" t="str">
        <f>'In transit '!A2</f>
        <v>SHW-40925I23</v>
      </c>
      <c r="B1" s="480" t="str">
        <f t="shared" ref="B1" si="0">"00"&amp;RIGHT(A1,8)</f>
        <v>0040925I23</v>
      </c>
      <c r="C1" s="780">
        <f>'In transit '!M2</f>
        <v>45042</v>
      </c>
    </row>
    <row r="2" spans="1:3">
      <c r="A2" s="719" t="str">
        <f>'In transit '!A3</f>
        <v>SHW-40926I23</v>
      </c>
      <c r="B2" s="480" t="str">
        <f t="shared" ref="B2:B16" si="1">"00"&amp;RIGHT(A2,8)</f>
        <v>0040926I23</v>
      </c>
      <c r="C2" s="780">
        <f>'In transit '!M3</f>
        <v>45042</v>
      </c>
    </row>
    <row r="3" spans="1:3">
      <c r="A3" s="719" t="str">
        <f>'In transit '!A4</f>
        <v>SHW-41243I23</v>
      </c>
      <c r="B3" s="480" t="str">
        <f t="shared" si="1"/>
        <v>0041243I23</v>
      </c>
      <c r="C3" s="780">
        <f>'In transit '!M4</f>
        <v>45050</v>
      </c>
    </row>
    <row r="4" spans="1:3">
      <c r="A4" s="719" t="str">
        <f>'In transit '!A5</f>
        <v>SHW-41244I23</v>
      </c>
      <c r="B4" s="480" t="str">
        <f t="shared" si="1"/>
        <v>0041244I23</v>
      </c>
      <c r="C4" s="780">
        <f>'In transit '!M5</f>
        <v>45050</v>
      </c>
    </row>
    <row r="5" spans="1:3">
      <c r="A5" s="719" t="str">
        <f>'In transit '!A6</f>
        <v>SHW-41110I23</v>
      </c>
      <c r="B5" s="480" t="str">
        <f t="shared" si="1"/>
        <v>0041110I23</v>
      </c>
      <c r="C5" s="780">
        <f>'In transit '!M6</f>
        <v>45056</v>
      </c>
    </row>
    <row r="6" spans="1:3">
      <c r="A6" s="719" t="str">
        <f>'In transit '!A7</f>
        <v>SHW-41245I23</v>
      </c>
      <c r="B6" s="480" t="str">
        <f t="shared" si="1"/>
        <v>0041245I23</v>
      </c>
      <c r="C6" s="780">
        <f>'In transit '!M7</f>
        <v>45056</v>
      </c>
    </row>
    <row r="7" spans="1:3">
      <c r="A7" s="719" t="str">
        <f>'In transit '!A8</f>
        <v>SHW-41335I23</v>
      </c>
      <c r="B7" s="480" t="str">
        <f t="shared" si="1"/>
        <v>0041335I23</v>
      </c>
      <c r="C7" s="780">
        <f>'In transit '!M8</f>
        <v>45056</v>
      </c>
    </row>
    <row r="8" spans="1:3">
      <c r="A8" s="719" t="str">
        <f>'In transit '!A9</f>
        <v>SHW-41336I23</v>
      </c>
      <c r="B8" s="480" t="str">
        <f t="shared" si="1"/>
        <v>0041336I23</v>
      </c>
      <c r="C8" s="780">
        <f>'In transit '!M9</f>
        <v>45056</v>
      </c>
    </row>
    <row r="9" spans="1:3">
      <c r="A9" s="719" t="str">
        <f>'In transit '!A10</f>
        <v>SHW-41489I23</v>
      </c>
      <c r="B9" s="480" t="str">
        <f t="shared" si="1"/>
        <v>0041489I23</v>
      </c>
      <c r="C9" s="780">
        <f>'In transit '!M10</f>
        <v>45062</v>
      </c>
    </row>
    <row r="10" spans="1:3">
      <c r="A10" s="719" t="str">
        <f>'In transit '!A11</f>
        <v>SHW-41617I23</v>
      </c>
      <c r="B10" s="480" t="str">
        <f t="shared" si="1"/>
        <v>0041617I23</v>
      </c>
      <c r="C10" s="780">
        <f>'In transit '!M11</f>
        <v>45069</v>
      </c>
    </row>
    <row r="11" spans="1:3">
      <c r="A11" s="719" t="str">
        <f>'In transit '!A12</f>
        <v>SHW-41618I23</v>
      </c>
      <c r="B11" s="480" t="str">
        <f t="shared" si="1"/>
        <v>0041618I23</v>
      </c>
      <c r="C11" s="780">
        <f>'In transit '!M12</f>
        <v>45069</v>
      </c>
    </row>
    <row r="12" spans="1:3">
      <c r="A12" s="719" t="str">
        <f>'In transit '!A13</f>
        <v>SHW-41619I23</v>
      </c>
      <c r="B12" s="480" t="str">
        <f t="shared" si="1"/>
        <v>0041619I23</v>
      </c>
      <c r="C12" s="780">
        <f>'In transit '!M13</f>
        <v>45069</v>
      </c>
    </row>
    <row r="13" spans="1:3">
      <c r="A13" s="719" t="str">
        <f>'In transit '!A14</f>
        <v>SHW-41620I23</v>
      </c>
      <c r="B13" s="480" t="str">
        <f t="shared" si="1"/>
        <v>0041620I23</v>
      </c>
      <c r="C13" s="780">
        <f>'In transit '!M14</f>
        <v>45069</v>
      </c>
    </row>
    <row r="14" spans="1:3">
      <c r="A14" s="719" t="str">
        <f>'In transit '!A15</f>
        <v>SHW-41664I23</v>
      </c>
      <c r="B14" s="480" t="str">
        <f t="shared" si="1"/>
        <v>0041664I23</v>
      </c>
      <c r="C14" s="780">
        <f>'In transit '!M15</f>
        <v>45069</v>
      </c>
    </row>
    <row r="15" spans="1:3">
      <c r="A15" s="719" t="str">
        <f>'In transit '!A16</f>
        <v>SHW-41665I23</v>
      </c>
      <c r="B15" s="480" t="str">
        <f t="shared" si="1"/>
        <v>0041665I23</v>
      </c>
      <c r="C15" s="780">
        <f>'In transit '!M16</f>
        <v>45069</v>
      </c>
    </row>
    <row r="16" spans="1:3">
      <c r="A16" s="719" t="str">
        <f>'In transit '!A17</f>
        <v>SHW-41666I23</v>
      </c>
      <c r="B16" s="480" t="str">
        <f t="shared" si="1"/>
        <v>0041666I23</v>
      </c>
      <c r="C16" s="780">
        <f>'In transit '!M17</f>
        <v>45069</v>
      </c>
    </row>
    <row r="17" spans="1:3">
      <c r="A17" s="719" t="str">
        <f>'In transit '!A18</f>
        <v>SHW-41808I23</v>
      </c>
      <c r="B17" s="480" t="str">
        <f t="shared" ref="B17" si="2">"00"&amp;RIGHT(A17,8)</f>
        <v>0041808I23</v>
      </c>
      <c r="C17" s="780">
        <f>'In transit '!M18</f>
        <v>45074</v>
      </c>
    </row>
    <row r="18" spans="1:3">
      <c r="A18" s="719" t="str">
        <f>'In transit '!A19</f>
        <v>SHW-41809I23</v>
      </c>
      <c r="B18" s="480" t="str">
        <f t="shared" ref="B18:B21" si="3">"00"&amp;RIGHT(A18,8)</f>
        <v>0041809I23</v>
      </c>
      <c r="C18" s="780">
        <f>'In transit '!M19</f>
        <v>45074</v>
      </c>
    </row>
    <row r="19" spans="1:3">
      <c r="A19" s="719">
        <f>'In transit '!A20</f>
        <v>0</v>
      </c>
      <c r="B19" s="480" t="str">
        <f t="shared" si="3"/>
        <v>000</v>
      </c>
      <c r="C19" s="718">
        <f>'In transit '!M20</f>
        <v>0</v>
      </c>
    </row>
    <row r="20" spans="1:3">
      <c r="A20" s="719">
        <f>'In transit '!A21</f>
        <v>0</v>
      </c>
      <c r="B20" s="480" t="str">
        <f t="shared" si="3"/>
        <v>000</v>
      </c>
      <c r="C20" s="718">
        <f>'In transit '!M21</f>
        <v>0</v>
      </c>
    </row>
    <row r="21" spans="1:3">
      <c r="A21" s="719">
        <f>'In transit '!A22</f>
        <v>0</v>
      </c>
      <c r="B21" s="480" t="str">
        <f t="shared" si="3"/>
        <v>000</v>
      </c>
      <c r="C21" s="718">
        <f>'In transit '!M22</f>
        <v>0</v>
      </c>
    </row>
    <row r="22" spans="1:3">
      <c r="A22" s="719">
        <f>'In transit '!A23</f>
        <v>0</v>
      </c>
      <c r="B22" s="480" t="str">
        <f t="shared" ref="B22:B24" si="4">"00"&amp;RIGHT(A22,8)</f>
        <v>000</v>
      </c>
      <c r="C22" s="718">
        <f>'In transit '!M23</f>
        <v>0</v>
      </c>
    </row>
    <row r="23" spans="1:3">
      <c r="A23" s="719">
        <f>'In transit '!A24</f>
        <v>0</v>
      </c>
      <c r="B23" s="480" t="str">
        <f t="shared" si="4"/>
        <v>000</v>
      </c>
      <c r="C23" s="718">
        <f>'In transit '!M24</f>
        <v>0</v>
      </c>
    </row>
    <row r="24" spans="1:3">
      <c r="A24" s="719">
        <f>'In transit '!A25</f>
        <v>0</v>
      </c>
      <c r="B24" s="480" t="str">
        <f t="shared" si="4"/>
        <v>000</v>
      </c>
      <c r="C24" s="718">
        <f>'In transit '!M25</f>
        <v>0</v>
      </c>
    </row>
  </sheetData>
  <conditionalFormatting sqref="C1:C24">
    <cfRule type="cellIs" dxfId="3"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3"/>
  <dimension ref="A1:AI64513"/>
  <sheetViews>
    <sheetView workbookViewId="0">
      <pane xSplit="2" ySplit="1" topLeftCell="C2" activePane="bottomRight" state="frozen"/>
      <selection pane="topRight" activeCell="C1" sqref="C1"/>
      <selection pane="bottomLeft" activeCell="A2" sqref="A2"/>
      <selection pane="bottomRight" activeCell="B5" sqref="B5"/>
    </sheetView>
  </sheetViews>
  <sheetFormatPr defaultColWidth="9.140625" defaultRowHeight="11.25"/>
  <cols>
    <col min="1" max="1" width="14.28515625" style="54" customWidth="1"/>
    <col min="2" max="2" width="16.7109375" style="1" customWidth="1"/>
    <col min="3" max="3" width="77.5703125" style="63" bestFit="1" customWidth="1"/>
    <col min="4" max="4" width="15" style="1" customWidth="1"/>
    <col min="5" max="5" width="15.5703125" style="1" customWidth="1"/>
    <col min="6" max="6" width="7.140625" style="12" customWidth="1"/>
    <col min="7" max="7" width="9.28515625" style="1" customWidth="1"/>
    <col min="8" max="8" width="12.140625" style="10" customWidth="1"/>
    <col min="9" max="9" width="12.85546875" style="9" bestFit="1" customWidth="1"/>
    <col min="10" max="10" width="12.140625" style="9" customWidth="1"/>
    <col min="11" max="11" width="9.7109375" style="2" customWidth="1"/>
    <col min="12" max="12" width="8.7109375" style="3" customWidth="1"/>
    <col min="13" max="13" width="8.7109375" style="9" customWidth="1"/>
    <col min="14" max="14" width="17.7109375" style="1" customWidth="1"/>
    <col min="15" max="15" width="18.140625" style="9" customWidth="1"/>
    <col min="16" max="16" width="23.42578125" style="1" bestFit="1" customWidth="1"/>
    <col min="17" max="17" width="14.140625" style="1" bestFit="1" customWidth="1"/>
    <col min="18" max="18" width="14.140625" style="1" customWidth="1"/>
    <col min="19" max="19" width="17.85546875" style="1" customWidth="1"/>
    <col min="20" max="20" width="8.140625" style="1" customWidth="1"/>
    <col min="21" max="21" width="8.85546875" style="1" customWidth="1"/>
    <col min="22" max="22" width="8.28515625" style="1" customWidth="1"/>
    <col min="23" max="23" width="10.42578125" style="4" customWidth="1"/>
    <col min="24" max="24" width="10.85546875" style="4" customWidth="1"/>
    <col min="25" max="25" width="10.85546875" style="6" customWidth="1"/>
    <col min="26" max="26" width="10.85546875" style="11" customWidth="1"/>
    <col min="27" max="27" width="11.85546875" style="6" customWidth="1"/>
    <col min="28" max="28" width="61.42578125" style="7" customWidth="1"/>
    <col min="29" max="29" width="28.42578125" style="7" bestFit="1" customWidth="1"/>
    <col min="30" max="30" width="11.5703125" style="1" customWidth="1"/>
    <col min="31" max="31" width="11.42578125" style="9" bestFit="1" customWidth="1"/>
    <col min="32" max="32" width="11.42578125" style="1" customWidth="1"/>
    <col min="33" max="33" width="11.140625" style="2" bestFit="1" customWidth="1"/>
    <col min="34" max="34" width="7" style="9" customWidth="1"/>
    <col min="35" max="35" width="9.28515625" style="10" customWidth="1"/>
    <col min="36" max="16384" width="9.140625" style="5"/>
  </cols>
  <sheetData>
    <row r="1" spans="1:4" s="13" customFormat="1" ht="19.5" customHeight="1">
      <c r="A1" s="14" t="s">
        <v>1658</v>
      </c>
      <c r="B1" s="14" t="s">
        <v>1207</v>
      </c>
      <c r="C1" s="14" t="s">
        <v>1208</v>
      </c>
      <c r="D1" s="123" t="s">
        <v>2156</v>
      </c>
    </row>
    <row r="2" spans="1:4" ht="12.75">
      <c r="A2" s="53"/>
      <c r="B2" s="34"/>
      <c r="C2" s="217"/>
    </row>
    <row r="3" spans="1:4" ht="12.75">
      <c r="A3" s="53"/>
      <c r="B3" s="34"/>
      <c r="C3" s="217"/>
    </row>
    <row r="4" spans="1:4" ht="12.75">
      <c r="A4" s="53"/>
      <c r="B4" s="34"/>
      <c r="C4" s="217"/>
    </row>
    <row r="5" spans="1:4" ht="12.75">
      <c r="A5" s="53"/>
      <c r="B5" s="34"/>
      <c r="C5" s="217"/>
    </row>
    <row r="6" spans="1:4" ht="12.75">
      <c r="A6" s="53"/>
      <c r="B6" s="34"/>
      <c r="C6" s="217"/>
    </row>
    <row r="7" spans="1:4" ht="12.75">
      <c r="A7" s="53"/>
      <c r="B7" s="34"/>
      <c r="C7" s="217"/>
    </row>
    <row r="8" spans="1:4" ht="12.75">
      <c r="A8" s="53"/>
      <c r="B8" s="34"/>
      <c r="C8" s="217"/>
    </row>
    <row r="9" spans="1:4" ht="12.75">
      <c r="A9" s="53"/>
      <c r="B9" s="34"/>
      <c r="C9" s="217"/>
    </row>
    <row r="10" spans="1:4" ht="12.75">
      <c r="A10" s="53"/>
      <c r="B10" s="34"/>
      <c r="C10" s="217"/>
    </row>
    <row r="11" spans="1:4" ht="12.75">
      <c r="A11" s="53"/>
      <c r="B11" s="34"/>
      <c r="C11" s="217"/>
    </row>
    <row r="12" spans="1:4" ht="12.75">
      <c r="A12" s="53"/>
      <c r="B12" s="34"/>
      <c r="C12" s="217"/>
    </row>
    <row r="13" spans="1:4" ht="12.75">
      <c r="A13" s="53"/>
      <c r="B13" s="34"/>
      <c r="C13" s="217"/>
    </row>
    <row r="14" spans="1:4" ht="12.75">
      <c r="A14" s="53"/>
      <c r="B14" s="34"/>
      <c r="C14" s="217"/>
    </row>
    <row r="15" spans="1:4" ht="12.75">
      <c r="A15" s="53"/>
      <c r="B15" s="34"/>
      <c r="C15" s="217"/>
    </row>
    <row r="64513" spans="11:11">
      <c r="K64513" s="8"/>
    </row>
  </sheetData>
  <autoFilter ref="A1:AI1"/>
  <customSheetViews>
    <customSheetView guid="{3DC6DB2D-2732-413F-B168-80FED6A56EC0}" showPageBreaks="1" showAutoFilter="1" state="hidden">
      <pane xSplit="2" ySplit="1" topLeftCell="C2" activePane="bottomRight" state="frozen"/>
      <selection pane="bottomRight" activeCell="B5" sqref="B5"/>
      <pageMargins left="0.22" right="0.15748031496062992" top="0.2" bottom="0.59055118110236227" header="0.51181102362204722" footer="0.51181102362204722"/>
      <pageSetup paperSize="9" scale="40" fitToHeight="10" orientation="landscape" r:id="rId1"/>
      <headerFooter alignWithMargins="0"/>
      <autoFilter ref="B1:AJ1"/>
    </customSheetView>
    <customSheetView guid="{B7B7C792-01A7-4AC6-B514-9B8806F4E6E0}" showAutoFilter="1" state="hidden">
      <pane xSplit="2" ySplit="1" topLeftCell="C2" activePane="bottomRight" state="frozen"/>
      <selection pane="bottomRight" activeCell="B5" sqref="B5"/>
      <pageMargins left="0.22" right="0.15748031496062992" top="0.2" bottom="0.59055118110236227" header="0.51181102362204722" footer="0.51181102362204722"/>
      <pageSetup paperSize="9" scale="40" fitToHeight="10" orientation="landscape" r:id="rId2"/>
      <headerFooter alignWithMargins="0"/>
      <autoFilter ref="B1:AJ1"/>
    </customSheetView>
    <customSheetView guid="{269F1B10-4E07-42BC-BAEF-00343A929B24}" showAutoFilter="1" state="hidden">
      <pane xSplit="2" ySplit="1" topLeftCell="C2" activePane="bottomRight" state="frozen"/>
      <selection pane="bottomRight" activeCell="B5" sqref="B5"/>
      <pageMargins left="0.22" right="0.15748031496062992" top="0.2" bottom="0.59055118110236227" header="0.51181102362204722" footer="0.51181102362204722"/>
      <pageSetup paperSize="9" scale="40" fitToHeight="10" orientation="landscape" r:id="rId3"/>
      <headerFooter alignWithMargins="0"/>
      <autoFilter ref="B1:AJ1"/>
    </customSheetView>
    <customSheetView guid="{2480A4FF-65AB-41EC-9340-4163653E8C2C}" showAutoFilter="1" state="hidden">
      <pane xSplit="2" ySplit="1" topLeftCell="C2" activePane="bottomRight" state="frozen"/>
      <selection pane="bottomRight" activeCell="B5" sqref="B5"/>
      <pageMargins left="0.22" right="0.15748031496062992" top="0.2" bottom="0.59055118110236227" header="0.51181102362204722" footer="0.51181102362204722"/>
      <pageSetup paperSize="9" scale="40" fitToHeight="10" orientation="landscape" r:id="rId4"/>
      <headerFooter alignWithMargins="0"/>
      <autoFilter ref="B1:AJ1"/>
    </customSheetView>
    <customSheetView guid="{316BA082-4614-439F-9CB4-340D61BDC344}" showAutoFilter="1" state="hidden">
      <pane xSplit="2" ySplit="1" topLeftCell="C2" activePane="bottomRight" state="frozen"/>
      <selection pane="bottomRight" activeCell="B5" sqref="B5"/>
      <pageMargins left="0.22" right="0.15748031496062992" top="0.2" bottom="0.59055118110236227" header="0.51181102362204722" footer="0.51181102362204722"/>
      <pageSetup paperSize="9" scale="40" fitToHeight="10" orientation="landscape" r:id="rId5"/>
      <headerFooter alignWithMargins="0"/>
      <autoFilter ref="B1:AJ1"/>
    </customSheetView>
    <customSheetView guid="{8FE2D47B-0E59-4D19-A2DA-A420176425F0}" showPageBreaks="1" showAutoFilter="1" showRuler="0">
      <pane xSplit="2" ySplit="1" topLeftCell="C2" activePane="bottomRight" state="frozen"/>
      <selection pane="bottomRight" activeCell="B5" sqref="B5"/>
      <pageMargins left="0.22" right="0.15748031496062992" top="0.2" bottom="0.59055118110236227" header="0.51181102362204722" footer="0.51181102362204722"/>
      <pageSetup paperSize="9" scale="40" fitToHeight="10" orientation="landscape" r:id="rId6"/>
      <headerFooter alignWithMargins="0"/>
      <autoFilter ref="B1:AJ1"/>
    </customSheetView>
    <customSheetView guid="{471B9EAC-32FD-4AB4-B189-11C2ED8F5F72}" showAutoFilter="1">
      <pane xSplit="2" ySplit="1" topLeftCell="C2" activePane="bottomRight" state="frozen"/>
      <selection pane="bottomRight" activeCell="C12" sqref="C12"/>
      <pageMargins left="0.22" right="0.15748031496062992" top="0.2" bottom="0.59055118110236227" header="0.51181102362204722" footer="0.51181102362204722"/>
      <pageSetup paperSize="9" scale="40" fitToHeight="10" orientation="landscape" r:id="rId7"/>
      <headerFooter alignWithMargins="0"/>
      <autoFilter ref="B1:AJ1"/>
    </customSheetView>
    <customSheetView guid="{737B1B74-A15D-4372-A92B-22C1B1EB3690}" showAutoFilter="1">
      <pane xSplit="2" ySplit="1" topLeftCell="C2" activePane="bottomRight" state="frozen"/>
      <selection pane="bottomRight" activeCell="C12" sqref="C12"/>
      <pageMargins left="0.22" right="0.15748031496062992" top="0.2" bottom="0.59055118110236227" header="0.51181102362204722" footer="0.51181102362204722"/>
      <pageSetup paperSize="9" scale="40" fitToHeight="10" orientation="landscape" r:id="rId8"/>
      <headerFooter alignWithMargins="0"/>
      <autoFilter ref="B1:AJ1"/>
    </customSheetView>
    <customSheetView guid="{91008F47-B234-416A-9BC2-294844B4E685}" showAutoFilter="1" showRuler="0">
      <pane xSplit="2" ySplit="1" topLeftCell="C2" activePane="bottomRight" state="frozen"/>
      <selection pane="bottomRight" activeCell="B5" sqref="B5"/>
      <pageMargins left="0.22" right="0.15748031496062992" top="0.2" bottom="0.59055118110236227" header="0.51181102362204722" footer="0.51181102362204722"/>
      <pageSetup paperSize="9" scale="40" fitToHeight="10" orientation="landscape" r:id="rId9"/>
      <headerFooter alignWithMargins="0"/>
      <autoFilter ref="B1:AJ1"/>
    </customSheetView>
    <customSheetView guid="{38CDF8B5-0F48-433A-A36F-EAD87AD19578}" showPageBreaks="1" showAutoFilter="1" state="hidden">
      <pane xSplit="2" ySplit="1" topLeftCell="C2" activePane="bottomRight" state="frozen"/>
      <selection pane="bottomRight" activeCell="B5" sqref="B5"/>
      <pageMargins left="0.22" right="0.15748031496062992" top="0.2" bottom="0.59055118110236227" header="0.51181102362204722" footer="0.51181102362204722"/>
      <pageSetup paperSize="9" scale="40" fitToHeight="10" orientation="landscape" r:id="rId10"/>
      <headerFooter alignWithMargins="0"/>
      <autoFilter ref="B1:AJ1"/>
    </customSheetView>
    <customSheetView guid="{DEAD857C-E742-4582-892F-EFCA94380712}" showPageBreaks="1" showAutoFilter="1" state="hidden">
      <pane xSplit="2" ySplit="1" topLeftCell="C2" activePane="bottomRight" state="frozen"/>
      <selection pane="bottomRight" activeCell="B5" sqref="B5"/>
      <pageMargins left="0.22" right="0.15748031496062992" top="0.2" bottom="0.59055118110236227" header="0.51181102362204722" footer="0.51181102362204722"/>
      <pageSetup paperSize="9" scale="40" fitToHeight="10" orientation="landscape" r:id="rId11"/>
      <headerFooter alignWithMargins="0"/>
      <autoFilter ref="B1:AJ1"/>
    </customSheetView>
  </customSheetViews>
  <phoneticPr fontId="3" type="noConversion"/>
  <pageMargins left="0.22" right="0.15748031496062992" top="0.2" bottom="0.59055118110236227" header="0.51181102362204722" footer="0.51181102362204722"/>
  <pageSetup paperSize="9" scale="40" fitToHeight="10" orientation="landscape" r:id="rId12"/>
  <headerFooter alignWithMargins="0"/>
</worksheet>
</file>

<file path=xl/worksheets/sheet3.xml><?xml version="1.0" encoding="utf-8"?>
<worksheet xmlns="http://schemas.openxmlformats.org/spreadsheetml/2006/main" xmlns:r="http://schemas.openxmlformats.org/officeDocument/2006/relationships">
  <sheetPr codeName="Sheet4"/>
  <dimension ref="A1:BC64614"/>
  <sheetViews>
    <sheetView workbookViewId="0">
      <pane xSplit="1" ySplit="2" topLeftCell="E67" activePane="bottomRight" state="frozen"/>
      <selection pane="topRight" activeCell="B1" sqref="B1"/>
      <selection pane="bottomLeft" activeCell="A3" sqref="A3"/>
      <selection pane="bottomRight" activeCell="E67" sqref="E67"/>
    </sheetView>
  </sheetViews>
  <sheetFormatPr defaultColWidth="9.140625" defaultRowHeight="12.75"/>
  <cols>
    <col min="1" max="1" width="20" style="34" bestFit="1" customWidth="1"/>
    <col min="2" max="2" width="15.140625" style="35" customWidth="1"/>
    <col min="3" max="3" width="13.140625" style="34" customWidth="1"/>
    <col min="4" max="4" width="7.140625" style="36" customWidth="1"/>
    <col min="5" max="5" width="15.7109375" style="34" customWidth="1"/>
    <col min="6" max="6" width="18.140625" style="36" customWidth="1"/>
    <col min="7" max="7" width="21.140625" style="34" bestFit="1" customWidth="1"/>
    <col min="8" max="8" width="16.5703125" style="34" bestFit="1" customWidth="1"/>
    <col min="9" max="9" width="13.42578125" style="60" customWidth="1"/>
    <col min="10" max="10" width="61.42578125" style="37" customWidth="1"/>
    <col min="11" max="11" width="13.7109375" style="34" customWidth="1"/>
    <col min="12" max="12" width="11.42578125" style="36" bestFit="1" customWidth="1"/>
    <col min="13" max="13" width="11.42578125" style="34" customWidth="1"/>
    <col min="14" max="14" width="9.140625" style="30"/>
    <col min="15" max="16384" width="9.140625" style="31"/>
  </cols>
  <sheetData>
    <row r="1" spans="1:14" s="23" customFormat="1" ht="13.5" thickBot="1">
      <c r="A1" s="20"/>
      <c r="B1" s="17"/>
      <c r="C1" s="20"/>
      <c r="D1" s="18"/>
      <c r="E1" s="20"/>
      <c r="F1" s="56"/>
      <c r="G1" s="20"/>
      <c r="H1" s="20"/>
      <c r="I1" s="58"/>
      <c r="J1" s="19"/>
      <c r="K1" s="20"/>
      <c r="L1" s="56"/>
      <c r="M1" s="21"/>
      <c r="N1" s="22"/>
    </row>
    <row r="2" spans="1:14" s="24" customFormat="1" ht="26.25" thickBot="1">
      <c r="A2" s="103" t="s">
        <v>1204</v>
      </c>
      <c r="B2" s="104" t="s">
        <v>1201</v>
      </c>
      <c r="C2" s="105" t="s">
        <v>508</v>
      </c>
      <c r="D2" s="106" t="s">
        <v>1203</v>
      </c>
      <c r="E2" s="107" t="s">
        <v>511</v>
      </c>
      <c r="F2" s="106" t="s">
        <v>507</v>
      </c>
      <c r="G2" s="108" t="s">
        <v>509</v>
      </c>
      <c r="H2" s="108" t="s">
        <v>510</v>
      </c>
      <c r="I2" s="109" t="s">
        <v>1202</v>
      </c>
      <c r="J2" s="110" t="s">
        <v>1205</v>
      </c>
      <c r="K2" s="111" t="s">
        <v>978</v>
      </c>
      <c r="L2" s="112" t="s">
        <v>977</v>
      </c>
      <c r="M2" s="111" t="s">
        <v>2408</v>
      </c>
    </row>
    <row r="3" spans="1:14" ht="25.5">
      <c r="A3" s="25" t="s">
        <v>2149</v>
      </c>
      <c r="B3" s="26"/>
      <c r="C3" s="25"/>
      <c r="D3" s="27"/>
      <c r="E3" s="25"/>
      <c r="F3" s="27"/>
      <c r="G3" s="25"/>
      <c r="H3" s="25" t="s">
        <v>534</v>
      </c>
      <c r="I3" s="29"/>
      <c r="J3" s="55" t="s">
        <v>2703</v>
      </c>
      <c r="K3" s="25" t="s">
        <v>533</v>
      </c>
      <c r="L3" s="27"/>
      <c r="M3" s="25"/>
    </row>
    <row r="4" spans="1:14" ht="25.5">
      <c r="A4" s="25" t="s">
        <v>2150</v>
      </c>
      <c r="B4" s="26"/>
      <c r="C4" s="25"/>
      <c r="D4" s="27"/>
      <c r="E4" s="25"/>
      <c r="F4" s="27"/>
      <c r="G4" s="25"/>
      <c r="H4" s="25" t="s">
        <v>996</v>
      </c>
      <c r="I4" s="29"/>
      <c r="J4" s="55" t="s">
        <v>2703</v>
      </c>
      <c r="K4" s="25" t="s">
        <v>2741</v>
      </c>
      <c r="L4" s="27"/>
      <c r="M4" s="25"/>
    </row>
    <row r="5" spans="1:14" ht="25.5">
      <c r="A5" s="25" t="s">
        <v>1301</v>
      </c>
      <c r="B5" s="26"/>
      <c r="C5" s="25"/>
      <c r="D5" s="27"/>
      <c r="E5" s="25"/>
      <c r="F5" s="27"/>
      <c r="G5" s="25"/>
      <c r="H5" s="25" t="s">
        <v>998</v>
      </c>
      <c r="I5" s="29"/>
      <c r="J5" s="55" t="s">
        <v>2703</v>
      </c>
      <c r="K5" s="25" t="s">
        <v>997</v>
      </c>
      <c r="L5" s="27"/>
      <c r="M5" s="25"/>
    </row>
    <row r="6" spans="1:14" ht="25.5">
      <c r="A6" s="25" t="s">
        <v>2701</v>
      </c>
      <c r="B6" s="26"/>
      <c r="C6" s="25"/>
      <c r="D6" s="27"/>
      <c r="E6" s="25"/>
      <c r="F6" s="27"/>
      <c r="G6" s="25"/>
      <c r="H6" s="25" t="s">
        <v>2742</v>
      </c>
      <c r="I6" s="29"/>
      <c r="J6" s="55" t="s">
        <v>2703</v>
      </c>
      <c r="K6" s="25" t="s">
        <v>999</v>
      </c>
      <c r="L6" s="27"/>
      <c r="M6" s="25"/>
    </row>
    <row r="7" spans="1:14" ht="25.5">
      <c r="A7" s="25" t="s">
        <v>2151</v>
      </c>
      <c r="B7" s="26"/>
      <c r="C7" s="25"/>
      <c r="D7" s="27"/>
      <c r="E7" s="25"/>
      <c r="F7" s="27"/>
      <c r="G7" s="25"/>
      <c r="H7" s="25" t="s">
        <v>1543</v>
      </c>
      <c r="I7" s="29"/>
      <c r="J7" s="55" t="s">
        <v>2703</v>
      </c>
      <c r="K7" s="25" t="s">
        <v>851</v>
      </c>
      <c r="L7" s="27"/>
      <c r="M7" s="25"/>
    </row>
    <row r="8" spans="1:14" ht="25.5">
      <c r="A8" s="25" t="s">
        <v>2152</v>
      </c>
      <c r="B8" s="26"/>
      <c r="C8" s="25"/>
      <c r="D8" s="27"/>
      <c r="E8" s="25"/>
      <c r="F8" s="27"/>
      <c r="G8" s="25"/>
      <c r="H8" s="25" t="s">
        <v>1545</v>
      </c>
      <c r="I8" s="29"/>
      <c r="J8" s="55" t="s">
        <v>2703</v>
      </c>
      <c r="K8" s="25" t="s">
        <v>1544</v>
      </c>
      <c r="L8" s="27"/>
      <c r="M8" s="25"/>
    </row>
    <row r="9" spans="1:14" ht="25.5">
      <c r="A9" s="25" t="s">
        <v>2153</v>
      </c>
      <c r="B9" s="26"/>
      <c r="C9" s="25"/>
      <c r="D9" s="27"/>
      <c r="E9" s="25"/>
      <c r="F9" s="27"/>
      <c r="G9" s="25"/>
      <c r="H9" s="25" t="s">
        <v>1547</v>
      </c>
      <c r="I9" s="29"/>
      <c r="J9" s="55" t="s">
        <v>2703</v>
      </c>
      <c r="K9" s="25" t="s">
        <v>1546</v>
      </c>
      <c r="L9" s="27"/>
      <c r="M9" s="25"/>
    </row>
    <row r="10" spans="1:14" ht="25.5">
      <c r="A10" s="25" t="s">
        <v>1661</v>
      </c>
      <c r="B10" s="26"/>
      <c r="C10" s="25"/>
      <c r="D10" s="27"/>
      <c r="E10" s="25"/>
      <c r="F10" s="27"/>
      <c r="G10" s="25"/>
      <c r="H10" s="25" t="s">
        <v>1341</v>
      </c>
      <c r="I10" s="29"/>
      <c r="J10" s="55" t="s">
        <v>2703</v>
      </c>
      <c r="K10" s="25" t="s">
        <v>1548</v>
      </c>
      <c r="L10" s="27"/>
      <c r="M10" s="25"/>
    </row>
    <row r="11" spans="1:14" ht="25.5">
      <c r="A11" s="25" t="s">
        <v>2587</v>
      </c>
      <c r="B11" s="26"/>
      <c r="C11" s="25"/>
      <c r="D11" s="27"/>
      <c r="E11" s="25"/>
      <c r="F11" s="27"/>
      <c r="G11" s="25"/>
      <c r="H11" s="25" t="s">
        <v>1343</v>
      </c>
      <c r="I11" s="29"/>
      <c r="J11" s="55" t="s">
        <v>2703</v>
      </c>
      <c r="K11" s="25" t="s">
        <v>1342</v>
      </c>
      <c r="L11" s="27"/>
      <c r="M11" s="25"/>
    </row>
    <row r="12" spans="1:14" ht="25.5">
      <c r="A12" s="25" t="s">
        <v>2154</v>
      </c>
      <c r="B12" s="26"/>
      <c r="C12" s="25"/>
      <c r="D12" s="27"/>
      <c r="E12" s="25"/>
      <c r="F12" s="27"/>
      <c r="G12" s="25"/>
      <c r="H12" s="25" t="s">
        <v>1345</v>
      </c>
      <c r="I12" s="29"/>
      <c r="J12" s="55" t="s">
        <v>2703</v>
      </c>
      <c r="K12" s="25" t="s">
        <v>1344</v>
      </c>
      <c r="L12" s="27"/>
      <c r="M12" s="25"/>
    </row>
    <row r="13" spans="1:14" ht="25.5">
      <c r="A13" s="25" t="s">
        <v>2155</v>
      </c>
      <c r="B13" s="26"/>
      <c r="C13" s="25"/>
      <c r="D13" s="27"/>
      <c r="E13" s="25"/>
      <c r="F13" s="27"/>
      <c r="G13" s="25"/>
      <c r="H13" s="25" t="s">
        <v>503</v>
      </c>
      <c r="I13" s="29"/>
      <c r="J13" s="55" t="s">
        <v>2703</v>
      </c>
      <c r="K13" s="25" t="s">
        <v>1346</v>
      </c>
      <c r="L13" s="27"/>
      <c r="M13" s="25"/>
    </row>
    <row r="14" spans="1:14" ht="25.5">
      <c r="A14" s="25" t="s">
        <v>966</v>
      </c>
      <c r="B14" s="26"/>
      <c r="C14" s="25"/>
      <c r="D14" s="27"/>
      <c r="E14" s="25"/>
      <c r="F14" s="27"/>
      <c r="G14" s="25"/>
      <c r="H14" s="25" t="s">
        <v>505</v>
      </c>
      <c r="I14" s="29"/>
      <c r="J14" s="55" t="s">
        <v>2703</v>
      </c>
      <c r="K14" s="25" t="s">
        <v>504</v>
      </c>
      <c r="L14" s="27"/>
      <c r="M14" s="25"/>
    </row>
    <row r="15" spans="1:14">
      <c r="A15" s="25"/>
      <c r="B15" s="26"/>
      <c r="C15" s="26"/>
      <c r="D15" s="27"/>
      <c r="E15" s="26"/>
      <c r="F15" s="27"/>
      <c r="G15" s="25"/>
      <c r="H15" s="28"/>
      <c r="I15" s="29"/>
      <c r="J15" s="39"/>
      <c r="K15" s="26"/>
      <c r="L15" s="27"/>
      <c r="M15" s="25"/>
    </row>
    <row r="16" spans="1:14">
      <c r="A16" s="25"/>
      <c r="B16" s="26"/>
      <c r="C16" s="26"/>
      <c r="D16" s="27"/>
      <c r="E16" s="26"/>
      <c r="F16" s="27"/>
      <c r="G16" s="25"/>
      <c r="H16" s="28"/>
      <c r="I16" s="29"/>
      <c r="J16" s="39"/>
      <c r="K16" s="26"/>
      <c r="L16" s="27"/>
      <c r="M16" s="25"/>
    </row>
    <row r="17" spans="1:55" ht="63.75">
      <c r="A17" s="25" t="s">
        <v>136</v>
      </c>
      <c r="B17" s="26" t="s">
        <v>2781</v>
      </c>
      <c r="C17" s="26">
        <v>4600014473</v>
      </c>
      <c r="D17" s="27" t="s">
        <v>2782</v>
      </c>
      <c r="E17" s="26">
        <v>5001158211</v>
      </c>
      <c r="F17" s="27">
        <v>39819</v>
      </c>
      <c r="G17" s="25" t="s">
        <v>2406</v>
      </c>
      <c r="H17" s="28" t="s">
        <v>2407</v>
      </c>
      <c r="I17" s="29">
        <v>60384.959999999999</v>
      </c>
      <c r="J17" s="39" t="s">
        <v>2144</v>
      </c>
      <c r="K17" s="26" t="s">
        <v>979</v>
      </c>
      <c r="L17" s="27">
        <v>39876</v>
      </c>
      <c r="M17" s="40" t="s">
        <v>980</v>
      </c>
    </row>
    <row r="18" spans="1:55" ht="38.25">
      <c r="A18" s="25" t="s">
        <v>1867</v>
      </c>
      <c r="B18" s="26" t="s">
        <v>2024</v>
      </c>
      <c r="C18" s="26" t="s">
        <v>2025</v>
      </c>
      <c r="D18" s="27" t="s">
        <v>2782</v>
      </c>
      <c r="E18" s="26" t="s">
        <v>2026</v>
      </c>
      <c r="F18" s="27">
        <v>39829</v>
      </c>
      <c r="G18" s="25" t="s">
        <v>2027</v>
      </c>
      <c r="H18" s="28" t="s">
        <v>1726</v>
      </c>
      <c r="I18" s="29">
        <v>155912.12</v>
      </c>
      <c r="J18" s="39" t="s">
        <v>1770</v>
      </c>
      <c r="K18" s="42" t="s">
        <v>1771</v>
      </c>
      <c r="L18" s="65" t="s">
        <v>1771</v>
      </c>
      <c r="M18" s="42" t="s">
        <v>1771</v>
      </c>
    </row>
    <row r="19" spans="1:55" ht="51">
      <c r="A19" s="25" t="s">
        <v>1866</v>
      </c>
      <c r="B19" s="26" t="s">
        <v>2781</v>
      </c>
      <c r="C19" s="26" t="s">
        <v>2145</v>
      </c>
      <c r="D19" s="27" t="s">
        <v>2782</v>
      </c>
      <c r="E19" s="26" t="s">
        <v>345</v>
      </c>
      <c r="F19" s="27">
        <v>39855</v>
      </c>
      <c r="G19" s="25" t="s">
        <v>346</v>
      </c>
      <c r="H19" s="28" t="s">
        <v>1631</v>
      </c>
      <c r="I19" s="29">
        <v>94626.04</v>
      </c>
      <c r="J19" s="32" t="s">
        <v>2770</v>
      </c>
      <c r="K19" s="26" t="s">
        <v>2771</v>
      </c>
      <c r="L19" s="27">
        <v>39898</v>
      </c>
      <c r="M19" s="41" t="s">
        <v>1080</v>
      </c>
    </row>
    <row r="20" spans="1:55" ht="76.5">
      <c r="A20" s="25" t="s">
        <v>135</v>
      </c>
      <c r="B20" s="26" t="s">
        <v>2781</v>
      </c>
      <c r="C20" s="26">
        <v>4600016090</v>
      </c>
      <c r="D20" s="27" t="s">
        <v>2782</v>
      </c>
      <c r="E20" s="26">
        <v>5001203419</v>
      </c>
      <c r="F20" s="27">
        <v>39871</v>
      </c>
      <c r="G20" s="25" t="s">
        <v>1772</v>
      </c>
      <c r="H20" s="28" t="s">
        <v>1773</v>
      </c>
      <c r="I20" s="29">
        <v>123365.2</v>
      </c>
      <c r="J20" s="32" t="s">
        <v>929</v>
      </c>
      <c r="K20" s="26" t="s">
        <v>968</v>
      </c>
      <c r="L20" s="27">
        <v>39911</v>
      </c>
      <c r="M20" s="43" t="s">
        <v>506</v>
      </c>
      <c r="O20" s="33"/>
      <c r="P20" s="33"/>
      <c r="Q20" s="33"/>
      <c r="R20" s="33"/>
      <c r="S20" s="33"/>
      <c r="T20" s="33"/>
      <c r="U20" s="33"/>
    </row>
    <row r="21" spans="1:55" ht="76.5">
      <c r="A21" s="25" t="s">
        <v>137</v>
      </c>
      <c r="B21" s="26" t="s">
        <v>2781</v>
      </c>
      <c r="C21" s="26" t="s">
        <v>1774</v>
      </c>
      <c r="D21" s="27" t="s">
        <v>2782</v>
      </c>
      <c r="E21" s="26" t="s">
        <v>1651</v>
      </c>
      <c r="F21" s="27">
        <v>39872</v>
      </c>
      <c r="G21" s="25" t="s">
        <v>1652</v>
      </c>
      <c r="H21" s="28" t="s">
        <v>1653</v>
      </c>
      <c r="I21" s="29">
        <v>58278.17</v>
      </c>
      <c r="J21" s="32" t="s">
        <v>2065</v>
      </c>
      <c r="K21" s="26" t="s">
        <v>976</v>
      </c>
      <c r="L21" s="27">
        <v>39918</v>
      </c>
      <c r="M21" s="40" t="s">
        <v>980</v>
      </c>
      <c r="O21" s="33"/>
      <c r="P21" s="33"/>
      <c r="Q21" s="33"/>
      <c r="R21" s="33"/>
      <c r="S21" s="33"/>
      <c r="T21" s="33"/>
      <c r="U21" s="33"/>
    </row>
    <row r="22" spans="1:55" ht="76.5">
      <c r="A22" s="25" t="s">
        <v>1081</v>
      </c>
      <c r="B22" s="26" t="s">
        <v>2781</v>
      </c>
      <c r="C22" s="26">
        <v>4600016238</v>
      </c>
      <c r="D22" s="27" t="s">
        <v>2782</v>
      </c>
      <c r="E22" s="26">
        <v>5001213367</v>
      </c>
      <c r="F22" s="27">
        <v>39883</v>
      </c>
      <c r="G22" s="25" t="s">
        <v>1654</v>
      </c>
      <c r="H22" s="28" t="s">
        <v>1655</v>
      </c>
      <c r="I22" s="29">
        <v>88418.3</v>
      </c>
      <c r="J22" s="32" t="s">
        <v>1701</v>
      </c>
      <c r="K22" s="26" t="s">
        <v>975</v>
      </c>
      <c r="L22" s="27">
        <v>39917</v>
      </c>
      <c r="M22" s="43" t="s">
        <v>506</v>
      </c>
      <c r="O22" s="33"/>
      <c r="P22" s="33"/>
      <c r="Q22" s="33"/>
      <c r="R22" s="33"/>
      <c r="S22" s="33"/>
      <c r="T22" s="33"/>
      <c r="U22" s="33"/>
    </row>
    <row r="23" spans="1:55" ht="127.5">
      <c r="A23" s="25" t="s">
        <v>425</v>
      </c>
      <c r="B23" s="26" t="s">
        <v>2781</v>
      </c>
      <c r="C23" s="25">
        <v>4600016239</v>
      </c>
      <c r="D23" s="27" t="s">
        <v>2782</v>
      </c>
      <c r="E23" s="25">
        <v>5001212865</v>
      </c>
      <c r="F23" s="27">
        <v>39877</v>
      </c>
      <c r="G23" s="25" t="s">
        <v>1656</v>
      </c>
      <c r="H23" s="25" t="s">
        <v>1657</v>
      </c>
      <c r="I23" s="29">
        <v>49455.5</v>
      </c>
      <c r="J23" s="32" t="s">
        <v>2523</v>
      </c>
      <c r="K23" s="25" t="s">
        <v>628</v>
      </c>
      <c r="L23" s="27">
        <v>39937</v>
      </c>
      <c r="M23" s="41" t="s">
        <v>1080</v>
      </c>
    </row>
    <row r="24" spans="1:55" ht="140.25">
      <c r="A24" s="25" t="s">
        <v>971</v>
      </c>
      <c r="B24" s="26" t="s">
        <v>2781</v>
      </c>
      <c r="C24" s="25">
        <v>4600016526</v>
      </c>
      <c r="D24" s="27" t="s">
        <v>2782</v>
      </c>
      <c r="E24" s="26" t="s">
        <v>972</v>
      </c>
      <c r="F24" s="27">
        <v>39885</v>
      </c>
      <c r="G24" s="25" t="s">
        <v>973</v>
      </c>
      <c r="H24" s="25" t="s">
        <v>974</v>
      </c>
      <c r="I24" s="29">
        <v>132979.95000000001</v>
      </c>
      <c r="J24" s="32" t="s">
        <v>657</v>
      </c>
      <c r="K24" s="25" t="s">
        <v>1304</v>
      </c>
      <c r="L24" s="27">
        <v>39939</v>
      </c>
      <c r="M24" s="41" t="s">
        <v>1080</v>
      </c>
    </row>
    <row r="25" spans="1:55" ht="153">
      <c r="A25" s="25" t="s">
        <v>1702</v>
      </c>
      <c r="B25" s="26" t="s">
        <v>2781</v>
      </c>
      <c r="C25" s="25">
        <v>4600016598</v>
      </c>
      <c r="D25" s="27" t="s">
        <v>2782</v>
      </c>
      <c r="E25" s="26">
        <v>5001227468</v>
      </c>
      <c r="F25" s="27">
        <v>39893</v>
      </c>
      <c r="G25" s="25" t="s">
        <v>2406</v>
      </c>
      <c r="H25" s="25" t="s">
        <v>1703</v>
      </c>
      <c r="I25" s="29">
        <v>31288.99</v>
      </c>
      <c r="J25" s="32" t="s">
        <v>2059</v>
      </c>
      <c r="K25" s="25" t="s">
        <v>1305</v>
      </c>
      <c r="L25" s="27">
        <v>39939</v>
      </c>
      <c r="M25" s="41" t="s">
        <v>1080</v>
      </c>
    </row>
    <row r="26" spans="1:55" ht="140.25">
      <c r="A26" s="25" t="s">
        <v>1704</v>
      </c>
      <c r="B26" s="26" t="s">
        <v>2781</v>
      </c>
      <c r="C26" s="25">
        <v>4600016597</v>
      </c>
      <c r="D26" s="27" t="s">
        <v>2782</v>
      </c>
      <c r="E26" s="25">
        <v>5001224036</v>
      </c>
      <c r="F26" s="27">
        <v>39891</v>
      </c>
      <c r="G26" s="25" t="s">
        <v>2406</v>
      </c>
      <c r="H26" s="25" t="s">
        <v>1705</v>
      </c>
      <c r="I26" s="29">
        <v>31288.99</v>
      </c>
      <c r="J26" s="32" t="s">
        <v>852</v>
      </c>
      <c r="K26" s="25" t="s">
        <v>1306</v>
      </c>
      <c r="L26" s="27">
        <v>39939</v>
      </c>
      <c r="M26" s="41" t="s">
        <v>1080</v>
      </c>
    </row>
    <row r="27" spans="1:55" ht="165.75">
      <c r="A27" s="25" t="s">
        <v>789</v>
      </c>
      <c r="B27" s="26" t="s">
        <v>2781</v>
      </c>
      <c r="C27" s="25">
        <v>4600016596</v>
      </c>
      <c r="D27" s="27" t="s">
        <v>2782</v>
      </c>
      <c r="E27" s="25">
        <v>5001227467</v>
      </c>
      <c r="F27" s="27">
        <v>39893</v>
      </c>
      <c r="G27" s="25" t="s">
        <v>2406</v>
      </c>
      <c r="H27" s="25" t="s">
        <v>790</v>
      </c>
      <c r="I27" s="29">
        <v>31288.99</v>
      </c>
      <c r="J27" s="32" t="s">
        <v>130</v>
      </c>
      <c r="K27" s="25" t="s">
        <v>1307</v>
      </c>
      <c r="L27" s="27">
        <v>39939</v>
      </c>
      <c r="M27" s="41" t="s">
        <v>1080</v>
      </c>
    </row>
    <row r="28" spans="1:55" ht="165.75">
      <c r="A28" s="44" t="s">
        <v>791</v>
      </c>
      <c r="B28" s="45" t="s">
        <v>2781</v>
      </c>
      <c r="C28" s="44">
        <v>4600016595</v>
      </c>
      <c r="D28" s="38" t="s">
        <v>2782</v>
      </c>
      <c r="E28" s="44">
        <v>5001226910</v>
      </c>
      <c r="F28" s="38">
        <v>39892</v>
      </c>
      <c r="G28" s="44" t="s">
        <v>2406</v>
      </c>
      <c r="H28" s="44" t="s">
        <v>792</v>
      </c>
      <c r="I28" s="46">
        <v>31288.99</v>
      </c>
      <c r="J28" s="47" t="s">
        <v>1143</v>
      </c>
      <c r="K28" s="44" t="s">
        <v>1308</v>
      </c>
      <c r="L28" s="38">
        <v>39939</v>
      </c>
      <c r="M28" s="41" t="s">
        <v>1080</v>
      </c>
    </row>
    <row r="29" spans="1:55" s="49" customFormat="1" ht="63.75">
      <c r="A29" s="25" t="s">
        <v>2070</v>
      </c>
      <c r="B29" s="26" t="s">
        <v>2781</v>
      </c>
      <c r="C29" s="26" t="s">
        <v>2194</v>
      </c>
      <c r="D29" s="27" t="s">
        <v>2195</v>
      </c>
      <c r="E29" s="25">
        <v>5000001225</v>
      </c>
      <c r="F29" s="27">
        <v>39668</v>
      </c>
      <c r="G29" s="25" t="s">
        <v>2196</v>
      </c>
      <c r="H29" s="25" t="s">
        <v>2197</v>
      </c>
      <c r="I29" s="29">
        <v>42980.08</v>
      </c>
      <c r="J29" s="32" t="s">
        <v>2581</v>
      </c>
      <c r="K29" s="25" t="s">
        <v>2198</v>
      </c>
      <c r="L29" s="27">
        <v>39710</v>
      </c>
      <c r="M29" s="43" t="s">
        <v>2146</v>
      </c>
      <c r="N29" s="48"/>
    </row>
    <row r="30" spans="1:55" ht="229.5">
      <c r="A30" s="44" t="s">
        <v>612</v>
      </c>
      <c r="B30" s="45" t="s">
        <v>2781</v>
      </c>
      <c r="C30" s="45" t="s">
        <v>618</v>
      </c>
      <c r="D30" s="38" t="s">
        <v>2782</v>
      </c>
      <c r="E30" s="45" t="s">
        <v>619</v>
      </c>
      <c r="F30" s="38">
        <v>39899</v>
      </c>
      <c r="G30" s="44" t="s">
        <v>620</v>
      </c>
      <c r="H30" s="44" t="s">
        <v>621</v>
      </c>
      <c r="I30" s="46">
        <v>90161.67</v>
      </c>
      <c r="J30" s="47" t="s">
        <v>965</v>
      </c>
      <c r="K30" s="44" t="s">
        <v>1244</v>
      </c>
      <c r="L30" s="38">
        <v>39953</v>
      </c>
      <c r="M30" s="64" t="s">
        <v>2146</v>
      </c>
      <c r="N30" s="48"/>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row>
    <row r="31" spans="1:55" s="49" customFormat="1" ht="229.5">
      <c r="A31" s="25" t="s">
        <v>2345</v>
      </c>
      <c r="B31" s="26" t="s">
        <v>2781</v>
      </c>
      <c r="C31" s="26" t="s">
        <v>2346</v>
      </c>
      <c r="D31" s="51" t="s">
        <v>2347</v>
      </c>
      <c r="E31" s="26" t="s">
        <v>2348</v>
      </c>
      <c r="F31" s="27">
        <v>39921</v>
      </c>
      <c r="G31" s="25" t="s">
        <v>2349</v>
      </c>
      <c r="H31" s="25" t="s">
        <v>2360</v>
      </c>
      <c r="I31" s="29">
        <v>94889.29</v>
      </c>
      <c r="J31" s="32" t="s">
        <v>580</v>
      </c>
      <c r="K31" s="52" t="s">
        <v>1245</v>
      </c>
      <c r="L31" s="27">
        <v>39962</v>
      </c>
      <c r="M31" s="40" t="s">
        <v>2147</v>
      </c>
      <c r="N31" s="48"/>
    </row>
    <row r="32" spans="1:55" s="49" customFormat="1" ht="76.5">
      <c r="A32" s="52" t="s">
        <v>2880</v>
      </c>
      <c r="B32" s="26" t="s">
        <v>2781</v>
      </c>
      <c r="C32" s="52">
        <v>4600017215</v>
      </c>
      <c r="D32" s="38" t="s">
        <v>2782</v>
      </c>
      <c r="E32" s="52">
        <v>5001256030</v>
      </c>
      <c r="F32" s="57">
        <v>39926</v>
      </c>
      <c r="G32" s="52" t="s">
        <v>887</v>
      </c>
      <c r="H32" s="52" t="s">
        <v>889</v>
      </c>
      <c r="I32" s="59">
        <v>106826.64</v>
      </c>
      <c r="J32" s="32" t="s">
        <v>424</v>
      </c>
      <c r="K32" s="52" t="s">
        <v>1246</v>
      </c>
      <c r="L32" s="57">
        <v>39967</v>
      </c>
      <c r="M32" s="43" t="s">
        <v>2146</v>
      </c>
      <c r="N32" s="48"/>
    </row>
    <row r="33" spans="1:14" s="49" customFormat="1" ht="114.75">
      <c r="A33" s="52" t="s">
        <v>2881</v>
      </c>
      <c r="B33" s="26" t="s">
        <v>2781</v>
      </c>
      <c r="C33" s="52">
        <v>4600017212</v>
      </c>
      <c r="D33" s="38" t="s">
        <v>2782</v>
      </c>
      <c r="E33" s="52">
        <v>5001259024</v>
      </c>
      <c r="F33" s="57">
        <v>39896</v>
      </c>
      <c r="G33" s="52" t="s">
        <v>888</v>
      </c>
      <c r="H33" s="52" t="s">
        <v>890</v>
      </c>
      <c r="I33" s="59">
        <v>31288.99</v>
      </c>
      <c r="J33" s="32" t="s">
        <v>1173</v>
      </c>
      <c r="K33" s="52" t="s">
        <v>1247</v>
      </c>
      <c r="L33" s="57">
        <v>39967</v>
      </c>
      <c r="M33" s="41" t="s">
        <v>2148</v>
      </c>
      <c r="N33" s="48"/>
    </row>
    <row r="34" spans="1:14" s="49" customFormat="1" ht="89.25">
      <c r="A34" s="52" t="s">
        <v>1614</v>
      </c>
      <c r="B34" s="26" t="s">
        <v>2781</v>
      </c>
      <c r="C34" s="52">
        <v>4600018317</v>
      </c>
      <c r="D34" s="38" t="s">
        <v>2782</v>
      </c>
      <c r="E34" s="52">
        <v>5001294411</v>
      </c>
      <c r="F34" s="57">
        <v>39970</v>
      </c>
      <c r="G34" s="52" t="s">
        <v>1802</v>
      </c>
      <c r="H34" s="52" t="s">
        <v>1612</v>
      </c>
      <c r="I34" s="59">
        <v>31288.99</v>
      </c>
      <c r="J34" s="61" t="s">
        <v>1062</v>
      </c>
      <c r="K34" s="52" t="s">
        <v>2759</v>
      </c>
      <c r="L34" s="57">
        <v>40010</v>
      </c>
      <c r="M34" s="41" t="s">
        <v>2148</v>
      </c>
      <c r="N34" s="48"/>
    </row>
    <row r="35" spans="1:14" s="49" customFormat="1" ht="89.25">
      <c r="A35" s="52" t="s">
        <v>1615</v>
      </c>
      <c r="B35" s="26" t="s">
        <v>2781</v>
      </c>
      <c r="C35" s="52">
        <v>4600018316</v>
      </c>
      <c r="D35" s="38" t="s">
        <v>2782</v>
      </c>
      <c r="E35" s="52">
        <v>5001294412</v>
      </c>
      <c r="F35" s="57">
        <v>39970</v>
      </c>
      <c r="G35" s="52" t="s">
        <v>1802</v>
      </c>
      <c r="H35" s="52" t="s">
        <v>1613</v>
      </c>
      <c r="I35" s="59">
        <v>31288.99</v>
      </c>
      <c r="J35" s="61" t="s">
        <v>2761</v>
      </c>
      <c r="K35" s="52" t="s">
        <v>2760</v>
      </c>
      <c r="L35" s="57">
        <v>40010</v>
      </c>
      <c r="M35" s="41" t="s">
        <v>2148</v>
      </c>
      <c r="N35" s="48"/>
    </row>
    <row r="36" spans="1:14" s="49" customFormat="1" ht="76.5">
      <c r="A36" s="52" t="s">
        <v>436</v>
      </c>
      <c r="B36" s="52" t="s">
        <v>2781</v>
      </c>
      <c r="C36" s="52">
        <v>4600018638</v>
      </c>
      <c r="D36" s="49" t="s">
        <v>2782</v>
      </c>
      <c r="E36" s="52">
        <v>5001300148</v>
      </c>
      <c r="F36" s="57">
        <v>39976</v>
      </c>
      <c r="G36" s="52" t="s">
        <v>437</v>
      </c>
      <c r="H36" s="52" t="s">
        <v>1795</v>
      </c>
      <c r="I36" s="59">
        <v>31288.99</v>
      </c>
      <c r="J36" s="32" t="s">
        <v>989</v>
      </c>
      <c r="K36" s="52" t="s">
        <v>2786</v>
      </c>
      <c r="L36" s="57">
        <v>40021</v>
      </c>
      <c r="M36" s="41" t="s">
        <v>1080</v>
      </c>
      <c r="N36" s="48"/>
    </row>
    <row r="37" spans="1:14" s="49" customFormat="1" ht="76.5">
      <c r="A37" s="52" t="s">
        <v>438</v>
      </c>
      <c r="B37" s="52" t="s">
        <v>2781</v>
      </c>
      <c r="C37" s="52">
        <v>4600018637</v>
      </c>
      <c r="D37" s="49" t="s">
        <v>2782</v>
      </c>
      <c r="E37" s="52">
        <v>5001300147</v>
      </c>
      <c r="F37" s="57">
        <v>39976</v>
      </c>
      <c r="G37" s="52" t="s">
        <v>437</v>
      </c>
      <c r="H37" s="52" t="s">
        <v>1794</v>
      </c>
      <c r="I37" s="59">
        <v>23544.19</v>
      </c>
      <c r="J37" s="32" t="s">
        <v>1638</v>
      </c>
      <c r="K37" s="52" t="s">
        <v>2787</v>
      </c>
      <c r="L37" s="57">
        <v>39991</v>
      </c>
      <c r="M37" s="41" t="s">
        <v>1080</v>
      </c>
      <c r="N37" s="48"/>
    </row>
    <row r="38" spans="1:14" s="49" customFormat="1" ht="76.5">
      <c r="A38" s="52" t="s">
        <v>439</v>
      </c>
      <c r="B38" s="52" t="s">
        <v>2781</v>
      </c>
      <c r="C38" s="52">
        <v>4600018634</v>
      </c>
      <c r="D38" s="49" t="s">
        <v>2782</v>
      </c>
      <c r="E38" s="52">
        <v>5001302090</v>
      </c>
      <c r="F38" s="57">
        <v>39977</v>
      </c>
      <c r="G38" s="52" t="s">
        <v>437</v>
      </c>
      <c r="H38" s="52" t="s">
        <v>1796</v>
      </c>
      <c r="I38" s="59">
        <v>49455.5</v>
      </c>
      <c r="J38" s="32" t="s">
        <v>2668</v>
      </c>
      <c r="K38" s="52" t="s">
        <v>2788</v>
      </c>
      <c r="L38" s="57">
        <v>39991</v>
      </c>
      <c r="M38" s="41" t="s">
        <v>1080</v>
      </c>
      <c r="N38" s="48"/>
    </row>
    <row r="39" spans="1:14" s="49" customFormat="1" ht="89.25">
      <c r="A39" s="52" t="s">
        <v>104</v>
      </c>
      <c r="B39" s="52" t="s">
        <v>2781</v>
      </c>
      <c r="C39" s="52">
        <v>4600018902</v>
      </c>
      <c r="D39" s="49" t="s">
        <v>2782</v>
      </c>
      <c r="E39" s="52">
        <v>5001307443</v>
      </c>
      <c r="F39" s="57">
        <v>39982</v>
      </c>
      <c r="G39" s="52" t="s">
        <v>437</v>
      </c>
      <c r="H39" s="52" t="s">
        <v>105</v>
      </c>
      <c r="I39" s="59">
        <v>59346.6</v>
      </c>
      <c r="J39" s="32" t="s">
        <v>1580</v>
      </c>
      <c r="K39" s="52" t="s">
        <v>2669</v>
      </c>
      <c r="L39" s="57">
        <v>40023</v>
      </c>
      <c r="M39" s="41" t="s">
        <v>1080</v>
      </c>
      <c r="N39" s="48"/>
    </row>
    <row r="40" spans="1:14" s="49" customFormat="1" ht="89.25">
      <c r="A40" s="52" t="s">
        <v>106</v>
      </c>
      <c r="B40" s="52" t="s">
        <v>2781</v>
      </c>
      <c r="C40" s="52">
        <v>4600018904</v>
      </c>
      <c r="D40" s="49" t="s">
        <v>2782</v>
      </c>
      <c r="E40" s="52">
        <v>5001307456</v>
      </c>
      <c r="F40" s="57">
        <v>39982</v>
      </c>
      <c r="G40" s="52" t="s">
        <v>437</v>
      </c>
      <c r="H40" s="52" t="s">
        <v>107</v>
      </c>
      <c r="I40" s="59">
        <v>31288.99</v>
      </c>
      <c r="J40" s="32" t="s">
        <v>805</v>
      </c>
      <c r="K40" s="52" t="s">
        <v>2670</v>
      </c>
      <c r="L40" s="57">
        <v>40023</v>
      </c>
      <c r="M40" s="41" t="s">
        <v>1080</v>
      </c>
      <c r="N40" s="48"/>
    </row>
    <row r="41" spans="1:14" s="49" customFormat="1" ht="102">
      <c r="A41" s="52" t="s">
        <v>108</v>
      </c>
      <c r="B41" s="52" t="s">
        <v>2781</v>
      </c>
      <c r="C41" s="100" t="s">
        <v>2337</v>
      </c>
      <c r="D41" s="49" t="s">
        <v>2782</v>
      </c>
      <c r="E41" s="100" t="s">
        <v>2338</v>
      </c>
      <c r="F41" s="57">
        <v>39983</v>
      </c>
      <c r="G41" s="52" t="s">
        <v>437</v>
      </c>
      <c r="H41" s="52" t="s">
        <v>2339</v>
      </c>
      <c r="I41" s="59">
        <v>56119.94</v>
      </c>
      <c r="J41" s="32" t="s">
        <v>2625</v>
      </c>
      <c r="K41" s="52" t="s">
        <v>694</v>
      </c>
      <c r="L41" s="57">
        <v>40028</v>
      </c>
      <c r="M41" s="41" t="s">
        <v>1080</v>
      </c>
      <c r="N41" s="48"/>
    </row>
    <row r="42" spans="1:14" s="49" customFormat="1" ht="114.75">
      <c r="A42" s="52" t="s">
        <v>1388</v>
      </c>
      <c r="B42" s="52" t="s">
        <v>2781</v>
      </c>
      <c r="C42" s="100">
        <v>4600018271</v>
      </c>
      <c r="D42" s="49" t="s">
        <v>2782</v>
      </c>
      <c r="E42" s="100">
        <v>5001323862</v>
      </c>
      <c r="F42" s="57">
        <v>39999</v>
      </c>
      <c r="G42" s="52" t="s">
        <v>437</v>
      </c>
      <c r="H42" s="52" t="s">
        <v>1389</v>
      </c>
      <c r="I42" s="59">
        <v>31288.99</v>
      </c>
      <c r="J42" s="79" t="s">
        <v>1267</v>
      </c>
      <c r="K42" s="52" t="s">
        <v>2810</v>
      </c>
      <c r="L42" s="57">
        <v>40038</v>
      </c>
      <c r="M42" s="41" t="s">
        <v>1080</v>
      </c>
      <c r="N42" s="48"/>
    </row>
    <row r="43" spans="1:14" s="49" customFormat="1" ht="63.75">
      <c r="A43" s="52" t="s">
        <v>1983</v>
      </c>
      <c r="B43" s="52" t="s">
        <v>2781</v>
      </c>
      <c r="C43" s="100">
        <v>4600018686</v>
      </c>
      <c r="D43" s="49" t="s">
        <v>2782</v>
      </c>
      <c r="E43" s="100">
        <v>5001335869</v>
      </c>
      <c r="F43" s="57">
        <v>40012</v>
      </c>
      <c r="G43" s="52" t="s">
        <v>1984</v>
      </c>
      <c r="H43" s="52" t="s">
        <v>1985</v>
      </c>
      <c r="I43" s="59">
        <v>49455.5</v>
      </c>
      <c r="J43" s="79" t="s">
        <v>451</v>
      </c>
      <c r="K43" s="52" t="s">
        <v>431</v>
      </c>
      <c r="L43" s="57">
        <v>40050</v>
      </c>
      <c r="M43" s="41" t="s">
        <v>1080</v>
      </c>
      <c r="N43" s="48"/>
    </row>
    <row r="44" spans="1:14" s="49" customFormat="1" ht="63.75">
      <c r="A44" s="52" t="s">
        <v>1986</v>
      </c>
      <c r="B44" s="52" t="s">
        <v>2781</v>
      </c>
      <c r="C44" s="100">
        <v>4600018687</v>
      </c>
      <c r="D44" s="49" t="s">
        <v>2782</v>
      </c>
      <c r="E44" s="100">
        <v>5001337561</v>
      </c>
      <c r="F44" s="57">
        <v>40013</v>
      </c>
      <c r="G44" s="52" t="s">
        <v>1984</v>
      </c>
      <c r="H44" s="52" t="s">
        <v>1987</v>
      </c>
      <c r="I44" s="59">
        <v>31288.99</v>
      </c>
      <c r="J44" s="79" t="s">
        <v>243</v>
      </c>
      <c r="K44" s="52" t="s">
        <v>432</v>
      </c>
      <c r="L44" s="57">
        <v>40050</v>
      </c>
      <c r="M44" s="41" t="s">
        <v>1080</v>
      </c>
      <c r="N44" s="48"/>
    </row>
    <row r="45" spans="1:14" s="49" customFormat="1" ht="114.75">
      <c r="A45" s="52" t="s">
        <v>1988</v>
      </c>
      <c r="B45" s="52" t="s">
        <v>2781</v>
      </c>
      <c r="C45" s="100" t="s">
        <v>1989</v>
      </c>
      <c r="D45" s="49" t="s">
        <v>2782</v>
      </c>
      <c r="E45" s="100" t="s">
        <v>1990</v>
      </c>
      <c r="F45" s="57">
        <v>40009</v>
      </c>
      <c r="G45" s="52" t="s">
        <v>1984</v>
      </c>
      <c r="H45" s="52" t="s">
        <v>1991</v>
      </c>
      <c r="I45" s="59">
        <v>40377.18</v>
      </c>
      <c r="J45" s="79" t="s">
        <v>1782</v>
      </c>
      <c r="K45" s="52" t="s">
        <v>433</v>
      </c>
      <c r="L45" s="57">
        <v>40050</v>
      </c>
      <c r="M45" s="40" t="s">
        <v>980</v>
      </c>
      <c r="N45" s="48"/>
    </row>
    <row r="46" spans="1:14" s="49" customFormat="1" ht="114.75">
      <c r="A46" s="52" t="s">
        <v>1326</v>
      </c>
      <c r="B46" s="52" t="s">
        <v>2781</v>
      </c>
      <c r="C46" s="100">
        <v>4600019400</v>
      </c>
      <c r="D46" s="49" t="s">
        <v>2782</v>
      </c>
      <c r="E46" s="100">
        <v>5001353915</v>
      </c>
      <c r="F46" s="57">
        <v>40037</v>
      </c>
      <c r="G46" s="52" t="s">
        <v>1327</v>
      </c>
      <c r="H46" s="52">
        <v>553888505</v>
      </c>
      <c r="I46" s="59">
        <v>31288.99</v>
      </c>
      <c r="J46" s="79" t="s">
        <v>558</v>
      </c>
      <c r="K46" s="52" t="s">
        <v>559</v>
      </c>
      <c r="L46" s="57">
        <v>40077</v>
      </c>
      <c r="M46" s="41" t="s">
        <v>1080</v>
      </c>
      <c r="N46" s="48"/>
    </row>
    <row r="47" spans="1:14" s="49" customFormat="1" ht="114.75">
      <c r="A47" s="52" t="s">
        <v>2444</v>
      </c>
      <c r="B47" s="52" t="s">
        <v>2781</v>
      </c>
      <c r="C47" s="100">
        <v>4600019399</v>
      </c>
      <c r="D47" s="49" t="s">
        <v>2782</v>
      </c>
      <c r="E47" s="100">
        <v>5001356771</v>
      </c>
      <c r="F47" s="57">
        <v>40032</v>
      </c>
      <c r="G47" s="52" t="s">
        <v>1327</v>
      </c>
      <c r="H47" s="52" t="s">
        <v>2445</v>
      </c>
      <c r="I47" s="59">
        <v>49455.5</v>
      </c>
      <c r="J47" s="79" t="s">
        <v>564</v>
      </c>
      <c r="K47" s="52" t="s">
        <v>2769</v>
      </c>
      <c r="L47" s="57">
        <v>40074</v>
      </c>
      <c r="M47" s="41" t="s">
        <v>1080</v>
      </c>
      <c r="N47" s="48"/>
    </row>
    <row r="48" spans="1:14" s="49" customFormat="1" ht="63.75">
      <c r="A48" s="52" t="s">
        <v>2222</v>
      </c>
      <c r="B48" s="52" t="s">
        <v>2781</v>
      </c>
      <c r="C48" s="100">
        <v>4600019406</v>
      </c>
      <c r="D48" s="49" t="s">
        <v>2782</v>
      </c>
      <c r="E48" s="100">
        <v>5001360731</v>
      </c>
      <c r="F48" s="57">
        <v>40040</v>
      </c>
      <c r="G48" s="52" t="s">
        <v>2223</v>
      </c>
      <c r="H48" s="52" t="s">
        <v>2224</v>
      </c>
      <c r="I48" s="59">
        <v>48329.47</v>
      </c>
      <c r="J48" s="79" t="s">
        <v>2566</v>
      </c>
      <c r="K48" s="52" t="s">
        <v>2503</v>
      </c>
      <c r="L48" s="57">
        <v>40081</v>
      </c>
      <c r="M48" s="43" t="s">
        <v>506</v>
      </c>
      <c r="N48" s="48"/>
    </row>
    <row r="49" spans="1:14" s="49" customFormat="1" ht="63.75">
      <c r="A49" s="52" t="s">
        <v>2119</v>
      </c>
      <c r="B49" s="52" t="s">
        <v>2781</v>
      </c>
      <c r="C49" s="100" t="s">
        <v>2120</v>
      </c>
      <c r="D49" s="49" t="s">
        <v>2782</v>
      </c>
      <c r="E49" s="100" t="s">
        <v>2121</v>
      </c>
      <c r="F49" s="57">
        <v>40051</v>
      </c>
      <c r="G49" s="52" t="s">
        <v>2122</v>
      </c>
      <c r="H49" s="52">
        <v>553888531</v>
      </c>
      <c r="I49" s="59">
        <v>62577.98</v>
      </c>
      <c r="J49" s="79" t="s">
        <v>903</v>
      </c>
      <c r="K49" s="52" t="s">
        <v>359</v>
      </c>
      <c r="L49" s="57">
        <v>40088</v>
      </c>
      <c r="M49" s="41" t="s">
        <v>1080</v>
      </c>
      <c r="N49" s="48"/>
    </row>
    <row r="50" spans="1:14" s="49" customFormat="1" ht="165.75">
      <c r="A50" s="52" t="s">
        <v>1354</v>
      </c>
      <c r="B50" s="52" t="s">
        <v>2781</v>
      </c>
      <c r="C50" s="100">
        <v>4600019746</v>
      </c>
      <c r="D50" s="49" t="s">
        <v>2782</v>
      </c>
      <c r="E50" s="100">
        <v>5001370537</v>
      </c>
      <c r="F50" s="57">
        <v>40047</v>
      </c>
      <c r="G50" s="52" t="s">
        <v>437</v>
      </c>
      <c r="H50" s="52" t="s">
        <v>1355</v>
      </c>
      <c r="I50" s="59">
        <v>49455.5</v>
      </c>
      <c r="J50" s="79" t="s">
        <v>1936</v>
      </c>
      <c r="K50" s="52" t="s">
        <v>1670</v>
      </c>
      <c r="L50" s="57">
        <v>40095</v>
      </c>
      <c r="M50" s="40" t="s">
        <v>980</v>
      </c>
      <c r="N50" s="48"/>
    </row>
    <row r="51" spans="1:14" s="49" customFormat="1" ht="76.5">
      <c r="A51" s="52" t="s">
        <v>1251</v>
      </c>
      <c r="B51" s="52" t="s">
        <v>2781</v>
      </c>
      <c r="C51" s="100">
        <v>4600020055</v>
      </c>
      <c r="D51" s="49" t="s">
        <v>2782</v>
      </c>
      <c r="E51" s="100">
        <v>5001378340</v>
      </c>
      <c r="F51" s="57">
        <v>40054</v>
      </c>
      <c r="G51" s="52" t="s">
        <v>620</v>
      </c>
      <c r="H51" s="52" t="s">
        <v>1252</v>
      </c>
      <c r="I51" s="59">
        <v>49455.5</v>
      </c>
      <c r="J51" s="79" t="s">
        <v>2185</v>
      </c>
      <c r="K51" s="52" t="s">
        <v>2310</v>
      </c>
      <c r="L51" s="57">
        <v>40101</v>
      </c>
      <c r="M51" s="41" t="s">
        <v>1080</v>
      </c>
      <c r="N51" s="48"/>
    </row>
    <row r="52" spans="1:14" s="49" customFormat="1" ht="204">
      <c r="A52" s="52" t="s">
        <v>1253</v>
      </c>
      <c r="B52" s="52" t="s">
        <v>2781</v>
      </c>
      <c r="C52" s="100">
        <v>4600019749</v>
      </c>
      <c r="D52" s="49" t="s">
        <v>2782</v>
      </c>
      <c r="E52" s="100">
        <v>5001374641</v>
      </c>
      <c r="F52" s="57">
        <v>40053</v>
      </c>
      <c r="G52" s="52" t="s">
        <v>620</v>
      </c>
      <c r="H52" s="52" t="s">
        <v>1254</v>
      </c>
      <c r="I52" s="59">
        <v>71039.360000000001</v>
      </c>
      <c r="J52" s="79" t="s">
        <v>1707</v>
      </c>
      <c r="K52" s="52" t="s">
        <v>2309</v>
      </c>
      <c r="L52" s="57">
        <v>40101</v>
      </c>
      <c r="M52" s="40" t="s">
        <v>980</v>
      </c>
      <c r="N52" s="48"/>
    </row>
    <row r="53" spans="1:14" s="49" customFormat="1" ht="76.5">
      <c r="A53" s="52" t="s">
        <v>229</v>
      </c>
      <c r="B53" s="52" t="s">
        <v>2781</v>
      </c>
      <c r="C53" s="100">
        <v>4600020055</v>
      </c>
      <c r="D53" s="49" t="s">
        <v>2782</v>
      </c>
      <c r="E53" s="100">
        <v>5001389773</v>
      </c>
      <c r="F53" s="57">
        <v>40068</v>
      </c>
      <c r="G53" s="52" t="s">
        <v>230</v>
      </c>
      <c r="H53" s="52" t="s">
        <v>231</v>
      </c>
      <c r="I53" s="59">
        <v>49455.5</v>
      </c>
      <c r="J53" s="79" t="s">
        <v>2650</v>
      </c>
      <c r="K53" s="52" t="s">
        <v>2565</v>
      </c>
      <c r="L53" s="57">
        <v>40109</v>
      </c>
      <c r="M53" s="41" t="s">
        <v>1080</v>
      </c>
      <c r="N53" s="48"/>
    </row>
    <row r="54" spans="1:14" s="49" customFormat="1" ht="204">
      <c r="A54" s="52" t="s">
        <v>232</v>
      </c>
      <c r="B54" s="52" t="s">
        <v>2781</v>
      </c>
      <c r="C54" s="100">
        <v>4600020320</v>
      </c>
      <c r="D54" s="49" t="s">
        <v>2782</v>
      </c>
      <c r="E54" s="100">
        <v>5001389807</v>
      </c>
      <c r="F54" s="57">
        <v>40069</v>
      </c>
      <c r="G54" s="52" t="s">
        <v>230</v>
      </c>
      <c r="H54" s="52" t="s">
        <v>233</v>
      </c>
      <c r="I54" s="59">
        <v>12791.53</v>
      </c>
      <c r="J54" s="79" t="s">
        <v>1047</v>
      </c>
      <c r="K54" s="52"/>
      <c r="L54" s="57"/>
      <c r="M54" s="25"/>
      <c r="N54" s="48"/>
    </row>
    <row r="55" spans="1:14" s="49" customFormat="1" ht="102">
      <c r="A55" s="52" t="s">
        <v>656</v>
      </c>
      <c r="B55" s="52" t="s">
        <v>2781</v>
      </c>
      <c r="C55" s="100" t="s">
        <v>17</v>
      </c>
      <c r="D55" s="49" t="s">
        <v>2782</v>
      </c>
      <c r="E55" s="100" t="s">
        <v>616</v>
      </c>
      <c r="F55" s="57">
        <v>40070</v>
      </c>
      <c r="G55" s="52" t="s">
        <v>1024</v>
      </c>
      <c r="H55" s="52" t="s">
        <v>617</v>
      </c>
      <c r="I55" s="59">
        <v>45472.89</v>
      </c>
      <c r="J55" s="79" t="s">
        <v>1449</v>
      </c>
      <c r="K55" s="57" t="s">
        <v>1450</v>
      </c>
      <c r="L55" s="57">
        <v>40129</v>
      </c>
      <c r="M55" s="41" t="s">
        <v>1080</v>
      </c>
      <c r="N55" s="48"/>
    </row>
    <row r="56" spans="1:14" s="49" customFormat="1" ht="89.25">
      <c r="A56" s="52" t="s">
        <v>632</v>
      </c>
      <c r="B56" s="52" t="s">
        <v>2781</v>
      </c>
      <c r="C56" s="100">
        <v>4600020838</v>
      </c>
      <c r="D56" s="49" t="s">
        <v>2782</v>
      </c>
      <c r="E56" s="100">
        <v>5001410718</v>
      </c>
      <c r="F56" s="57">
        <v>40085</v>
      </c>
      <c r="G56" s="52" t="s">
        <v>1008</v>
      </c>
      <c r="H56" s="52" t="s">
        <v>633</v>
      </c>
      <c r="I56" s="59">
        <v>14718</v>
      </c>
      <c r="J56" s="79" t="s">
        <v>1938</v>
      </c>
      <c r="K56" s="25" t="s">
        <v>1451</v>
      </c>
      <c r="L56" s="57">
        <v>40126</v>
      </c>
      <c r="M56" s="41" t="s">
        <v>1080</v>
      </c>
      <c r="N56" s="48"/>
    </row>
    <row r="57" spans="1:14" s="49" customFormat="1" ht="63.75">
      <c r="A57" s="52" t="s">
        <v>2876</v>
      </c>
      <c r="B57" s="52" t="s">
        <v>2781</v>
      </c>
      <c r="C57" s="100">
        <v>4600020775</v>
      </c>
      <c r="D57" s="49" t="s">
        <v>2782</v>
      </c>
      <c r="E57" s="100">
        <v>5001425863</v>
      </c>
      <c r="F57" s="57">
        <v>40100</v>
      </c>
      <c r="G57" s="52" t="s">
        <v>1772</v>
      </c>
      <c r="H57" s="52" t="s">
        <v>2877</v>
      </c>
      <c r="I57" s="59">
        <v>48329.47</v>
      </c>
      <c r="J57" s="79" t="s">
        <v>2679</v>
      </c>
      <c r="K57" s="25" t="s">
        <v>2289</v>
      </c>
      <c r="L57" s="57">
        <v>40144</v>
      </c>
      <c r="M57" s="43" t="s">
        <v>506</v>
      </c>
      <c r="N57" s="48"/>
    </row>
    <row r="58" spans="1:14" ht="63.75">
      <c r="A58" s="52" t="s">
        <v>2251</v>
      </c>
      <c r="B58" s="113" t="s">
        <v>2781</v>
      </c>
      <c r="C58" s="115">
        <v>4600020775</v>
      </c>
      <c r="D58" s="113" t="s">
        <v>2782</v>
      </c>
      <c r="E58" s="115">
        <v>5001433898</v>
      </c>
      <c r="F58" s="57">
        <v>40108</v>
      </c>
      <c r="G58" s="52" t="s">
        <v>2728</v>
      </c>
      <c r="H58" s="52" t="s">
        <v>2824</v>
      </c>
      <c r="I58" s="114">
        <v>48329.47</v>
      </c>
      <c r="J58" s="32" t="s">
        <v>154</v>
      </c>
      <c r="K58" s="32" t="s">
        <v>830</v>
      </c>
      <c r="L58" s="27">
        <v>40151</v>
      </c>
      <c r="M58" s="43" t="s">
        <v>506</v>
      </c>
    </row>
    <row r="59" spans="1:14" ht="63.75">
      <c r="A59" s="52" t="s">
        <v>2825</v>
      </c>
      <c r="B59" s="113" t="s">
        <v>2781</v>
      </c>
      <c r="C59" s="115">
        <v>4600020776</v>
      </c>
      <c r="D59" s="113" t="s">
        <v>2782</v>
      </c>
      <c r="E59" s="115">
        <v>5001433900</v>
      </c>
      <c r="F59" s="57">
        <v>40108</v>
      </c>
      <c r="G59" s="52" t="s">
        <v>2728</v>
      </c>
      <c r="H59" s="52" t="s">
        <v>2826</v>
      </c>
      <c r="I59" s="114">
        <v>48329.47</v>
      </c>
      <c r="J59" s="32" t="s">
        <v>660</v>
      </c>
      <c r="K59" s="25" t="s">
        <v>661</v>
      </c>
      <c r="L59" s="27">
        <v>40151</v>
      </c>
      <c r="M59" s="43" t="s">
        <v>506</v>
      </c>
    </row>
    <row r="60" spans="1:14" ht="127.5">
      <c r="A60" s="52" t="s">
        <v>586</v>
      </c>
      <c r="B60" s="113" t="s">
        <v>2781</v>
      </c>
      <c r="C60" s="115">
        <v>4600023622</v>
      </c>
      <c r="D60" s="113" t="s">
        <v>2782</v>
      </c>
      <c r="E60" s="115">
        <v>5001522005</v>
      </c>
      <c r="F60" s="57">
        <v>40193</v>
      </c>
      <c r="G60" s="52" t="s">
        <v>2223</v>
      </c>
      <c r="H60" s="52">
        <v>562499860</v>
      </c>
      <c r="I60" s="114">
        <v>5396.83</v>
      </c>
      <c r="J60" s="32" t="s">
        <v>566</v>
      </c>
      <c r="K60" s="25"/>
      <c r="L60" s="27"/>
      <c r="M60" s="25"/>
    </row>
    <row r="61" spans="1:14" ht="114.75">
      <c r="A61" s="52" t="s">
        <v>206</v>
      </c>
      <c r="B61" s="113" t="s">
        <v>2781</v>
      </c>
      <c r="C61" s="115" t="s">
        <v>207</v>
      </c>
      <c r="D61" s="113" t="s">
        <v>2782</v>
      </c>
      <c r="E61" s="115" t="s">
        <v>208</v>
      </c>
      <c r="F61" s="57">
        <v>40237</v>
      </c>
      <c r="G61" s="52" t="s">
        <v>2388</v>
      </c>
      <c r="H61" s="52">
        <v>562500003</v>
      </c>
      <c r="I61" s="114">
        <v>166041.24</v>
      </c>
      <c r="J61" s="32" t="s">
        <v>1556</v>
      </c>
      <c r="K61" s="25" t="s">
        <v>2481</v>
      </c>
      <c r="L61" s="27">
        <v>40287</v>
      </c>
      <c r="M61" s="41" t="s">
        <v>1080</v>
      </c>
    </row>
    <row r="62" spans="1:14" ht="89.25">
      <c r="A62" s="52" t="s">
        <v>1557</v>
      </c>
      <c r="B62" s="113" t="s">
        <v>2781</v>
      </c>
      <c r="C62" s="115" t="s">
        <v>1558</v>
      </c>
      <c r="D62" s="113" t="s">
        <v>2782</v>
      </c>
      <c r="E62" s="115" t="s">
        <v>1107</v>
      </c>
      <c r="F62" s="57">
        <v>40248</v>
      </c>
      <c r="G62" s="52" t="s">
        <v>1984</v>
      </c>
      <c r="H62" s="52">
        <v>562500147</v>
      </c>
      <c r="I62" s="114">
        <v>129194.4</v>
      </c>
      <c r="J62" s="32" t="s">
        <v>1842</v>
      </c>
      <c r="K62" s="25" t="s">
        <v>714</v>
      </c>
      <c r="L62" s="27">
        <v>40308</v>
      </c>
      <c r="M62" s="41" t="s">
        <v>1080</v>
      </c>
    </row>
    <row r="63" spans="1:14" ht="102">
      <c r="A63" s="52" t="s">
        <v>2597</v>
      </c>
      <c r="B63" s="113" t="s">
        <v>2781</v>
      </c>
      <c r="C63" s="115" t="s">
        <v>2822</v>
      </c>
      <c r="D63" s="113" t="s">
        <v>2782</v>
      </c>
      <c r="E63" s="115" t="s">
        <v>2823</v>
      </c>
      <c r="F63" s="57">
        <v>40261</v>
      </c>
      <c r="G63" s="52" t="s">
        <v>1772</v>
      </c>
      <c r="H63" s="52">
        <v>562500191</v>
      </c>
      <c r="I63" s="114">
        <v>117682.8</v>
      </c>
      <c r="J63" s="32" t="s">
        <v>565</v>
      </c>
      <c r="K63" s="25" t="s">
        <v>728</v>
      </c>
      <c r="L63" s="27">
        <v>40316</v>
      </c>
      <c r="M63" s="41" t="s">
        <v>1080</v>
      </c>
    </row>
    <row r="64" spans="1:14" ht="102">
      <c r="A64" s="25" t="s">
        <v>2507</v>
      </c>
      <c r="B64" s="26" t="s">
        <v>2781</v>
      </c>
      <c r="C64" s="25">
        <v>4600026515</v>
      </c>
      <c r="D64" s="113" t="s">
        <v>2782</v>
      </c>
      <c r="E64" s="26" t="s">
        <v>2508</v>
      </c>
      <c r="F64" s="27">
        <v>40295</v>
      </c>
      <c r="G64" s="25" t="s">
        <v>620</v>
      </c>
      <c r="H64" s="25">
        <v>562500373</v>
      </c>
      <c r="I64" s="29">
        <v>75315.600000000006</v>
      </c>
      <c r="J64" s="32" t="s">
        <v>745</v>
      </c>
      <c r="K64" s="25" t="s">
        <v>1457</v>
      </c>
      <c r="L64" s="27">
        <v>40360</v>
      </c>
      <c r="M64" s="43" t="s">
        <v>506</v>
      </c>
    </row>
    <row r="65" spans="1:13" ht="102">
      <c r="A65" s="25" t="s">
        <v>802</v>
      </c>
      <c r="B65" s="26" t="s">
        <v>2781</v>
      </c>
      <c r="C65" s="26" t="s">
        <v>803</v>
      </c>
      <c r="D65" s="113" t="s">
        <v>2782</v>
      </c>
      <c r="E65" s="26" t="s">
        <v>804</v>
      </c>
      <c r="F65" s="27">
        <v>40295</v>
      </c>
      <c r="G65" s="25" t="s">
        <v>620</v>
      </c>
      <c r="H65" s="25">
        <v>562500387</v>
      </c>
      <c r="I65" s="29">
        <v>70965.41</v>
      </c>
      <c r="J65" s="32" t="s">
        <v>746</v>
      </c>
      <c r="K65" s="25" t="s">
        <v>1458</v>
      </c>
      <c r="L65" s="27">
        <v>40360</v>
      </c>
      <c r="M65" s="43" t="s">
        <v>506</v>
      </c>
    </row>
    <row r="66" spans="1:13" ht="89.25">
      <c r="A66" s="25" t="s">
        <v>1416</v>
      </c>
      <c r="B66" s="26" t="s">
        <v>2781</v>
      </c>
      <c r="C66" s="25">
        <v>4600026785</v>
      </c>
      <c r="D66" s="113" t="s">
        <v>2782</v>
      </c>
      <c r="E66" s="25">
        <v>5001643955</v>
      </c>
      <c r="F66" s="27">
        <v>40215</v>
      </c>
      <c r="G66" s="25" t="s">
        <v>230</v>
      </c>
      <c r="H66" s="25">
        <v>562500440</v>
      </c>
      <c r="I66" s="29">
        <v>49134.48</v>
      </c>
      <c r="J66" s="32" t="s">
        <v>688</v>
      </c>
      <c r="K66" s="25" t="s">
        <v>2773</v>
      </c>
      <c r="L66" s="27">
        <v>40372</v>
      </c>
      <c r="M66" s="43" t="s">
        <v>506</v>
      </c>
    </row>
    <row r="67" spans="1:13" ht="280.5">
      <c r="A67" s="25" t="s">
        <v>1417</v>
      </c>
      <c r="B67" s="26" t="s">
        <v>2781</v>
      </c>
      <c r="C67" s="26" t="s">
        <v>1418</v>
      </c>
      <c r="D67" s="113" t="s">
        <v>2782</v>
      </c>
      <c r="E67" s="26" t="s">
        <v>2803</v>
      </c>
      <c r="F67" s="27">
        <v>40215</v>
      </c>
      <c r="G67" s="25" t="s">
        <v>230</v>
      </c>
      <c r="H67" s="25">
        <v>562500309</v>
      </c>
      <c r="I67" s="29">
        <v>74441.52</v>
      </c>
      <c r="J67" s="125" t="s">
        <v>2757</v>
      </c>
      <c r="K67" s="25" t="s">
        <v>2536</v>
      </c>
      <c r="L67" s="27">
        <v>40379</v>
      </c>
      <c r="M67" s="43" t="s">
        <v>506</v>
      </c>
    </row>
    <row r="68" spans="1:13" ht="153">
      <c r="A68" s="25" t="s">
        <v>2260</v>
      </c>
      <c r="B68" s="26" t="s">
        <v>2781</v>
      </c>
      <c r="C68" s="25">
        <v>4600026904</v>
      </c>
      <c r="D68" s="113" t="s">
        <v>2782</v>
      </c>
      <c r="E68" s="25">
        <v>5001657762</v>
      </c>
      <c r="F68" s="27">
        <v>40318</v>
      </c>
      <c r="G68" s="25" t="s">
        <v>695</v>
      </c>
      <c r="H68" s="25">
        <v>562500451</v>
      </c>
      <c r="I68" s="29">
        <v>50712.5</v>
      </c>
      <c r="J68" s="32" t="s">
        <v>58</v>
      </c>
      <c r="K68" s="25" t="s">
        <v>2535</v>
      </c>
      <c r="L68" s="27">
        <v>40379</v>
      </c>
      <c r="M68" s="40" t="s">
        <v>980</v>
      </c>
    </row>
    <row r="69" spans="1:13" ht="178.5">
      <c r="A69" s="25" t="s">
        <v>806</v>
      </c>
      <c r="B69" s="26" t="s">
        <v>2781</v>
      </c>
      <c r="C69" s="26" t="s">
        <v>807</v>
      </c>
      <c r="D69" s="113" t="s">
        <v>2782</v>
      </c>
      <c r="E69" s="26" t="s">
        <v>808</v>
      </c>
      <c r="F69" s="27">
        <v>40373</v>
      </c>
      <c r="G69" s="25" t="s">
        <v>2013</v>
      </c>
      <c r="H69" s="25">
        <v>556394763</v>
      </c>
      <c r="I69" s="29">
        <v>147608.29999999999</v>
      </c>
      <c r="J69" s="32" t="s">
        <v>1438</v>
      </c>
      <c r="K69" s="25" t="s">
        <v>1052</v>
      </c>
      <c r="L69" s="27">
        <v>40443</v>
      </c>
      <c r="M69" s="41" t="s">
        <v>1080</v>
      </c>
    </row>
    <row r="64614" spans="4:4">
      <c r="D64614" s="38"/>
    </row>
  </sheetData>
  <autoFilter ref="A2:M14"/>
  <customSheetViews>
    <customSheetView guid="{3DC6DB2D-2732-413F-B168-80FED6A56EC0}" showPageBreaks="1" showAutoFilter="1" state="hidden">
      <pane xSplit="1" ySplit="2" topLeftCell="E67" activePane="bottomRight" state="frozen"/>
      <selection pane="bottomRight" activeCell="E67" sqref="E67"/>
      <pageMargins left="0.78740157499999996" right="0.78740157499999996" top="0.984251969" bottom="0.984251969" header="0.5" footer="0.5"/>
      <pageSetup paperSize="9" orientation="portrait" r:id="rId1"/>
      <headerFooter alignWithMargins="0"/>
      <autoFilter ref="B1:N1"/>
    </customSheetView>
    <customSheetView guid="{B7B7C792-01A7-4AC6-B514-9B8806F4E6E0}" showAutoFilter="1" state="hidden">
      <pane xSplit="1" ySplit="2" topLeftCell="E67" activePane="bottomRight" state="frozen"/>
      <selection pane="bottomRight" activeCell="E67" sqref="E67"/>
      <pageMargins left="0.78740157499999996" right="0.78740157499999996" top="0.984251969" bottom="0.984251969" header="0.5" footer="0.5"/>
      <pageSetup paperSize="9" orientation="portrait" r:id="rId2"/>
      <headerFooter alignWithMargins="0"/>
      <autoFilter ref="B1:N1"/>
    </customSheetView>
    <customSheetView guid="{269F1B10-4E07-42BC-BAEF-00343A929B24}" showAutoFilter="1" state="hidden">
      <pane xSplit="1" ySplit="2" topLeftCell="E67" activePane="bottomRight" state="frozen"/>
      <selection pane="bottomRight" activeCell="E67" sqref="E67"/>
      <pageMargins left="0.78740157499999996" right="0.78740157499999996" top="0.984251969" bottom="0.984251969" header="0.5" footer="0.5"/>
      <pageSetup paperSize="9" orientation="portrait" r:id="rId3"/>
      <headerFooter alignWithMargins="0"/>
      <autoFilter ref="B1:N1"/>
    </customSheetView>
    <customSheetView guid="{2480A4FF-65AB-41EC-9340-4163653E8C2C}" showAutoFilter="1" state="hidden">
      <pane xSplit="1" ySplit="2" topLeftCell="E67" activePane="bottomRight" state="frozen"/>
      <selection pane="bottomRight" activeCell="E67" sqref="E67"/>
      <pageMargins left="0.78740157499999996" right="0.78740157499999996" top="0.984251969" bottom="0.984251969" header="0.5" footer="0.5"/>
      <pageSetup paperSize="9" orientation="portrait" r:id="rId4"/>
      <headerFooter alignWithMargins="0"/>
      <autoFilter ref="B1:N1"/>
    </customSheetView>
    <customSheetView guid="{316BA082-4614-439F-9CB4-340D61BDC344}" showAutoFilter="1" state="hidden">
      <pane xSplit="1" ySplit="2" topLeftCell="E62" activePane="bottomRight" state="frozen"/>
      <selection pane="bottomRight" activeCell="I64" sqref="I64"/>
      <pageMargins left="0.78740157499999996" right="0.78740157499999996" top="0.984251969" bottom="0.984251969" header="0.5" footer="0.5"/>
      <pageSetup paperSize="9" orientation="portrait" r:id="rId5"/>
      <headerFooter alignWithMargins="0"/>
      <autoFilter ref="B1:N1"/>
    </customSheetView>
    <customSheetView guid="{8FE2D47B-0E59-4D19-A2DA-A420176425F0}" showAutoFilter="1" showRuler="0">
      <pane xSplit="1" ySplit="2" topLeftCell="E67" activePane="bottomRight" state="frozen"/>
      <selection pane="bottomRight" activeCell="E67" sqref="E67"/>
      <pageMargins left="0.78740157499999996" right="0.78740157499999996" top="0.984251969" bottom="0.984251969" header="0.5" footer="0.5"/>
      <pageSetup paperSize="9" orientation="portrait" r:id="rId6"/>
      <headerFooter alignWithMargins="0"/>
      <autoFilter ref="B1:N1"/>
    </customSheetView>
    <customSheetView guid="{471B9EAC-32FD-4AB4-B189-11C2ED8F5F72}" showAutoFilter="1">
      <pane xSplit="1" ySplit="2" topLeftCell="B66" activePane="bottomRight" state="frozen"/>
      <selection pane="bottomRight" activeCell="G67" sqref="G67"/>
      <pageMargins left="0.78740157499999996" right="0.78740157499999996" top="0.984251969" bottom="0.984251969" header="0.5" footer="0.5"/>
      <pageSetup paperSize="9" orientation="portrait" r:id="rId7"/>
      <headerFooter alignWithMargins="0"/>
      <autoFilter ref="B1:N1"/>
    </customSheetView>
    <customSheetView guid="{737B1B74-A15D-4372-A92B-22C1B1EB3690}" showAutoFilter="1">
      <pane xSplit="1" ySplit="2" topLeftCell="B66" activePane="bottomRight" state="frozen"/>
      <selection pane="bottomRight" activeCell="G67" sqref="G67"/>
      <pageMargins left="0.78740157499999996" right="0.78740157499999996" top="0.984251969" bottom="0.984251969" header="0.5" footer="0.5"/>
      <pageSetup paperSize="9" orientation="portrait" r:id="rId8"/>
      <headerFooter alignWithMargins="0"/>
      <autoFilter ref="B1:N1"/>
    </customSheetView>
    <customSheetView guid="{91008F47-B234-416A-9BC2-294844B4E685}" showAutoFilter="1" showRuler="0">
      <pane xSplit="1" ySplit="2" topLeftCell="B66" activePane="bottomRight" state="frozen"/>
      <selection pane="bottomRight" activeCell="G67" sqref="G67"/>
      <pageMargins left="0.78740157499999996" right="0.78740157499999996" top="0.984251969" bottom="0.984251969" header="0.5" footer="0.5"/>
      <pageSetup paperSize="9" orientation="portrait" r:id="rId9"/>
      <headerFooter alignWithMargins="0"/>
      <autoFilter ref="B1:N1"/>
    </customSheetView>
    <customSheetView guid="{38CDF8B5-0F48-433A-A36F-EAD87AD19578}" showPageBreaks="1" showAutoFilter="1" state="hidden">
      <pane xSplit="1" ySplit="2" topLeftCell="E67" activePane="bottomRight" state="frozen"/>
      <selection pane="bottomRight" activeCell="E67" sqref="E67"/>
      <pageMargins left="0.78740157499999996" right="0.78740157499999996" top="0.984251969" bottom="0.984251969" header="0.5" footer="0.5"/>
      <pageSetup paperSize="9" orientation="portrait" r:id="rId10"/>
      <headerFooter alignWithMargins="0"/>
      <autoFilter ref="B1:N1"/>
    </customSheetView>
    <customSheetView guid="{DEAD857C-E742-4582-892F-EFCA94380712}" showPageBreaks="1" showAutoFilter="1" state="hidden">
      <pane xSplit="1" ySplit="2" topLeftCell="E67" activePane="bottomRight" state="frozen"/>
      <selection pane="bottomRight" activeCell="E67" sqref="E67"/>
      <pageMargins left="0.78740157499999996" right="0.78740157499999996" top="0.984251969" bottom="0.984251969" header="0.5" footer="0.5"/>
      <pageSetup paperSize="9" orientation="portrait" r:id="rId11"/>
      <headerFooter alignWithMargins="0"/>
      <autoFilter ref="B1:N1"/>
    </customSheetView>
  </customSheetViews>
  <phoneticPr fontId="3" type="noConversion"/>
  <pageMargins left="0.78740157499999996" right="0.78740157499999996" top="0.984251969" bottom="0.984251969" header="0.5" footer="0.5"/>
  <pageSetup paperSize="9" orientation="portrait" r:id="rId12"/>
  <headerFooter alignWithMargins="0"/>
</worksheet>
</file>

<file path=xl/worksheets/sheet4.xml><?xml version="1.0" encoding="utf-8"?>
<worksheet xmlns="http://schemas.openxmlformats.org/spreadsheetml/2006/main" xmlns:r="http://schemas.openxmlformats.org/officeDocument/2006/relationships">
  <sheetPr>
    <tabColor rgb="FFFFFF00"/>
    <pageSetUpPr fitToPage="1"/>
  </sheetPr>
  <dimension ref="A1:AD493"/>
  <sheetViews>
    <sheetView showGridLines="0" tabSelected="1" zoomScaleNormal="100" workbookViewId="0">
      <pane xSplit="1" ySplit="1" topLeftCell="B2" activePane="bottomRight" state="frozen"/>
      <selection pane="topRight" activeCell="B1" sqref="B1"/>
      <selection pane="bottomLeft" activeCell="A2" sqref="A2"/>
      <selection pane="bottomRight"/>
    </sheetView>
  </sheetViews>
  <sheetFormatPr defaultColWidth="19.28515625" defaultRowHeight="11.25"/>
  <cols>
    <col min="1" max="1" width="16.140625" style="690" bestFit="1" customWidth="1"/>
    <col min="2" max="2" width="13.7109375" style="690" bestFit="1" customWidth="1"/>
    <col min="3" max="3" width="18.85546875" style="691" bestFit="1" customWidth="1"/>
    <col min="4" max="4" width="18" style="691" bestFit="1" customWidth="1"/>
    <col min="5" max="5" width="11.7109375" style="692" bestFit="1" customWidth="1"/>
    <col min="6" max="6" width="10.140625" style="692" bestFit="1" customWidth="1"/>
    <col min="7" max="7" width="15.7109375" style="692" bestFit="1" customWidth="1"/>
    <col min="8" max="8" width="22" style="692" bestFit="1" customWidth="1"/>
    <col min="9" max="9" width="10.140625" style="692" customWidth="1"/>
    <col min="10" max="10" width="12" style="693" customWidth="1"/>
    <col min="11" max="11" width="18.5703125" style="692" customWidth="1"/>
    <col min="12" max="12" width="21.42578125" style="694" customWidth="1"/>
    <col min="13" max="13" width="15.5703125" style="695" customWidth="1"/>
    <col min="14" max="14" width="57.7109375" style="696" customWidth="1"/>
    <col min="15" max="16" width="11.5703125" style="692" customWidth="1"/>
    <col min="17" max="17" width="14.7109375" style="691" customWidth="1"/>
    <col min="18" max="18" width="16.28515625" style="691" customWidth="1"/>
    <col min="19" max="19" width="12.140625" style="692" customWidth="1"/>
    <col min="20" max="20" width="13.140625" style="692" customWidth="1"/>
    <col min="21" max="21" width="14.7109375" style="692" customWidth="1"/>
    <col min="22" max="22" width="12.140625" style="692" customWidth="1"/>
    <col min="23" max="23" width="16" style="697" bestFit="1" customWidth="1"/>
    <col min="24" max="24" width="13.42578125" style="697" bestFit="1" customWidth="1"/>
    <col min="25" max="25" width="10.5703125" style="692" bestFit="1" customWidth="1"/>
    <col min="26" max="26" width="13.28515625" style="692" bestFit="1" customWidth="1"/>
    <col min="27" max="27" width="6.42578125" style="692" bestFit="1" customWidth="1"/>
    <col min="28" max="28" width="10.140625" style="698" bestFit="1" customWidth="1"/>
    <col min="29" max="29" width="9.28515625" style="692" bestFit="1" customWidth="1"/>
    <col min="30" max="16384" width="19.28515625" style="692"/>
  </cols>
  <sheetData>
    <row r="1" spans="1:30" s="675" customFormat="1" ht="23.1" customHeight="1">
      <c r="A1" s="666" t="s">
        <v>6429</v>
      </c>
      <c r="B1" s="666" t="s">
        <v>6363</v>
      </c>
      <c r="C1" s="666" t="s">
        <v>6430</v>
      </c>
      <c r="D1" s="666" t="s">
        <v>3162</v>
      </c>
      <c r="E1" s="667" t="s">
        <v>6364</v>
      </c>
      <c r="F1" s="667" t="s">
        <v>1470</v>
      </c>
      <c r="G1" s="667" t="s">
        <v>6365</v>
      </c>
      <c r="H1" s="667" t="s">
        <v>6366</v>
      </c>
      <c r="I1" s="667" t="s">
        <v>1471</v>
      </c>
      <c r="J1" s="667" t="s">
        <v>59</v>
      </c>
      <c r="K1" s="667" t="s">
        <v>423</v>
      </c>
      <c r="L1" s="668" t="s">
        <v>6367</v>
      </c>
      <c r="M1" s="667" t="s">
        <v>6431</v>
      </c>
      <c r="N1" s="667" t="s">
        <v>1205</v>
      </c>
      <c r="O1" s="669" t="s">
        <v>3114</v>
      </c>
      <c r="P1" s="669" t="s">
        <v>3115</v>
      </c>
      <c r="Q1" s="670" t="s">
        <v>6435</v>
      </c>
      <c r="R1" s="670" t="s">
        <v>4707</v>
      </c>
      <c r="S1" s="671" t="s">
        <v>3116</v>
      </c>
      <c r="T1" s="671" t="s">
        <v>3117</v>
      </c>
      <c r="U1" s="671" t="s">
        <v>3118</v>
      </c>
      <c r="V1" s="671" t="s">
        <v>3119</v>
      </c>
      <c r="W1" s="672" t="s">
        <v>6432</v>
      </c>
      <c r="X1" s="671" t="s">
        <v>3121</v>
      </c>
      <c r="Y1" s="667" t="s">
        <v>6433</v>
      </c>
      <c r="Z1" s="668" t="s">
        <v>3028</v>
      </c>
      <c r="AA1" s="667" t="s">
        <v>6434</v>
      </c>
      <c r="AB1" s="673" t="s">
        <v>6368</v>
      </c>
      <c r="AC1" s="674" t="s">
        <v>3039</v>
      </c>
    </row>
    <row r="2" spans="1:30" s="687" customFormat="1" ht="135">
      <c r="A2" s="676" t="s">
        <v>6357</v>
      </c>
      <c r="B2" s="677" t="str">
        <f t="shared" ref="B2:B4" si="0">"00"&amp;RIGHT(A2,8)</f>
        <v>0040925I23</v>
      </c>
      <c r="C2" s="678" t="s">
        <v>3752</v>
      </c>
      <c r="D2" s="678" t="s">
        <v>6323</v>
      </c>
      <c r="E2" s="678" t="s">
        <v>3042</v>
      </c>
      <c r="F2" s="678" t="s">
        <v>3774</v>
      </c>
      <c r="G2" s="679" t="s">
        <v>6378</v>
      </c>
      <c r="H2" s="679" t="s">
        <v>6376</v>
      </c>
      <c r="I2" s="680">
        <v>4800018690</v>
      </c>
      <c r="J2" s="681">
        <v>149300856008</v>
      </c>
      <c r="K2" s="678" t="s">
        <v>6380</v>
      </c>
      <c r="L2" s="665">
        <v>45037</v>
      </c>
      <c r="M2" s="665">
        <v>45042</v>
      </c>
      <c r="N2" s="688" t="s">
        <v>6477</v>
      </c>
      <c r="O2" s="722" t="s">
        <v>1771</v>
      </c>
      <c r="P2" s="722">
        <v>1</v>
      </c>
      <c r="Q2" s="678">
        <f>2+1+1+1+1+1+1+2</f>
        <v>10</v>
      </c>
      <c r="R2" s="678">
        <f>9.86+0.98+7.11+37.2+2.97+4.96+27.2+24.56</f>
        <v>114.84</v>
      </c>
      <c r="S2" s="661">
        <f>10391.8</f>
        <v>10391.799999999999</v>
      </c>
      <c r="T2" s="661">
        <f>42194</f>
        <v>42194</v>
      </c>
      <c r="U2" s="661">
        <v>1</v>
      </c>
      <c r="V2" s="662">
        <f t="shared" ref="V2:V58" si="1">SUM(S2:U2)</f>
        <v>52586.8</v>
      </c>
      <c r="W2" s="663"/>
      <c r="X2" s="664">
        <f t="shared" ref="X2:X59" si="2">V2*W2</f>
        <v>0</v>
      </c>
      <c r="Y2" s="683"/>
      <c r="Z2" s="665"/>
      <c r="AA2" s="684"/>
      <c r="AB2" s="685"/>
      <c r="AC2" s="665">
        <v>45034</v>
      </c>
      <c r="AD2" s="686"/>
    </row>
    <row r="3" spans="1:30" s="687" customFormat="1" ht="180">
      <c r="A3" s="676" t="s">
        <v>6362</v>
      </c>
      <c r="B3" s="677" t="str">
        <f t="shared" si="0"/>
        <v>0040926I23</v>
      </c>
      <c r="C3" s="678" t="s">
        <v>3752</v>
      </c>
      <c r="D3" s="678" t="s">
        <v>6323</v>
      </c>
      <c r="E3" s="678" t="s">
        <v>3042</v>
      </c>
      <c r="F3" s="678" t="s">
        <v>3774</v>
      </c>
      <c r="G3" s="679" t="s">
        <v>6379</v>
      </c>
      <c r="H3" s="679" t="s">
        <v>6377</v>
      </c>
      <c r="I3" s="680" t="s">
        <v>6386</v>
      </c>
      <c r="J3" s="681">
        <v>149301240434</v>
      </c>
      <c r="K3" s="678" t="s">
        <v>6380</v>
      </c>
      <c r="L3" s="665">
        <v>45037</v>
      </c>
      <c r="M3" s="665">
        <v>45042</v>
      </c>
      <c r="N3" s="688" t="s">
        <v>6478</v>
      </c>
      <c r="O3" s="723"/>
      <c r="P3" s="723"/>
      <c r="Q3" s="678">
        <f>6+8+3+2+5+1+4+1+2+1+1+1+1+2+16+15</f>
        <v>69</v>
      </c>
      <c r="R3" s="678">
        <f>690+734.96+263.5+186+440+59.5+400.58+0.94+43+38.5+2.02+5.04+161+280.5+2829.5+2035.5</f>
        <v>8170.54</v>
      </c>
      <c r="S3" s="661">
        <f>138116.93</f>
        <v>138116.93</v>
      </c>
      <c r="T3" s="661">
        <f>2630.06</f>
        <v>2630.06</v>
      </c>
      <c r="U3" s="661">
        <v>1</v>
      </c>
      <c r="V3" s="662">
        <f t="shared" si="1"/>
        <v>140747.99</v>
      </c>
      <c r="W3" s="663"/>
      <c r="X3" s="664">
        <f t="shared" si="2"/>
        <v>0</v>
      </c>
      <c r="Y3" s="683"/>
      <c r="Z3" s="665"/>
      <c r="AA3" s="684"/>
      <c r="AB3" s="685"/>
      <c r="AC3" s="665">
        <v>45034</v>
      </c>
      <c r="AD3" s="686"/>
    </row>
    <row r="4" spans="1:30" s="687" customFormat="1" ht="101.25">
      <c r="A4" s="677" t="s">
        <v>6387</v>
      </c>
      <c r="B4" s="677" t="str">
        <f t="shared" si="0"/>
        <v>0041243I23</v>
      </c>
      <c r="C4" s="678" t="s">
        <v>3752</v>
      </c>
      <c r="D4" s="678" t="s">
        <v>6323</v>
      </c>
      <c r="E4" s="678" t="s">
        <v>3042</v>
      </c>
      <c r="F4" s="678" t="s">
        <v>3774</v>
      </c>
      <c r="G4" s="679" t="s">
        <v>6392</v>
      </c>
      <c r="H4" s="679" t="s">
        <v>6390</v>
      </c>
      <c r="I4" s="680" t="s">
        <v>6399</v>
      </c>
      <c r="J4" s="681">
        <v>226177694</v>
      </c>
      <c r="K4" s="678" t="s">
        <v>6394</v>
      </c>
      <c r="L4" s="665">
        <v>45046</v>
      </c>
      <c r="M4" s="665">
        <v>45050</v>
      </c>
      <c r="N4" s="688" t="s">
        <v>6445</v>
      </c>
      <c r="O4" s="720" t="s">
        <v>1771</v>
      </c>
      <c r="P4" s="720">
        <v>1</v>
      </c>
      <c r="Q4" s="678">
        <f>1+1+15+10+15+1+1</f>
        <v>44</v>
      </c>
      <c r="R4" s="678">
        <f>78+8.54+1864+850.2+2003.5+6.35+4.2</f>
        <v>4814.79</v>
      </c>
      <c r="S4" s="661">
        <f>56191.86</f>
        <v>56191.86</v>
      </c>
      <c r="T4" s="661">
        <f>1752.28</f>
        <v>1752.28</v>
      </c>
      <c r="U4" s="661">
        <v>1</v>
      </c>
      <c r="V4" s="662">
        <f t="shared" si="1"/>
        <v>57945.14</v>
      </c>
      <c r="W4" s="663"/>
      <c r="X4" s="664">
        <f t="shared" si="2"/>
        <v>0</v>
      </c>
      <c r="Y4" s="683"/>
      <c r="Z4" s="665"/>
      <c r="AA4" s="684"/>
      <c r="AB4" s="685"/>
      <c r="AC4" s="665">
        <v>45044</v>
      </c>
      <c r="AD4" s="686"/>
    </row>
    <row r="5" spans="1:30" s="687" customFormat="1" ht="123.75">
      <c r="A5" s="676" t="s">
        <v>6388</v>
      </c>
      <c r="B5" s="677" t="str">
        <f t="shared" ref="B5:B9" si="3">"00"&amp;RIGHT(A5,8)</f>
        <v>0041244I23</v>
      </c>
      <c r="C5" s="678" t="s">
        <v>3752</v>
      </c>
      <c r="D5" s="678" t="s">
        <v>6323</v>
      </c>
      <c r="E5" s="678" t="s">
        <v>3042</v>
      </c>
      <c r="F5" s="678" t="s">
        <v>3774</v>
      </c>
      <c r="G5" s="679" t="s">
        <v>6393</v>
      </c>
      <c r="H5" s="679" t="s">
        <v>6391</v>
      </c>
      <c r="I5" s="680" t="s">
        <v>6400</v>
      </c>
      <c r="J5" s="681">
        <v>225608583</v>
      </c>
      <c r="K5" s="678" t="s">
        <v>6394</v>
      </c>
      <c r="L5" s="665">
        <v>45046</v>
      </c>
      <c r="M5" s="665">
        <v>45050</v>
      </c>
      <c r="N5" s="688" t="s">
        <v>6444</v>
      </c>
      <c r="O5" s="721"/>
      <c r="P5" s="721"/>
      <c r="Q5" s="678">
        <f>4+4+4+1+1+1+1+1+1+1+1</f>
        <v>20</v>
      </c>
      <c r="R5" s="678">
        <f>87.88+86.8+86.41+61.8+61.6+61.8+61+61.8+62+61.8+11.79</f>
        <v>704.68</v>
      </c>
      <c r="S5" s="661">
        <f>39089.92</f>
        <v>39089.919999999998</v>
      </c>
      <c r="T5" s="661">
        <f>1042.72</f>
        <v>1042.72</v>
      </c>
      <c r="U5" s="661">
        <v>1</v>
      </c>
      <c r="V5" s="662">
        <f t="shared" si="1"/>
        <v>40133.64</v>
      </c>
      <c r="W5" s="663"/>
      <c r="X5" s="664">
        <f t="shared" si="2"/>
        <v>0</v>
      </c>
      <c r="Y5" s="683"/>
      <c r="Z5" s="665"/>
      <c r="AA5" s="684"/>
      <c r="AB5" s="685"/>
      <c r="AC5" s="665">
        <v>45044</v>
      </c>
      <c r="AD5" s="686"/>
    </row>
    <row r="6" spans="1:30" s="687" customFormat="1" ht="191.25">
      <c r="A6" s="677" t="s">
        <v>6375</v>
      </c>
      <c r="B6" s="677" t="str">
        <f t="shared" si="3"/>
        <v>0041110I23</v>
      </c>
      <c r="C6" s="678" t="s">
        <v>3752</v>
      </c>
      <c r="D6" s="678" t="s">
        <v>6323</v>
      </c>
      <c r="E6" s="678" t="s">
        <v>3042</v>
      </c>
      <c r="F6" s="678" t="s">
        <v>3774</v>
      </c>
      <c r="G6" s="679" t="s">
        <v>6396</v>
      </c>
      <c r="H6" s="679" t="s">
        <v>6395</v>
      </c>
      <c r="I6" s="680" t="s">
        <v>6401</v>
      </c>
      <c r="J6" s="681">
        <v>149301496463</v>
      </c>
      <c r="K6" s="678" t="s">
        <v>6402</v>
      </c>
      <c r="L6" s="665">
        <v>45052</v>
      </c>
      <c r="M6" s="665">
        <v>45056</v>
      </c>
      <c r="N6" s="688" t="s">
        <v>6443</v>
      </c>
      <c r="O6" s="720">
        <v>1</v>
      </c>
      <c r="P6" s="685">
        <v>1</v>
      </c>
      <c r="Q6" s="678">
        <f>3+1+1+2+1+2+1+2+4+1+15+3+15+15+3+1+1</f>
        <v>71</v>
      </c>
      <c r="R6" s="678">
        <f>199+136.5+1.16+137+6.06+180+17.8+136.5+271.12+6.09+1906.5+308+2045.5+2035+333.5+3.54+1.78</f>
        <v>7725.0499999999993</v>
      </c>
      <c r="S6" s="661">
        <v>92352.320000000007</v>
      </c>
      <c r="T6" s="661">
        <v>5208.95</v>
      </c>
      <c r="U6" s="661">
        <v>1</v>
      </c>
      <c r="V6" s="662">
        <f t="shared" si="1"/>
        <v>97562.27</v>
      </c>
      <c r="W6" s="663"/>
      <c r="X6" s="664">
        <f t="shared" si="2"/>
        <v>0</v>
      </c>
      <c r="Y6" s="683"/>
      <c r="Z6" s="665"/>
      <c r="AA6" s="684"/>
      <c r="AB6" s="685"/>
      <c r="AC6" s="665"/>
      <c r="AD6" s="686"/>
    </row>
    <row r="7" spans="1:30" s="687" customFormat="1" ht="90">
      <c r="A7" s="676" t="s">
        <v>6389</v>
      </c>
      <c r="B7" s="677" t="str">
        <f t="shared" si="3"/>
        <v>0041245I23</v>
      </c>
      <c r="C7" s="678" t="s">
        <v>3752</v>
      </c>
      <c r="D7" s="678" t="s">
        <v>6323</v>
      </c>
      <c r="E7" s="678" t="s">
        <v>3042</v>
      </c>
      <c r="F7" s="678" t="s">
        <v>3774</v>
      </c>
      <c r="G7" s="679" t="s">
        <v>6398</v>
      </c>
      <c r="H7" s="679" t="s">
        <v>6397</v>
      </c>
      <c r="I7" s="680">
        <v>4800018690</v>
      </c>
      <c r="J7" s="681">
        <v>149301144192</v>
      </c>
      <c r="K7" s="678" t="s">
        <v>6402</v>
      </c>
      <c r="L7" s="665">
        <v>45052</v>
      </c>
      <c r="M7" s="665">
        <v>45056</v>
      </c>
      <c r="N7" s="688" t="s">
        <v>6442</v>
      </c>
      <c r="O7" s="721"/>
      <c r="P7" s="689" t="s">
        <v>1771</v>
      </c>
      <c r="Q7" s="678">
        <f>1+2+2</f>
        <v>5</v>
      </c>
      <c r="R7" s="678">
        <f>25.7+14.51+6.84</f>
        <v>47.05</v>
      </c>
      <c r="S7" s="661">
        <f>75247.13</f>
        <v>75247.13</v>
      </c>
      <c r="T7" s="661">
        <f>28.05</f>
        <v>28.05</v>
      </c>
      <c r="U7" s="661">
        <v>1</v>
      </c>
      <c r="V7" s="662">
        <f t="shared" si="1"/>
        <v>75276.180000000008</v>
      </c>
      <c r="W7" s="663"/>
      <c r="X7" s="664">
        <f t="shared" si="2"/>
        <v>0</v>
      </c>
      <c r="Y7" s="683"/>
      <c r="Z7" s="665"/>
      <c r="AA7" s="684"/>
      <c r="AB7" s="685"/>
      <c r="AC7" s="665"/>
      <c r="AD7" s="686"/>
    </row>
    <row r="8" spans="1:30" s="687" customFormat="1" ht="281.25">
      <c r="A8" s="677" t="s">
        <v>6498</v>
      </c>
      <c r="B8" s="677" t="str">
        <f t="shared" si="3"/>
        <v>0041335I23</v>
      </c>
      <c r="C8" s="678" t="s">
        <v>3752</v>
      </c>
      <c r="D8" s="678" t="s">
        <v>6323</v>
      </c>
      <c r="E8" s="678" t="s">
        <v>3042</v>
      </c>
      <c r="F8" s="678" t="s">
        <v>3774</v>
      </c>
      <c r="G8" s="679" t="s">
        <v>6411</v>
      </c>
      <c r="H8" s="679" t="s">
        <v>6412</v>
      </c>
      <c r="I8" s="680" t="s">
        <v>6413</v>
      </c>
      <c r="J8" s="681">
        <v>149301603782</v>
      </c>
      <c r="K8" s="678" t="s">
        <v>6402</v>
      </c>
      <c r="L8" s="665">
        <v>45052</v>
      </c>
      <c r="M8" s="665">
        <v>45056</v>
      </c>
      <c r="N8" s="688" t="s">
        <v>6441</v>
      </c>
      <c r="O8" s="720" t="s">
        <v>1771</v>
      </c>
      <c r="P8" s="720">
        <v>2</v>
      </c>
      <c r="Q8" s="678">
        <f>2+1+1+1+2+1+2+2+1+2+1+5+1+1+1+2+1+8+8+8+12+8+8+1+1</f>
        <v>81</v>
      </c>
      <c r="R8" s="678">
        <f>117.18+40.5+47.5+64.5+138+0.94+130.5+136+6.78+135.5+6.1+236.5+6.12+69.5+1.32+136+28.98+1104.5+1112+1080+822.5+1081+1075+0.38+120.5</f>
        <v>7697.8</v>
      </c>
      <c r="S8" s="661">
        <f>60158.8</f>
        <v>60158.8</v>
      </c>
      <c r="T8" s="661">
        <f>4736.14</f>
        <v>4736.1400000000003</v>
      </c>
      <c r="U8" s="661">
        <v>1</v>
      </c>
      <c r="V8" s="662">
        <f t="shared" si="1"/>
        <v>64895.94</v>
      </c>
      <c r="W8" s="663"/>
      <c r="X8" s="664">
        <f t="shared" si="2"/>
        <v>0</v>
      </c>
      <c r="Y8" s="683"/>
      <c r="Z8" s="665"/>
      <c r="AA8" s="684"/>
      <c r="AB8" s="685"/>
      <c r="AC8" s="665"/>
      <c r="AD8" s="686"/>
    </row>
    <row r="9" spans="1:30" s="687" customFormat="1" ht="101.25">
      <c r="A9" s="676" t="s">
        <v>6417</v>
      </c>
      <c r="B9" s="677" t="str">
        <f t="shared" si="3"/>
        <v>0041336I23</v>
      </c>
      <c r="C9" s="678" t="s">
        <v>3752</v>
      </c>
      <c r="D9" s="678" t="s">
        <v>6323</v>
      </c>
      <c r="E9" s="678" t="s">
        <v>3042</v>
      </c>
      <c r="F9" s="678" t="s">
        <v>3774</v>
      </c>
      <c r="G9" s="679" t="s">
        <v>6416</v>
      </c>
      <c r="H9" s="679" t="s">
        <v>6414</v>
      </c>
      <c r="I9" s="680" t="s">
        <v>6415</v>
      </c>
      <c r="J9" s="681">
        <v>149301603758</v>
      </c>
      <c r="K9" s="678" t="s">
        <v>6402</v>
      </c>
      <c r="L9" s="665">
        <v>45052</v>
      </c>
      <c r="M9" s="665">
        <v>45056</v>
      </c>
      <c r="N9" s="688" t="s">
        <v>6440</v>
      </c>
      <c r="O9" s="721"/>
      <c r="P9" s="721"/>
      <c r="Q9" s="678">
        <f>16+16</f>
        <v>32</v>
      </c>
      <c r="R9" s="678">
        <f>636+625.4</f>
        <v>1261.4000000000001</v>
      </c>
      <c r="S9" s="661">
        <f>215173.43</f>
        <v>215173.43</v>
      </c>
      <c r="T9" s="661">
        <f>609.86</f>
        <v>609.86</v>
      </c>
      <c r="U9" s="661"/>
      <c r="V9" s="662">
        <f t="shared" si="1"/>
        <v>215783.28999999998</v>
      </c>
      <c r="W9" s="663"/>
      <c r="X9" s="664">
        <f t="shared" si="2"/>
        <v>0</v>
      </c>
      <c r="Y9" s="683"/>
      <c r="Z9" s="665"/>
      <c r="AA9" s="684"/>
      <c r="AB9" s="685"/>
      <c r="AC9" s="665"/>
      <c r="AD9" s="686"/>
    </row>
    <row r="10" spans="1:30" s="687" customFormat="1" ht="247.5">
      <c r="A10" s="677" t="s">
        <v>6499</v>
      </c>
      <c r="B10" s="677" t="str">
        <f t="shared" ref="B10" si="4">"00"&amp;RIGHT(A10,8)</f>
        <v>0041489I23</v>
      </c>
      <c r="C10" s="678" t="s">
        <v>3752</v>
      </c>
      <c r="D10" s="678" t="s">
        <v>6323</v>
      </c>
      <c r="E10" s="678" t="s">
        <v>3042</v>
      </c>
      <c r="F10" s="678" t="s">
        <v>3774</v>
      </c>
      <c r="G10" s="679" t="s">
        <v>6437</v>
      </c>
      <c r="H10" s="679" t="s">
        <v>6436</v>
      </c>
      <c r="I10" s="680" t="s">
        <v>6438</v>
      </c>
      <c r="J10" s="681">
        <v>149301144125</v>
      </c>
      <c r="K10" s="678" t="s">
        <v>6439</v>
      </c>
      <c r="L10" s="665">
        <v>45057</v>
      </c>
      <c r="M10" s="665">
        <v>45062</v>
      </c>
      <c r="N10" s="688" t="s">
        <v>6497</v>
      </c>
      <c r="O10" s="685" t="s">
        <v>1771</v>
      </c>
      <c r="P10" s="685">
        <v>1</v>
      </c>
      <c r="Q10" s="678">
        <f>1+2+3+1+1+1+1+1+1+1+5+1+22+8+1+16+9+1+2+1+1+1</f>
        <v>81</v>
      </c>
      <c r="R10" s="678">
        <f>72+118.5+147.48+63+2.22+0.52+69+34.5+3.76+3.24+1093.5+9.36+3302.52+1094.5+7.26+1786.5+1209.5+128.5+21.84+0.28+0.26+0.28</f>
        <v>9168.5200000000023</v>
      </c>
      <c r="S10" s="661">
        <f>145694.86</f>
        <v>145694.85999999999</v>
      </c>
      <c r="T10" s="661">
        <f>2445</f>
        <v>2445</v>
      </c>
      <c r="U10" s="661">
        <v>1</v>
      </c>
      <c r="V10" s="662">
        <f t="shared" si="1"/>
        <v>148140.85999999999</v>
      </c>
      <c r="W10" s="663"/>
      <c r="X10" s="664">
        <f t="shared" si="2"/>
        <v>0</v>
      </c>
      <c r="Y10" s="683"/>
      <c r="Z10" s="665"/>
      <c r="AA10" s="684"/>
      <c r="AB10" s="685"/>
      <c r="AC10" s="665"/>
      <c r="AD10" s="686"/>
    </row>
    <row r="11" spans="1:30" s="687" customFormat="1" ht="78.75">
      <c r="A11" s="677" t="s">
        <v>6446</v>
      </c>
      <c r="B11" s="677" t="str">
        <f t="shared" ref="B11:B12" si="5">"00"&amp;RIGHT(A11,8)</f>
        <v>0041617I23</v>
      </c>
      <c r="C11" s="678" t="s">
        <v>3752</v>
      </c>
      <c r="D11" s="678" t="s">
        <v>6323</v>
      </c>
      <c r="E11" s="678" t="s">
        <v>3042</v>
      </c>
      <c r="F11" s="678" t="s">
        <v>3774</v>
      </c>
      <c r="G11" s="679" t="s">
        <v>6449</v>
      </c>
      <c r="H11" s="679" t="s">
        <v>6448</v>
      </c>
      <c r="I11" s="680" t="s">
        <v>6452</v>
      </c>
      <c r="J11" s="681">
        <v>149301862397</v>
      </c>
      <c r="K11" s="678" t="s">
        <v>6474</v>
      </c>
      <c r="L11" s="665">
        <v>45064</v>
      </c>
      <c r="M11" s="665">
        <v>45069</v>
      </c>
      <c r="N11" s="688" t="s">
        <v>6480</v>
      </c>
      <c r="O11" s="720" t="s">
        <v>1771</v>
      </c>
      <c r="P11" s="720">
        <v>1</v>
      </c>
      <c r="Q11" s="678">
        <f>5+14+3+8+2+2+1</f>
        <v>35</v>
      </c>
      <c r="R11" s="678">
        <f>1094+2244.5+390+1108+137.5+137+123.5</f>
        <v>5234.5</v>
      </c>
      <c r="S11" s="661">
        <v>62497.760000000002</v>
      </c>
      <c r="T11" s="661">
        <v>2327.39</v>
      </c>
      <c r="U11" s="661"/>
      <c r="V11" s="662">
        <f t="shared" si="1"/>
        <v>64825.15</v>
      </c>
      <c r="W11" s="663"/>
      <c r="X11" s="664">
        <f t="shared" si="2"/>
        <v>0</v>
      </c>
      <c r="Y11" s="683"/>
      <c r="Z11" s="665"/>
      <c r="AA11" s="684"/>
      <c r="AB11" s="685"/>
      <c r="AC11" s="665"/>
      <c r="AD11" s="686"/>
    </row>
    <row r="12" spans="1:30" s="687" customFormat="1" ht="45">
      <c r="A12" s="676" t="s">
        <v>6447</v>
      </c>
      <c r="B12" s="677" t="str">
        <f t="shared" si="5"/>
        <v>0041618I23</v>
      </c>
      <c r="C12" s="678" t="s">
        <v>3752</v>
      </c>
      <c r="D12" s="678" t="s">
        <v>6323</v>
      </c>
      <c r="E12" s="678" t="s">
        <v>3042</v>
      </c>
      <c r="F12" s="678" t="s">
        <v>3774</v>
      </c>
      <c r="G12" s="679" t="s">
        <v>6451</v>
      </c>
      <c r="H12" s="679" t="s">
        <v>6450</v>
      </c>
      <c r="I12" s="680" t="s">
        <v>6453</v>
      </c>
      <c r="J12" s="681">
        <v>149301487502</v>
      </c>
      <c r="K12" s="678" t="s">
        <v>6474</v>
      </c>
      <c r="L12" s="665">
        <v>45064</v>
      </c>
      <c r="M12" s="665">
        <v>45069</v>
      </c>
      <c r="N12" s="688" t="s">
        <v>6481</v>
      </c>
      <c r="O12" s="721"/>
      <c r="P12" s="721"/>
      <c r="Q12" s="678">
        <f>4+2+2</f>
        <v>8</v>
      </c>
      <c r="R12" s="678">
        <f>386.2+118.2+176.6</f>
        <v>681</v>
      </c>
      <c r="S12" s="661">
        <v>8269.15</v>
      </c>
      <c r="T12" s="661">
        <v>345.61</v>
      </c>
      <c r="U12" s="661"/>
      <c r="V12" s="662">
        <f t="shared" si="1"/>
        <v>8614.76</v>
      </c>
      <c r="W12" s="663"/>
      <c r="X12" s="664">
        <f t="shared" si="2"/>
        <v>0</v>
      </c>
      <c r="Y12" s="683"/>
      <c r="Z12" s="665"/>
      <c r="AA12" s="684"/>
      <c r="AB12" s="685"/>
      <c r="AC12" s="665"/>
      <c r="AD12" s="686"/>
    </row>
    <row r="13" spans="1:30" s="687" customFormat="1" ht="225">
      <c r="A13" s="677" t="s">
        <v>6454</v>
      </c>
      <c r="B13" s="677" t="str">
        <f t="shared" ref="B13:B14" si="6">"00"&amp;RIGHT(A13,8)</f>
        <v>0041619I23</v>
      </c>
      <c r="C13" s="678" t="s">
        <v>3752</v>
      </c>
      <c r="D13" s="678" t="s">
        <v>6323</v>
      </c>
      <c r="E13" s="678" t="s">
        <v>3042</v>
      </c>
      <c r="F13" s="678" t="s">
        <v>3774</v>
      </c>
      <c r="G13" s="679" t="s">
        <v>6458</v>
      </c>
      <c r="H13" s="679" t="s">
        <v>6457</v>
      </c>
      <c r="I13" s="680" t="s">
        <v>6460</v>
      </c>
      <c r="J13" s="681">
        <v>149301862796</v>
      </c>
      <c r="K13" s="678" t="s">
        <v>6474</v>
      </c>
      <c r="L13" s="665">
        <v>45064</v>
      </c>
      <c r="M13" s="665">
        <v>45069</v>
      </c>
      <c r="N13" s="688" t="s">
        <v>6482</v>
      </c>
      <c r="O13" s="720" t="s">
        <v>1771</v>
      </c>
      <c r="P13" s="720">
        <v>3</v>
      </c>
      <c r="Q13" s="678">
        <f>22+3+7+15+15+4+1+5+1+1+1+1+1+1+1+36+3+1+1+1</f>
        <v>121</v>
      </c>
      <c r="R13" s="678">
        <f>1624.5+184.46+488.5+1883+1883+386.46+59+245+92.5+118.5+28.1+24.36+21.54+47.5+4715+168.5+531.5+68.5+11.9+0.88</f>
        <v>12582.699999999999</v>
      </c>
      <c r="S13" s="661">
        <f>158504.04</f>
        <v>158504.04</v>
      </c>
      <c r="T13" s="661">
        <f>7379.11</f>
        <v>7379.11</v>
      </c>
      <c r="U13" s="661">
        <v>1</v>
      </c>
      <c r="V13" s="662">
        <f t="shared" si="1"/>
        <v>165884.15</v>
      </c>
      <c r="W13" s="663"/>
      <c r="X13" s="664">
        <f t="shared" si="2"/>
        <v>0</v>
      </c>
      <c r="Y13" s="683"/>
      <c r="Z13" s="665"/>
      <c r="AA13" s="684"/>
      <c r="AB13" s="685"/>
      <c r="AC13" s="665"/>
      <c r="AD13" s="686"/>
    </row>
    <row r="14" spans="1:30" s="687" customFormat="1" ht="270">
      <c r="A14" s="676" t="s">
        <v>6455</v>
      </c>
      <c r="B14" s="677" t="str">
        <f t="shared" si="6"/>
        <v>0041620I23</v>
      </c>
      <c r="C14" s="678" t="s">
        <v>3752</v>
      </c>
      <c r="D14" s="678" t="s">
        <v>6323</v>
      </c>
      <c r="E14" s="678" t="s">
        <v>3042</v>
      </c>
      <c r="F14" s="678" t="s">
        <v>3774</v>
      </c>
      <c r="G14" s="679" t="s">
        <v>6459</v>
      </c>
      <c r="H14" s="679" t="s">
        <v>6456</v>
      </c>
      <c r="I14" s="680" t="s">
        <v>6461</v>
      </c>
      <c r="J14" s="681">
        <v>149301862664</v>
      </c>
      <c r="K14" s="678" t="s">
        <v>6474</v>
      </c>
      <c r="L14" s="665">
        <v>45064</v>
      </c>
      <c r="M14" s="665">
        <v>45069</v>
      </c>
      <c r="N14" s="688" t="s">
        <v>6483</v>
      </c>
      <c r="O14" s="721"/>
      <c r="P14" s="721"/>
      <c r="Q14" s="678">
        <f>2+1+1+2+1+2+1+1+1+1+1+4+1+1+1+1+2+1+2+4+2+1+1+1</f>
        <v>36</v>
      </c>
      <c r="R14" s="678">
        <f>112.6+3.57+11.83+2.45+49.78+122.2+36.4+3.09+6.42+6.04+57+231.6+19.05+96.2+6.8+9.52+2.91+3.47+122.4+50+71.8+3.73+76.2+13</f>
        <v>1118.06</v>
      </c>
      <c r="S14" s="661">
        <f>244431.56</f>
        <v>244431.56</v>
      </c>
      <c r="T14" s="661">
        <f>375.89</f>
        <v>375.89</v>
      </c>
      <c r="U14" s="661">
        <v>1</v>
      </c>
      <c r="V14" s="662">
        <f t="shared" si="1"/>
        <v>244808.45</v>
      </c>
      <c r="W14" s="663"/>
      <c r="X14" s="664">
        <f t="shared" si="2"/>
        <v>0</v>
      </c>
      <c r="Y14" s="683"/>
      <c r="Z14" s="665"/>
      <c r="AA14" s="684"/>
      <c r="AB14" s="685"/>
      <c r="AC14" s="665"/>
      <c r="AD14" s="686"/>
    </row>
    <row r="15" spans="1:30" s="687" customFormat="1" ht="78.75">
      <c r="A15" s="676" t="s">
        <v>6464</v>
      </c>
      <c r="B15" s="677" t="str">
        <f t="shared" ref="B15:B19" si="7">"00"&amp;RIGHT(A15,8)</f>
        <v>0041664I23</v>
      </c>
      <c r="C15" s="678" t="s">
        <v>3752</v>
      </c>
      <c r="D15" s="678" t="s">
        <v>6323</v>
      </c>
      <c r="E15" s="678" t="s">
        <v>3042</v>
      </c>
      <c r="F15" s="678" t="s">
        <v>3774</v>
      </c>
      <c r="G15" s="679" t="s">
        <v>6468</v>
      </c>
      <c r="H15" s="679" t="s">
        <v>6467</v>
      </c>
      <c r="I15" s="680" t="s">
        <v>6473</v>
      </c>
      <c r="J15" s="681">
        <v>149301863041</v>
      </c>
      <c r="K15" s="678" t="s">
        <v>6474</v>
      </c>
      <c r="L15" s="665">
        <v>45064</v>
      </c>
      <c r="M15" s="665">
        <v>45069</v>
      </c>
      <c r="N15" s="688" t="s">
        <v>6479</v>
      </c>
      <c r="O15" s="720" t="s">
        <v>1771</v>
      </c>
      <c r="P15" s="720">
        <v>1</v>
      </c>
      <c r="Q15" s="678">
        <f>2+1+1+1+1+4+1</f>
        <v>11</v>
      </c>
      <c r="R15" s="678">
        <f>25.19+37.8+18.48+2.2+2.19+86.9+3.58</f>
        <v>176.34</v>
      </c>
      <c r="S15" s="661">
        <f>67924.58</f>
        <v>67924.58</v>
      </c>
      <c r="T15" s="661">
        <f>109110</f>
        <v>109110</v>
      </c>
      <c r="U15" s="661">
        <v>1</v>
      </c>
      <c r="V15" s="662">
        <f t="shared" si="1"/>
        <v>177035.58000000002</v>
      </c>
      <c r="W15" s="663"/>
      <c r="X15" s="664">
        <f t="shared" si="2"/>
        <v>0</v>
      </c>
      <c r="Y15" s="683"/>
      <c r="Z15" s="665"/>
      <c r="AA15" s="684"/>
      <c r="AB15" s="685"/>
      <c r="AC15" s="665"/>
      <c r="AD15" s="686"/>
    </row>
    <row r="16" spans="1:30" s="687" customFormat="1" ht="56.25">
      <c r="A16" s="677" t="s">
        <v>6465</v>
      </c>
      <c r="B16" s="677" t="str">
        <f t="shared" si="7"/>
        <v>0041665I23</v>
      </c>
      <c r="C16" s="678" t="s">
        <v>3752</v>
      </c>
      <c r="D16" s="678" t="s">
        <v>6323</v>
      </c>
      <c r="E16" s="678" t="s">
        <v>3042</v>
      </c>
      <c r="F16" s="678" t="s">
        <v>3774</v>
      </c>
      <c r="G16" s="679" t="s">
        <v>6470</v>
      </c>
      <c r="H16" s="679" t="s">
        <v>6469</v>
      </c>
      <c r="I16" s="680" t="s">
        <v>6475</v>
      </c>
      <c r="J16" s="681">
        <v>149301863130</v>
      </c>
      <c r="K16" s="678" t="s">
        <v>6474</v>
      </c>
      <c r="L16" s="665">
        <v>45064</v>
      </c>
      <c r="M16" s="665">
        <v>45069</v>
      </c>
      <c r="N16" s="688" t="s">
        <v>6485</v>
      </c>
      <c r="O16" s="721"/>
      <c r="P16" s="721"/>
      <c r="Q16" s="678">
        <f>8+2+15+1+10</f>
        <v>36</v>
      </c>
      <c r="R16" s="678">
        <f>536+389.5+1903+28.84+1721</f>
        <v>4578.34</v>
      </c>
      <c r="S16" s="661">
        <f>53693.67</f>
        <v>53693.67</v>
      </c>
      <c r="T16" s="661">
        <f>2120.9</f>
        <v>2120.9</v>
      </c>
      <c r="U16" s="661">
        <v>1</v>
      </c>
      <c r="V16" s="662">
        <f t="shared" si="1"/>
        <v>55815.57</v>
      </c>
      <c r="W16" s="663"/>
      <c r="X16" s="664">
        <f t="shared" si="2"/>
        <v>0</v>
      </c>
      <c r="Y16" s="683"/>
      <c r="Z16" s="665"/>
      <c r="AA16" s="684"/>
      <c r="AB16" s="685"/>
      <c r="AC16" s="665"/>
      <c r="AD16" s="686"/>
    </row>
    <row r="17" spans="1:30" s="687" customFormat="1" ht="90">
      <c r="A17" s="677" t="s">
        <v>6466</v>
      </c>
      <c r="B17" s="677" t="str">
        <f t="shared" si="7"/>
        <v>0041666I23</v>
      </c>
      <c r="C17" s="678" t="s">
        <v>3752</v>
      </c>
      <c r="D17" s="678" t="s">
        <v>6323</v>
      </c>
      <c r="E17" s="678" t="s">
        <v>3042</v>
      </c>
      <c r="F17" s="678" t="s">
        <v>3774</v>
      </c>
      <c r="G17" s="679" t="s">
        <v>6472</v>
      </c>
      <c r="H17" s="679" t="s">
        <v>6471</v>
      </c>
      <c r="I17" s="680" t="s">
        <v>6476</v>
      </c>
      <c r="J17" s="681">
        <v>149301916713</v>
      </c>
      <c r="K17" s="678" t="s">
        <v>6474</v>
      </c>
      <c r="L17" s="665">
        <v>45064</v>
      </c>
      <c r="M17" s="665">
        <v>45069</v>
      </c>
      <c r="N17" s="688" t="s">
        <v>6484</v>
      </c>
      <c r="O17" s="685" t="s">
        <v>1771</v>
      </c>
      <c r="P17" s="685">
        <v>1</v>
      </c>
      <c r="Q17" s="678">
        <f>8+8+15+1+1+1+3+1</f>
        <v>38</v>
      </c>
      <c r="R17" s="678">
        <f>537+1099.5+1914+109+157.5+116+361.18+71</f>
        <v>4365.18</v>
      </c>
      <c r="S17" s="661">
        <v>69293.66</v>
      </c>
      <c r="T17" s="661">
        <f>2585</f>
        <v>2585</v>
      </c>
      <c r="U17" s="661">
        <v>1</v>
      </c>
      <c r="V17" s="662">
        <f t="shared" si="1"/>
        <v>71879.66</v>
      </c>
      <c r="W17" s="663"/>
      <c r="X17" s="664">
        <f t="shared" si="2"/>
        <v>0</v>
      </c>
      <c r="Y17" s="683"/>
      <c r="Z17" s="665"/>
      <c r="AA17" s="684"/>
      <c r="AB17" s="685"/>
      <c r="AC17" s="665"/>
      <c r="AD17" s="686"/>
    </row>
    <row r="18" spans="1:30" s="687" customFormat="1" ht="405">
      <c r="A18" s="677" t="s">
        <v>6486</v>
      </c>
      <c r="B18" s="677" t="str">
        <f t="shared" si="7"/>
        <v>0041808I23</v>
      </c>
      <c r="C18" s="678" t="s">
        <v>3752</v>
      </c>
      <c r="D18" s="678" t="s">
        <v>6323</v>
      </c>
      <c r="E18" s="678" t="s">
        <v>3042</v>
      </c>
      <c r="F18" s="678" t="s">
        <v>3774</v>
      </c>
      <c r="G18" s="679" t="s">
        <v>6489</v>
      </c>
      <c r="H18" s="679" t="s">
        <v>6488</v>
      </c>
      <c r="I18" s="680" t="s">
        <v>6492</v>
      </c>
      <c r="J18" s="681">
        <v>149301996253</v>
      </c>
      <c r="K18" s="678" t="s">
        <v>6495</v>
      </c>
      <c r="L18" s="665">
        <v>45071</v>
      </c>
      <c r="M18" s="665">
        <v>45074</v>
      </c>
      <c r="N18" s="688" t="s">
        <v>6494</v>
      </c>
      <c r="O18" s="720">
        <v>1</v>
      </c>
      <c r="P18" s="720">
        <v>2</v>
      </c>
      <c r="Q18" s="678">
        <f>1+4+2+1+5+1+15+15+15+1+2+1+2+1+1+1+2+1+1+1+1+2+1+1+10+3+2+1+1+1+5+2+1+11+13+1</f>
        <v>129</v>
      </c>
      <c r="R18" s="678">
        <f>157.5+342+177.5+1.36+1103.5+224+1902.5+1919+1930.5+161+137.5+19.02+125+6.22+125+5.84+154.24+62.5+6.24+22.52+66.5+47.48+61+2.36+536.88+427.5+134.5+1.66+6.24+59+234+135.5+9.88+1022.24+1804+75</f>
        <v>13206.679999999998</v>
      </c>
      <c r="S18" s="661">
        <f>315656.47</f>
        <v>315656.46999999997</v>
      </c>
      <c r="T18" s="661">
        <f>7581.45</f>
        <v>7581.45</v>
      </c>
      <c r="U18" s="661">
        <v>1</v>
      </c>
      <c r="V18" s="662">
        <f t="shared" si="1"/>
        <v>323238.92</v>
      </c>
      <c r="W18" s="663"/>
      <c r="X18" s="664">
        <f t="shared" si="2"/>
        <v>0</v>
      </c>
      <c r="Y18" s="683"/>
      <c r="Z18" s="665"/>
      <c r="AA18" s="684"/>
      <c r="AB18" s="685"/>
      <c r="AC18" s="665"/>
      <c r="AD18" s="686"/>
    </row>
    <row r="19" spans="1:30" s="687" customFormat="1" ht="67.5">
      <c r="A19" s="677" t="s">
        <v>6487</v>
      </c>
      <c r="B19" s="677" t="str">
        <f t="shared" si="7"/>
        <v>0041809I23</v>
      </c>
      <c r="C19" s="678" t="s">
        <v>3752</v>
      </c>
      <c r="D19" s="678" t="s">
        <v>6323</v>
      </c>
      <c r="E19" s="678" t="s">
        <v>3042</v>
      </c>
      <c r="F19" s="678" t="s">
        <v>3774</v>
      </c>
      <c r="G19" s="679" t="s">
        <v>6491</v>
      </c>
      <c r="H19" s="679" t="s">
        <v>6490</v>
      </c>
      <c r="I19" s="680" t="s">
        <v>6493</v>
      </c>
      <c r="J19" s="681">
        <v>149301487499</v>
      </c>
      <c r="K19" s="678" t="s">
        <v>6495</v>
      </c>
      <c r="L19" s="665">
        <v>45071</v>
      </c>
      <c r="M19" s="665">
        <v>45074</v>
      </c>
      <c r="N19" s="688" t="s">
        <v>6496</v>
      </c>
      <c r="O19" s="721"/>
      <c r="P19" s="721"/>
      <c r="Q19" s="678">
        <f>4+4+2+1+1+1</f>
        <v>13</v>
      </c>
      <c r="R19" s="678">
        <f>203.37+17.96+8.98+12.44+3.44+14.28</f>
        <v>260.46999999999997</v>
      </c>
      <c r="S19" s="661">
        <f>41123.38</f>
        <v>41123.379999999997</v>
      </c>
      <c r="T19" s="661">
        <f>108.55</f>
        <v>108.55</v>
      </c>
      <c r="U19" s="661">
        <v>1</v>
      </c>
      <c r="V19" s="662">
        <f t="shared" si="1"/>
        <v>41232.93</v>
      </c>
      <c r="W19" s="663"/>
      <c r="X19" s="664">
        <f t="shared" si="2"/>
        <v>0</v>
      </c>
      <c r="Y19" s="683"/>
      <c r="Z19" s="665"/>
      <c r="AA19" s="684"/>
      <c r="AB19" s="685"/>
      <c r="AC19" s="665"/>
      <c r="AD19" s="686"/>
    </row>
    <row r="20" spans="1:30" s="687" customFormat="1" ht="12.75" customHeight="1">
      <c r="A20" s="677"/>
      <c r="B20" s="677"/>
      <c r="C20" s="678"/>
      <c r="D20" s="678"/>
      <c r="E20" s="678"/>
      <c r="F20" s="678"/>
      <c r="G20" s="679"/>
      <c r="H20" s="679"/>
      <c r="I20" s="680"/>
      <c r="J20" s="681"/>
      <c r="K20" s="678"/>
      <c r="L20" s="665"/>
      <c r="M20" s="665"/>
      <c r="N20" s="688"/>
      <c r="O20" s="685"/>
      <c r="P20" s="685"/>
      <c r="Q20" s="678"/>
      <c r="R20" s="678"/>
      <c r="S20" s="661"/>
      <c r="T20" s="661"/>
      <c r="U20" s="661"/>
      <c r="V20" s="662">
        <f t="shared" si="1"/>
        <v>0</v>
      </c>
      <c r="W20" s="663"/>
      <c r="X20" s="664">
        <f t="shared" si="2"/>
        <v>0</v>
      </c>
      <c r="Y20" s="683"/>
      <c r="Z20" s="665"/>
      <c r="AA20" s="684"/>
      <c r="AB20" s="685"/>
      <c r="AC20" s="665"/>
      <c r="AD20" s="686"/>
    </row>
    <row r="21" spans="1:30" s="687" customFormat="1" ht="12.75" customHeight="1">
      <c r="A21" s="677"/>
      <c r="B21" s="677"/>
      <c r="C21" s="678"/>
      <c r="D21" s="678"/>
      <c r="E21" s="678"/>
      <c r="F21" s="678"/>
      <c r="G21" s="679"/>
      <c r="H21" s="679"/>
      <c r="I21" s="680"/>
      <c r="J21" s="681"/>
      <c r="K21" s="678"/>
      <c r="L21" s="665"/>
      <c r="M21" s="665"/>
      <c r="N21" s="688"/>
      <c r="O21" s="685"/>
      <c r="P21" s="685"/>
      <c r="Q21" s="678"/>
      <c r="R21" s="678"/>
      <c r="S21" s="661"/>
      <c r="T21" s="661"/>
      <c r="U21" s="661"/>
      <c r="V21" s="662">
        <f t="shared" si="1"/>
        <v>0</v>
      </c>
      <c r="W21" s="663"/>
      <c r="X21" s="664">
        <f t="shared" si="2"/>
        <v>0</v>
      </c>
      <c r="Y21" s="683"/>
      <c r="Z21" s="665"/>
      <c r="AA21" s="684"/>
      <c r="AB21" s="685"/>
      <c r="AC21" s="665"/>
      <c r="AD21" s="686"/>
    </row>
    <row r="22" spans="1:30" s="687" customFormat="1" ht="12.75" customHeight="1">
      <c r="A22" s="677"/>
      <c r="B22" s="677"/>
      <c r="C22" s="678"/>
      <c r="D22" s="678"/>
      <c r="E22" s="678"/>
      <c r="F22" s="678"/>
      <c r="G22" s="679"/>
      <c r="H22" s="679"/>
      <c r="I22" s="680"/>
      <c r="J22" s="681"/>
      <c r="K22" s="678"/>
      <c r="L22" s="665"/>
      <c r="M22" s="665"/>
      <c r="N22" s="688"/>
      <c r="O22" s="685"/>
      <c r="P22" s="685"/>
      <c r="Q22" s="678"/>
      <c r="R22" s="678"/>
      <c r="S22" s="661"/>
      <c r="T22" s="661"/>
      <c r="U22" s="661"/>
      <c r="V22" s="662">
        <f t="shared" si="1"/>
        <v>0</v>
      </c>
      <c r="W22" s="663"/>
      <c r="X22" s="664">
        <f t="shared" si="2"/>
        <v>0</v>
      </c>
      <c r="Y22" s="683"/>
      <c r="Z22" s="665"/>
      <c r="AA22" s="684"/>
      <c r="AB22" s="685"/>
      <c r="AC22" s="665"/>
      <c r="AD22" s="686"/>
    </row>
    <row r="23" spans="1:30" s="687" customFormat="1" ht="12.75" customHeight="1">
      <c r="A23" s="677"/>
      <c r="B23" s="677"/>
      <c r="C23" s="678"/>
      <c r="D23" s="678"/>
      <c r="E23" s="678"/>
      <c r="F23" s="678"/>
      <c r="G23" s="679"/>
      <c r="H23" s="679"/>
      <c r="I23" s="680"/>
      <c r="J23" s="681"/>
      <c r="K23" s="678"/>
      <c r="L23" s="665"/>
      <c r="M23" s="665"/>
      <c r="N23" s="688"/>
      <c r="O23" s="685"/>
      <c r="P23" s="685"/>
      <c r="Q23" s="678"/>
      <c r="R23" s="678"/>
      <c r="S23" s="661"/>
      <c r="T23" s="661"/>
      <c r="U23" s="661"/>
      <c r="V23" s="662">
        <f t="shared" si="1"/>
        <v>0</v>
      </c>
      <c r="W23" s="663"/>
      <c r="X23" s="664">
        <f t="shared" si="2"/>
        <v>0</v>
      </c>
      <c r="Y23" s="683"/>
      <c r="Z23" s="665"/>
      <c r="AA23" s="684"/>
      <c r="AB23" s="685"/>
      <c r="AC23" s="665"/>
      <c r="AD23" s="686"/>
    </row>
    <row r="24" spans="1:30" s="687" customFormat="1" ht="12.75" customHeight="1">
      <c r="A24" s="677"/>
      <c r="B24" s="677"/>
      <c r="C24" s="678"/>
      <c r="D24" s="678"/>
      <c r="E24" s="678"/>
      <c r="F24" s="678"/>
      <c r="G24" s="679"/>
      <c r="H24" s="679"/>
      <c r="I24" s="680"/>
      <c r="J24" s="681"/>
      <c r="K24" s="678"/>
      <c r="L24" s="665"/>
      <c r="M24" s="665"/>
      <c r="N24" s="688"/>
      <c r="O24" s="685"/>
      <c r="P24" s="685"/>
      <c r="Q24" s="678"/>
      <c r="R24" s="678"/>
      <c r="S24" s="661"/>
      <c r="T24" s="661"/>
      <c r="U24" s="661"/>
      <c r="V24" s="662">
        <f t="shared" si="1"/>
        <v>0</v>
      </c>
      <c r="W24" s="663"/>
      <c r="X24" s="664">
        <f t="shared" si="2"/>
        <v>0</v>
      </c>
      <c r="Y24" s="683"/>
      <c r="Z24" s="665"/>
      <c r="AA24" s="684"/>
      <c r="AB24" s="685"/>
      <c r="AC24" s="665"/>
      <c r="AD24" s="686"/>
    </row>
    <row r="25" spans="1:30" s="687" customFormat="1" ht="12.75" customHeight="1">
      <c r="A25" s="677"/>
      <c r="B25" s="677"/>
      <c r="C25" s="678"/>
      <c r="D25" s="678"/>
      <c r="E25" s="678"/>
      <c r="F25" s="678"/>
      <c r="G25" s="679"/>
      <c r="H25" s="679"/>
      <c r="I25" s="680"/>
      <c r="J25" s="681"/>
      <c r="K25" s="678"/>
      <c r="L25" s="665"/>
      <c r="M25" s="665"/>
      <c r="N25" s="688"/>
      <c r="O25" s="685"/>
      <c r="P25" s="685"/>
      <c r="Q25" s="678"/>
      <c r="R25" s="678"/>
      <c r="S25" s="661"/>
      <c r="T25" s="661"/>
      <c r="U25" s="661"/>
      <c r="V25" s="662">
        <f t="shared" si="1"/>
        <v>0</v>
      </c>
      <c r="W25" s="663"/>
      <c r="X25" s="664">
        <f t="shared" si="2"/>
        <v>0</v>
      </c>
      <c r="Y25" s="683"/>
      <c r="Z25" s="665"/>
      <c r="AA25" s="684"/>
      <c r="AB25" s="685"/>
      <c r="AC25" s="665"/>
      <c r="AD25" s="686"/>
    </row>
    <row r="26" spans="1:30" s="687" customFormat="1" ht="12.75" customHeight="1">
      <c r="A26" s="677"/>
      <c r="B26" s="677"/>
      <c r="C26" s="678"/>
      <c r="D26" s="678"/>
      <c r="E26" s="678"/>
      <c r="F26" s="678"/>
      <c r="G26" s="679"/>
      <c r="H26" s="679"/>
      <c r="I26" s="680"/>
      <c r="J26" s="681"/>
      <c r="K26" s="678"/>
      <c r="L26" s="665"/>
      <c r="M26" s="665"/>
      <c r="N26" s="688"/>
      <c r="O26" s="685"/>
      <c r="P26" s="685"/>
      <c r="Q26" s="678"/>
      <c r="R26" s="678"/>
      <c r="S26" s="661"/>
      <c r="T26" s="661"/>
      <c r="U26" s="661"/>
      <c r="V26" s="662">
        <f t="shared" si="1"/>
        <v>0</v>
      </c>
      <c r="W26" s="663"/>
      <c r="X26" s="664">
        <f t="shared" si="2"/>
        <v>0</v>
      </c>
      <c r="Y26" s="683"/>
      <c r="Z26" s="665"/>
      <c r="AA26" s="684"/>
      <c r="AB26" s="685"/>
      <c r="AC26" s="665"/>
      <c r="AD26" s="686"/>
    </row>
    <row r="27" spans="1:30" s="687" customFormat="1" ht="12.75" customHeight="1">
      <c r="A27" s="677"/>
      <c r="B27" s="677"/>
      <c r="C27" s="678"/>
      <c r="D27" s="678"/>
      <c r="E27" s="678"/>
      <c r="F27" s="678"/>
      <c r="G27" s="679"/>
      <c r="H27" s="679"/>
      <c r="I27" s="680"/>
      <c r="J27" s="681"/>
      <c r="K27" s="678"/>
      <c r="L27" s="665"/>
      <c r="M27" s="665"/>
      <c r="N27" s="688"/>
      <c r="O27" s="685"/>
      <c r="P27" s="685"/>
      <c r="Q27" s="678"/>
      <c r="R27" s="678"/>
      <c r="S27" s="661"/>
      <c r="T27" s="661"/>
      <c r="U27" s="661"/>
      <c r="V27" s="662">
        <f t="shared" si="1"/>
        <v>0</v>
      </c>
      <c r="W27" s="663"/>
      <c r="X27" s="664">
        <f t="shared" si="2"/>
        <v>0</v>
      </c>
      <c r="Y27" s="683"/>
      <c r="Z27" s="665"/>
      <c r="AA27" s="684"/>
      <c r="AB27" s="685"/>
      <c r="AC27" s="665"/>
      <c r="AD27" s="686"/>
    </row>
    <row r="28" spans="1:30" s="687" customFormat="1" ht="12.75" customHeight="1">
      <c r="A28" s="677"/>
      <c r="B28" s="677"/>
      <c r="C28" s="678"/>
      <c r="D28" s="678"/>
      <c r="E28" s="678"/>
      <c r="F28" s="678"/>
      <c r="G28" s="679"/>
      <c r="H28" s="679"/>
      <c r="I28" s="680"/>
      <c r="J28" s="681"/>
      <c r="K28" s="678"/>
      <c r="L28" s="665"/>
      <c r="M28" s="665"/>
      <c r="N28" s="688"/>
      <c r="O28" s="685"/>
      <c r="P28" s="685"/>
      <c r="Q28" s="678"/>
      <c r="R28" s="678"/>
      <c r="S28" s="661"/>
      <c r="T28" s="661"/>
      <c r="U28" s="661"/>
      <c r="V28" s="662">
        <f t="shared" si="1"/>
        <v>0</v>
      </c>
      <c r="W28" s="663"/>
      <c r="X28" s="664">
        <f t="shared" si="2"/>
        <v>0</v>
      </c>
      <c r="Y28" s="683"/>
      <c r="Z28" s="665"/>
      <c r="AA28" s="684"/>
      <c r="AB28" s="685"/>
      <c r="AC28" s="665"/>
      <c r="AD28" s="686"/>
    </row>
    <row r="29" spans="1:30" s="687" customFormat="1" ht="12.75" customHeight="1">
      <c r="A29" s="677"/>
      <c r="B29" s="677"/>
      <c r="C29" s="678"/>
      <c r="D29" s="678"/>
      <c r="E29" s="678"/>
      <c r="F29" s="678"/>
      <c r="G29" s="679"/>
      <c r="H29" s="679"/>
      <c r="I29" s="680"/>
      <c r="J29" s="681"/>
      <c r="K29" s="678"/>
      <c r="L29" s="665"/>
      <c r="M29" s="665"/>
      <c r="N29" s="688"/>
      <c r="O29" s="685"/>
      <c r="P29" s="685"/>
      <c r="Q29" s="678"/>
      <c r="R29" s="678"/>
      <c r="S29" s="661"/>
      <c r="T29" s="661"/>
      <c r="U29" s="661"/>
      <c r="V29" s="662">
        <f t="shared" si="1"/>
        <v>0</v>
      </c>
      <c r="W29" s="663"/>
      <c r="X29" s="664">
        <f t="shared" si="2"/>
        <v>0</v>
      </c>
      <c r="Y29" s="683"/>
      <c r="Z29" s="665"/>
      <c r="AA29" s="684"/>
      <c r="AB29" s="685"/>
      <c r="AC29" s="665"/>
      <c r="AD29" s="686"/>
    </row>
    <row r="30" spans="1:30" s="687" customFormat="1" ht="12.75" customHeight="1">
      <c r="A30" s="677"/>
      <c r="B30" s="677"/>
      <c r="C30" s="678"/>
      <c r="D30" s="678"/>
      <c r="E30" s="678"/>
      <c r="F30" s="678"/>
      <c r="G30" s="679"/>
      <c r="H30" s="679"/>
      <c r="I30" s="680"/>
      <c r="J30" s="681"/>
      <c r="K30" s="678"/>
      <c r="L30" s="665"/>
      <c r="M30" s="665"/>
      <c r="N30" s="688"/>
      <c r="O30" s="685"/>
      <c r="P30" s="685"/>
      <c r="Q30" s="678"/>
      <c r="R30" s="678"/>
      <c r="S30" s="661"/>
      <c r="T30" s="661"/>
      <c r="U30" s="661"/>
      <c r="V30" s="662">
        <f t="shared" si="1"/>
        <v>0</v>
      </c>
      <c r="W30" s="663"/>
      <c r="X30" s="664">
        <f t="shared" si="2"/>
        <v>0</v>
      </c>
      <c r="Y30" s="683"/>
      <c r="Z30" s="665"/>
      <c r="AA30" s="684"/>
      <c r="AB30" s="685"/>
      <c r="AC30" s="665"/>
      <c r="AD30" s="686"/>
    </row>
    <row r="31" spans="1:30" s="687" customFormat="1" ht="12.75" customHeight="1">
      <c r="A31" s="677"/>
      <c r="B31" s="677"/>
      <c r="C31" s="678"/>
      <c r="D31" s="678"/>
      <c r="E31" s="678"/>
      <c r="F31" s="678"/>
      <c r="G31" s="679"/>
      <c r="H31" s="679"/>
      <c r="I31" s="680"/>
      <c r="J31" s="681"/>
      <c r="K31" s="678"/>
      <c r="L31" s="665"/>
      <c r="M31" s="665"/>
      <c r="N31" s="688"/>
      <c r="O31" s="685"/>
      <c r="P31" s="685"/>
      <c r="Q31" s="678"/>
      <c r="R31" s="678"/>
      <c r="S31" s="661"/>
      <c r="T31" s="661"/>
      <c r="U31" s="661"/>
      <c r="V31" s="662">
        <f t="shared" si="1"/>
        <v>0</v>
      </c>
      <c r="W31" s="663"/>
      <c r="X31" s="664">
        <f t="shared" si="2"/>
        <v>0</v>
      </c>
      <c r="Y31" s="683"/>
      <c r="Z31" s="665"/>
      <c r="AA31" s="684"/>
      <c r="AB31" s="685"/>
      <c r="AC31" s="665"/>
      <c r="AD31" s="686"/>
    </row>
    <row r="32" spans="1:30" s="687" customFormat="1" ht="12.75" customHeight="1">
      <c r="A32" s="677"/>
      <c r="B32" s="677"/>
      <c r="C32" s="678"/>
      <c r="D32" s="678"/>
      <c r="E32" s="678"/>
      <c r="F32" s="678"/>
      <c r="G32" s="679"/>
      <c r="H32" s="679"/>
      <c r="I32" s="680"/>
      <c r="J32" s="681"/>
      <c r="K32" s="678"/>
      <c r="L32" s="665"/>
      <c r="M32" s="665"/>
      <c r="N32" s="688"/>
      <c r="O32" s="685"/>
      <c r="P32" s="685"/>
      <c r="Q32" s="678"/>
      <c r="R32" s="678"/>
      <c r="S32" s="661"/>
      <c r="T32" s="661"/>
      <c r="U32" s="661"/>
      <c r="V32" s="662">
        <f t="shared" si="1"/>
        <v>0</v>
      </c>
      <c r="W32" s="663"/>
      <c r="X32" s="664">
        <f t="shared" si="2"/>
        <v>0</v>
      </c>
      <c r="Y32" s="683"/>
      <c r="Z32" s="665"/>
      <c r="AA32" s="684"/>
      <c r="AB32" s="685"/>
      <c r="AC32" s="665"/>
      <c r="AD32" s="686"/>
    </row>
    <row r="33" spans="1:30" s="687" customFormat="1" ht="12.75" customHeight="1">
      <c r="A33" s="677"/>
      <c r="B33" s="677"/>
      <c r="C33" s="678"/>
      <c r="D33" s="678"/>
      <c r="E33" s="678"/>
      <c r="F33" s="678"/>
      <c r="G33" s="679"/>
      <c r="H33" s="679"/>
      <c r="I33" s="680"/>
      <c r="J33" s="681"/>
      <c r="K33" s="678"/>
      <c r="L33" s="665"/>
      <c r="M33" s="665"/>
      <c r="N33" s="688"/>
      <c r="O33" s="685"/>
      <c r="P33" s="685"/>
      <c r="Q33" s="678"/>
      <c r="R33" s="678"/>
      <c r="S33" s="661"/>
      <c r="T33" s="661"/>
      <c r="U33" s="661"/>
      <c r="V33" s="662">
        <f t="shared" si="1"/>
        <v>0</v>
      </c>
      <c r="W33" s="663"/>
      <c r="X33" s="664">
        <f t="shared" si="2"/>
        <v>0</v>
      </c>
      <c r="Y33" s="683"/>
      <c r="Z33" s="665"/>
      <c r="AA33" s="684"/>
      <c r="AB33" s="685"/>
      <c r="AC33" s="665"/>
      <c r="AD33" s="686"/>
    </row>
    <row r="34" spans="1:30" s="687" customFormat="1" ht="12.75" customHeight="1">
      <c r="A34" s="677"/>
      <c r="B34" s="677"/>
      <c r="C34" s="678"/>
      <c r="D34" s="678"/>
      <c r="E34" s="678"/>
      <c r="F34" s="678"/>
      <c r="G34" s="679"/>
      <c r="H34" s="679"/>
      <c r="I34" s="680"/>
      <c r="J34" s="681"/>
      <c r="K34" s="678"/>
      <c r="L34" s="665"/>
      <c r="M34" s="665"/>
      <c r="N34" s="688"/>
      <c r="O34" s="685"/>
      <c r="P34" s="685"/>
      <c r="Q34" s="678"/>
      <c r="R34" s="678"/>
      <c r="S34" s="661"/>
      <c r="T34" s="661"/>
      <c r="U34" s="661"/>
      <c r="V34" s="662">
        <f t="shared" si="1"/>
        <v>0</v>
      </c>
      <c r="W34" s="663"/>
      <c r="X34" s="664">
        <f t="shared" si="2"/>
        <v>0</v>
      </c>
      <c r="Y34" s="683"/>
      <c r="Z34" s="665"/>
      <c r="AA34" s="684"/>
      <c r="AB34" s="685"/>
      <c r="AC34" s="665"/>
      <c r="AD34" s="686"/>
    </row>
    <row r="35" spans="1:30" s="687" customFormat="1" ht="12.75" customHeight="1">
      <c r="A35" s="677"/>
      <c r="B35" s="677"/>
      <c r="C35" s="678"/>
      <c r="D35" s="678"/>
      <c r="E35" s="678"/>
      <c r="F35" s="678"/>
      <c r="G35" s="679"/>
      <c r="H35" s="679"/>
      <c r="I35" s="680"/>
      <c r="J35" s="681"/>
      <c r="K35" s="678"/>
      <c r="L35" s="665"/>
      <c r="M35" s="665"/>
      <c r="N35" s="688"/>
      <c r="O35" s="685"/>
      <c r="P35" s="685"/>
      <c r="Q35" s="678"/>
      <c r="R35" s="678"/>
      <c r="S35" s="661"/>
      <c r="T35" s="661"/>
      <c r="U35" s="661"/>
      <c r="V35" s="662">
        <f t="shared" si="1"/>
        <v>0</v>
      </c>
      <c r="W35" s="663"/>
      <c r="X35" s="664">
        <f t="shared" si="2"/>
        <v>0</v>
      </c>
      <c r="Y35" s="683"/>
      <c r="Z35" s="665"/>
      <c r="AA35" s="684"/>
      <c r="AB35" s="685"/>
      <c r="AC35" s="665"/>
      <c r="AD35" s="686"/>
    </row>
    <row r="36" spans="1:30" s="687" customFormat="1" ht="12.75" customHeight="1">
      <c r="A36" s="677"/>
      <c r="B36" s="677"/>
      <c r="C36" s="678"/>
      <c r="D36" s="678"/>
      <c r="E36" s="678"/>
      <c r="F36" s="678"/>
      <c r="G36" s="679"/>
      <c r="H36" s="679"/>
      <c r="I36" s="680"/>
      <c r="J36" s="681"/>
      <c r="K36" s="678"/>
      <c r="L36" s="665"/>
      <c r="M36" s="665"/>
      <c r="N36" s="688"/>
      <c r="O36" s="685"/>
      <c r="P36" s="685"/>
      <c r="Q36" s="678"/>
      <c r="R36" s="678"/>
      <c r="S36" s="661"/>
      <c r="T36" s="661"/>
      <c r="U36" s="661"/>
      <c r="V36" s="662">
        <f t="shared" si="1"/>
        <v>0</v>
      </c>
      <c r="W36" s="663"/>
      <c r="X36" s="664">
        <f t="shared" si="2"/>
        <v>0</v>
      </c>
      <c r="Y36" s="683"/>
      <c r="Z36" s="665"/>
      <c r="AA36" s="684"/>
      <c r="AB36" s="685"/>
      <c r="AC36" s="665"/>
      <c r="AD36" s="686"/>
    </row>
    <row r="37" spans="1:30" s="687" customFormat="1" ht="12.75" customHeight="1">
      <c r="A37" s="677"/>
      <c r="B37" s="677"/>
      <c r="C37" s="678"/>
      <c r="D37" s="678"/>
      <c r="E37" s="678"/>
      <c r="F37" s="678"/>
      <c r="G37" s="679"/>
      <c r="H37" s="679"/>
      <c r="I37" s="680"/>
      <c r="J37" s="681"/>
      <c r="K37" s="678"/>
      <c r="L37" s="665"/>
      <c r="M37" s="665"/>
      <c r="N37" s="688"/>
      <c r="O37" s="685"/>
      <c r="P37" s="685"/>
      <c r="Q37" s="678"/>
      <c r="R37" s="678"/>
      <c r="S37" s="661"/>
      <c r="T37" s="661"/>
      <c r="U37" s="661"/>
      <c r="V37" s="662">
        <f t="shared" si="1"/>
        <v>0</v>
      </c>
      <c r="W37" s="663"/>
      <c r="X37" s="664">
        <f t="shared" si="2"/>
        <v>0</v>
      </c>
      <c r="Y37" s="683"/>
      <c r="Z37" s="665"/>
      <c r="AA37" s="684"/>
      <c r="AB37" s="685"/>
      <c r="AC37" s="665"/>
      <c r="AD37" s="686"/>
    </row>
    <row r="38" spans="1:30" s="687" customFormat="1" ht="12.75" customHeight="1">
      <c r="A38" s="677"/>
      <c r="B38" s="677"/>
      <c r="C38" s="678"/>
      <c r="D38" s="678"/>
      <c r="E38" s="678"/>
      <c r="F38" s="678"/>
      <c r="G38" s="679"/>
      <c r="H38" s="679"/>
      <c r="I38" s="680"/>
      <c r="J38" s="681"/>
      <c r="K38" s="678"/>
      <c r="L38" s="665"/>
      <c r="M38" s="665"/>
      <c r="N38" s="688"/>
      <c r="O38" s="685"/>
      <c r="P38" s="685"/>
      <c r="Q38" s="678"/>
      <c r="R38" s="678"/>
      <c r="S38" s="661"/>
      <c r="T38" s="661"/>
      <c r="U38" s="661"/>
      <c r="V38" s="662">
        <f t="shared" si="1"/>
        <v>0</v>
      </c>
      <c r="W38" s="663"/>
      <c r="X38" s="664">
        <f t="shared" si="2"/>
        <v>0</v>
      </c>
      <c r="Y38" s="683"/>
      <c r="Z38" s="665"/>
      <c r="AA38" s="684"/>
      <c r="AB38" s="685"/>
      <c r="AC38" s="665"/>
      <c r="AD38" s="686"/>
    </row>
    <row r="39" spans="1:30" s="687" customFormat="1" ht="12.75" customHeight="1">
      <c r="A39" s="677"/>
      <c r="B39" s="677"/>
      <c r="C39" s="678"/>
      <c r="D39" s="678"/>
      <c r="E39" s="678"/>
      <c r="F39" s="678"/>
      <c r="G39" s="679"/>
      <c r="H39" s="679"/>
      <c r="I39" s="680"/>
      <c r="J39" s="681"/>
      <c r="K39" s="678"/>
      <c r="L39" s="665"/>
      <c r="M39" s="665"/>
      <c r="N39" s="688"/>
      <c r="O39" s="685"/>
      <c r="P39" s="685"/>
      <c r="Q39" s="678"/>
      <c r="R39" s="678"/>
      <c r="S39" s="661"/>
      <c r="T39" s="661"/>
      <c r="U39" s="661"/>
      <c r="V39" s="662">
        <f t="shared" si="1"/>
        <v>0</v>
      </c>
      <c r="W39" s="663"/>
      <c r="X39" s="664">
        <f t="shared" si="2"/>
        <v>0</v>
      </c>
      <c r="Y39" s="683"/>
      <c r="Z39" s="665"/>
      <c r="AA39" s="684"/>
      <c r="AB39" s="685"/>
      <c r="AC39" s="665"/>
      <c r="AD39" s="686"/>
    </row>
    <row r="40" spans="1:30" s="687" customFormat="1" ht="12.75" customHeight="1">
      <c r="A40" s="677"/>
      <c r="B40" s="677"/>
      <c r="C40" s="678"/>
      <c r="D40" s="678"/>
      <c r="E40" s="678"/>
      <c r="F40" s="678"/>
      <c r="G40" s="679"/>
      <c r="H40" s="679"/>
      <c r="I40" s="680"/>
      <c r="J40" s="681"/>
      <c r="K40" s="678"/>
      <c r="L40" s="665"/>
      <c r="M40" s="665"/>
      <c r="N40" s="688"/>
      <c r="O40" s="685"/>
      <c r="P40" s="685"/>
      <c r="Q40" s="678"/>
      <c r="R40" s="678"/>
      <c r="S40" s="661"/>
      <c r="T40" s="661"/>
      <c r="U40" s="661"/>
      <c r="V40" s="662">
        <f t="shared" si="1"/>
        <v>0</v>
      </c>
      <c r="W40" s="663"/>
      <c r="X40" s="664">
        <f t="shared" si="2"/>
        <v>0</v>
      </c>
      <c r="Y40" s="683"/>
      <c r="Z40" s="665"/>
      <c r="AA40" s="684"/>
      <c r="AB40" s="685"/>
      <c r="AC40" s="665"/>
      <c r="AD40" s="686"/>
    </row>
    <row r="41" spans="1:30" s="687" customFormat="1" ht="12.75" customHeight="1">
      <c r="A41" s="677"/>
      <c r="B41" s="677"/>
      <c r="C41" s="678"/>
      <c r="D41" s="678"/>
      <c r="E41" s="678"/>
      <c r="F41" s="678"/>
      <c r="G41" s="679"/>
      <c r="H41" s="679"/>
      <c r="I41" s="680"/>
      <c r="J41" s="681"/>
      <c r="K41" s="678"/>
      <c r="L41" s="665"/>
      <c r="M41" s="665"/>
      <c r="N41" s="688"/>
      <c r="O41" s="685"/>
      <c r="P41" s="685"/>
      <c r="Q41" s="678"/>
      <c r="R41" s="678"/>
      <c r="S41" s="661"/>
      <c r="T41" s="661"/>
      <c r="U41" s="661"/>
      <c r="V41" s="662">
        <f t="shared" si="1"/>
        <v>0</v>
      </c>
      <c r="W41" s="663"/>
      <c r="X41" s="664">
        <f t="shared" si="2"/>
        <v>0</v>
      </c>
      <c r="Y41" s="683"/>
      <c r="Z41" s="665"/>
      <c r="AA41" s="684"/>
      <c r="AB41" s="685"/>
      <c r="AC41" s="665"/>
      <c r="AD41" s="686"/>
    </row>
    <row r="42" spans="1:30" s="687" customFormat="1" ht="12.75" customHeight="1">
      <c r="A42" s="677"/>
      <c r="B42" s="677"/>
      <c r="C42" s="678"/>
      <c r="D42" s="678"/>
      <c r="E42" s="678"/>
      <c r="F42" s="678"/>
      <c r="G42" s="679"/>
      <c r="H42" s="679"/>
      <c r="I42" s="680"/>
      <c r="J42" s="681"/>
      <c r="K42" s="678"/>
      <c r="L42" s="665"/>
      <c r="M42" s="665"/>
      <c r="N42" s="688"/>
      <c r="O42" s="685"/>
      <c r="P42" s="685"/>
      <c r="Q42" s="678"/>
      <c r="R42" s="678"/>
      <c r="S42" s="661"/>
      <c r="T42" s="661"/>
      <c r="U42" s="661"/>
      <c r="V42" s="662">
        <f t="shared" si="1"/>
        <v>0</v>
      </c>
      <c r="W42" s="663"/>
      <c r="X42" s="664">
        <f t="shared" si="2"/>
        <v>0</v>
      </c>
      <c r="Y42" s="683"/>
      <c r="Z42" s="665"/>
      <c r="AA42" s="684"/>
      <c r="AB42" s="685"/>
      <c r="AC42" s="665"/>
      <c r="AD42" s="686"/>
    </row>
    <row r="43" spans="1:30" s="687" customFormat="1" ht="12.75" customHeight="1">
      <c r="A43" s="677"/>
      <c r="B43" s="677"/>
      <c r="C43" s="678"/>
      <c r="D43" s="678"/>
      <c r="E43" s="678"/>
      <c r="F43" s="678"/>
      <c r="G43" s="679"/>
      <c r="H43" s="679"/>
      <c r="I43" s="680"/>
      <c r="J43" s="681"/>
      <c r="K43" s="678"/>
      <c r="L43" s="665"/>
      <c r="M43" s="665"/>
      <c r="N43" s="688"/>
      <c r="O43" s="685"/>
      <c r="P43" s="685"/>
      <c r="Q43" s="678"/>
      <c r="R43" s="678"/>
      <c r="S43" s="661"/>
      <c r="T43" s="661"/>
      <c r="U43" s="661"/>
      <c r="V43" s="662">
        <f t="shared" si="1"/>
        <v>0</v>
      </c>
      <c r="W43" s="663"/>
      <c r="X43" s="664">
        <f t="shared" si="2"/>
        <v>0</v>
      </c>
      <c r="Y43" s="683"/>
      <c r="Z43" s="665"/>
      <c r="AA43" s="684"/>
      <c r="AB43" s="685"/>
      <c r="AC43" s="665"/>
      <c r="AD43" s="686"/>
    </row>
    <row r="44" spans="1:30" s="687" customFormat="1" ht="12.75" customHeight="1">
      <c r="A44" s="677"/>
      <c r="B44" s="677"/>
      <c r="C44" s="678"/>
      <c r="D44" s="678"/>
      <c r="E44" s="678"/>
      <c r="F44" s="678"/>
      <c r="G44" s="679"/>
      <c r="H44" s="679"/>
      <c r="I44" s="680"/>
      <c r="J44" s="681"/>
      <c r="K44" s="678"/>
      <c r="L44" s="665"/>
      <c r="M44" s="665"/>
      <c r="N44" s="688"/>
      <c r="O44" s="685"/>
      <c r="P44" s="685"/>
      <c r="Q44" s="678"/>
      <c r="R44" s="678"/>
      <c r="S44" s="661"/>
      <c r="T44" s="661"/>
      <c r="U44" s="661"/>
      <c r="V44" s="662">
        <f t="shared" si="1"/>
        <v>0</v>
      </c>
      <c r="W44" s="663"/>
      <c r="X44" s="664">
        <f t="shared" si="2"/>
        <v>0</v>
      </c>
      <c r="Y44" s="683"/>
      <c r="Z44" s="665"/>
      <c r="AA44" s="684"/>
      <c r="AB44" s="685"/>
      <c r="AC44" s="665"/>
      <c r="AD44" s="686"/>
    </row>
    <row r="45" spans="1:30" s="687" customFormat="1" ht="12.75" customHeight="1">
      <c r="A45" s="677"/>
      <c r="B45" s="677"/>
      <c r="C45" s="678"/>
      <c r="D45" s="678"/>
      <c r="E45" s="678"/>
      <c r="F45" s="678"/>
      <c r="G45" s="679"/>
      <c r="H45" s="679"/>
      <c r="I45" s="680"/>
      <c r="J45" s="681"/>
      <c r="K45" s="678"/>
      <c r="L45" s="665"/>
      <c r="M45" s="665"/>
      <c r="N45" s="688"/>
      <c r="O45" s="685"/>
      <c r="P45" s="685"/>
      <c r="Q45" s="678"/>
      <c r="R45" s="678"/>
      <c r="S45" s="661"/>
      <c r="T45" s="661"/>
      <c r="U45" s="661"/>
      <c r="V45" s="662">
        <f t="shared" si="1"/>
        <v>0</v>
      </c>
      <c r="W45" s="663"/>
      <c r="X45" s="664">
        <f t="shared" si="2"/>
        <v>0</v>
      </c>
      <c r="Y45" s="683"/>
      <c r="Z45" s="665"/>
      <c r="AA45" s="684"/>
      <c r="AB45" s="685"/>
      <c r="AC45" s="665"/>
      <c r="AD45" s="686"/>
    </row>
    <row r="46" spans="1:30" s="687" customFormat="1" ht="12.75" customHeight="1">
      <c r="A46" s="677"/>
      <c r="B46" s="677"/>
      <c r="C46" s="678"/>
      <c r="D46" s="678"/>
      <c r="E46" s="678"/>
      <c r="F46" s="678"/>
      <c r="G46" s="679"/>
      <c r="H46" s="679"/>
      <c r="I46" s="680"/>
      <c r="J46" s="681"/>
      <c r="K46" s="678"/>
      <c r="L46" s="665"/>
      <c r="M46" s="665"/>
      <c r="N46" s="688"/>
      <c r="O46" s="685"/>
      <c r="P46" s="685"/>
      <c r="Q46" s="678"/>
      <c r="R46" s="678"/>
      <c r="S46" s="661"/>
      <c r="T46" s="661"/>
      <c r="U46" s="661"/>
      <c r="V46" s="662">
        <f t="shared" si="1"/>
        <v>0</v>
      </c>
      <c r="W46" s="663"/>
      <c r="X46" s="664">
        <f t="shared" si="2"/>
        <v>0</v>
      </c>
      <c r="Y46" s="683"/>
      <c r="Z46" s="665"/>
      <c r="AA46" s="684"/>
      <c r="AB46" s="685"/>
      <c r="AC46" s="665"/>
      <c r="AD46" s="686"/>
    </row>
    <row r="47" spans="1:30" s="687" customFormat="1" ht="12.75" customHeight="1">
      <c r="A47" s="677"/>
      <c r="B47" s="677"/>
      <c r="C47" s="678"/>
      <c r="D47" s="678"/>
      <c r="E47" s="678"/>
      <c r="F47" s="678"/>
      <c r="G47" s="679"/>
      <c r="H47" s="679"/>
      <c r="I47" s="680"/>
      <c r="J47" s="681"/>
      <c r="K47" s="678"/>
      <c r="L47" s="665"/>
      <c r="M47" s="665"/>
      <c r="N47" s="688"/>
      <c r="O47" s="685"/>
      <c r="P47" s="685"/>
      <c r="Q47" s="678"/>
      <c r="R47" s="678"/>
      <c r="S47" s="661"/>
      <c r="T47" s="661"/>
      <c r="U47" s="661"/>
      <c r="V47" s="662">
        <f t="shared" si="1"/>
        <v>0</v>
      </c>
      <c r="W47" s="663"/>
      <c r="X47" s="664">
        <f t="shared" si="2"/>
        <v>0</v>
      </c>
      <c r="Y47" s="683"/>
      <c r="Z47" s="665"/>
      <c r="AA47" s="684"/>
      <c r="AB47" s="685"/>
      <c r="AC47" s="665"/>
      <c r="AD47" s="686"/>
    </row>
    <row r="48" spans="1:30" s="687" customFormat="1" ht="12.75" customHeight="1">
      <c r="A48" s="677"/>
      <c r="B48" s="677"/>
      <c r="C48" s="678"/>
      <c r="D48" s="678"/>
      <c r="E48" s="678"/>
      <c r="F48" s="678"/>
      <c r="G48" s="679"/>
      <c r="H48" s="679"/>
      <c r="I48" s="680"/>
      <c r="J48" s="681"/>
      <c r="K48" s="678"/>
      <c r="L48" s="665"/>
      <c r="M48" s="665"/>
      <c r="N48" s="688"/>
      <c r="O48" s="685"/>
      <c r="P48" s="685"/>
      <c r="Q48" s="678"/>
      <c r="R48" s="678"/>
      <c r="S48" s="661"/>
      <c r="T48" s="661"/>
      <c r="U48" s="661"/>
      <c r="V48" s="662">
        <f t="shared" si="1"/>
        <v>0</v>
      </c>
      <c r="W48" s="663"/>
      <c r="X48" s="664">
        <f t="shared" si="2"/>
        <v>0</v>
      </c>
      <c r="Y48" s="683"/>
      <c r="Z48" s="665"/>
      <c r="AA48" s="684"/>
      <c r="AB48" s="685"/>
      <c r="AC48" s="665"/>
      <c r="AD48" s="686"/>
    </row>
    <row r="49" spans="1:30" s="687" customFormat="1" ht="12.75" customHeight="1">
      <c r="A49" s="677"/>
      <c r="B49" s="677"/>
      <c r="C49" s="678"/>
      <c r="D49" s="678"/>
      <c r="E49" s="678"/>
      <c r="F49" s="678"/>
      <c r="G49" s="679"/>
      <c r="H49" s="679"/>
      <c r="I49" s="680"/>
      <c r="J49" s="681"/>
      <c r="K49" s="678"/>
      <c r="L49" s="665"/>
      <c r="M49" s="665"/>
      <c r="N49" s="688"/>
      <c r="O49" s="685"/>
      <c r="P49" s="685"/>
      <c r="Q49" s="678"/>
      <c r="R49" s="678"/>
      <c r="S49" s="661"/>
      <c r="T49" s="661"/>
      <c r="U49" s="661"/>
      <c r="V49" s="662">
        <f t="shared" si="1"/>
        <v>0</v>
      </c>
      <c r="W49" s="663"/>
      <c r="X49" s="664">
        <f t="shared" si="2"/>
        <v>0</v>
      </c>
      <c r="Y49" s="683"/>
      <c r="Z49" s="665"/>
      <c r="AA49" s="684"/>
      <c r="AB49" s="685"/>
      <c r="AC49" s="665"/>
      <c r="AD49" s="686"/>
    </row>
    <row r="50" spans="1:30" s="687" customFormat="1" ht="12.75" customHeight="1">
      <c r="A50" s="677"/>
      <c r="B50" s="677"/>
      <c r="C50" s="678"/>
      <c r="D50" s="678"/>
      <c r="E50" s="678"/>
      <c r="F50" s="678"/>
      <c r="G50" s="679"/>
      <c r="H50" s="679"/>
      <c r="I50" s="680"/>
      <c r="J50" s="681"/>
      <c r="K50" s="678"/>
      <c r="L50" s="665"/>
      <c r="M50" s="665"/>
      <c r="N50" s="688"/>
      <c r="O50" s="685"/>
      <c r="P50" s="685"/>
      <c r="Q50" s="678"/>
      <c r="R50" s="678"/>
      <c r="S50" s="661"/>
      <c r="T50" s="661"/>
      <c r="U50" s="661"/>
      <c r="V50" s="662">
        <f t="shared" si="1"/>
        <v>0</v>
      </c>
      <c r="W50" s="663"/>
      <c r="X50" s="664">
        <f t="shared" si="2"/>
        <v>0</v>
      </c>
      <c r="Y50" s="683"/>
      <c r="Z50" s="665"/>
      <c r="AA50" s="684"/>
      <c r="AB50" s="685"/>
      <c r="AC50" s="665"/>
      <c r="AD50" s="686"/>
    </row>
    <row r="51" spans="1:30" s="687" customFormat="1" ht="12.75" customHeight="1">
      <c r="A51" s="677"/>
      <c r="B51" s="677"/>
      <c r="C51" s="678"/>
      <c r="D51" s="678"/>
      <c r="E51" s="678"/>
      <c r="F51" s="678"/>
      <c r="G51" s="679"/>
      <c r="H51" s="679"/>
      <c r="I51" s="680"/>
      <c r="J51" s="681"/>
      <c r="K51" s="678"/>
      <c r="L51" s="665"/>
      <c r="M51" s="665"/>
      <c r="N51" s="688"/>
      <c r="O51" s="685"/>
      <c r="P51" s="685"/>
      <c r="Q51" s="678"/>
      <c r="R51" s="678"/>
      <c r="S51" s="661"/>
      <c r="T51" s="661"/>
      <c r="U51" s="661"/>
      <c r="V51" s="662">
        <f t="shared" si="1"/>
        <v>0</v>
      </c>
      <c r="W51" s="663"/>
      <c r="X51" s="664">
        <f t="shared" si="2"/>
        <v>0</v>
      </c>
      <c r="Y51" s="683"/>
      <c r="Z51" s="665"/>
      <c r="AA51" s="684"/>
      <c r="AB51" s="685"/>
      <c r="AC51" s="665"/>
      <c r="AD51" s="686"/>
    </row>
    <row r="52" spans="1:30" s="687" customFormat="1" ht="12.75" customHeight="1">
      <c r="A52" s="677"/>
      <c r="B52" s="677"/>
      <c r="C52" s="678"/>
      <c r="D52" s="678"/>
      <c r="E52" s="678"/>
      <c r="F52" s="678"/>
      <c r="G52" s="679"/>
      <c r="H52" s="679"/>
      <c r="I52" s="680"/>
      <c r="J52" s="681"/>
      <c r="K52" s="678"/>
      <c r="L52" s="665"/>
      <c r="M52" s="665"/>
      <c r="N52" s="688"/>
      <c r="O52" s="685"/>
      <c r="P52" s="685"/>
      <c r="Q52" s="678"/>
      <c r="R52" s="678"/>
      <c r="S52" s="661"/>
      <c r="T52" s="661"/>
      <c r="U52" s="661"/>
      <c r="V52" s="662">
        <f t="shared" si="1"/>
        <v>0</v>
      </c>
      <c r="W52" s="663"/>
      <c r="X52" s="664">
        <f t="shared" si="2"/>
        <v>0</v>
      </c>
      <c r="Y52" s="683"/>
      <c r="Z52" s="665"/>
      <c r="AA52" s="684"/>
      <c r="AB52" s="685"/>
      <c r="AC52" s="665"/>
      <c r="AD52" s="686"/>
    </row>
    <row r="53" spans="1:30" s="687" customFormat="1" ht="12.75" customHeight="1">
      <c r="A53" s="677"/>
      <c r="B53" s="677"/>
      <c r="C53" s="678"/>
      <c r="D53" s="678"/>
      <c r="E53" s="678"/>
      <c r="F53" s="678"/>
      <c r="G53" s="679"/>
      <c r="H53" s="679"/>
      <c r="I53" s="680"/>
      <c r="J53" s="681"/>
      <c r="K53" s="678"/>
      <c r="L53" s="665"/>
      <c r="M53" s="665"/>
      <c r="N53" s="688"/>
      <c r="O53" s="685"/>
      <c r="P53" s="685"/>
      <c r="Q53" s="678"/>
      <c r="R53" s="678"/>
      <c r="S53" s="661"/>
      <c r="T53" s="661"/>
      <c r="U53" s="661"/>
      <c r="V53" s="662">
        <f t="shared" si="1"/>
        <v>0</v>
      </c>
      <c r="W53" s="663"/>
      <c r="X53" s="664">
        <f t="shared" si="2"/>
        <v>0</v>
      </c>
      <c r="Y53" s="683"/>
      <c r="Z53" s="665"/>
      <c r="AA53" s="684"/>
      <c r="AB53" s="685"/>
      <c r="AC53" s="665"/>
      <c r="AD53" s="686"/>
    </row>
    <row r="54" spans="1:30" s="687" customFormat="1" ht="12.75" customHeight="1">
      <c r="A54" s="677"/>
      <c r="B54" s="677"/>
      <c r="C54" s="678"/>
      <c r="D54" s="678"/>
      <c r="E54" s="678"/>
      <c r="F54" s="678"/>
      <c r="G54" s="679"/>
      <c r="H54" s="679"/>
      <c r="I54" s="680"/>
      <c r="J54" s="681"/>
      <c r="K54" s="678"/>
      <c r="L54" s="665"/>
      <c r="M54" s="665"/>
      <c r="N54" s="688"/>
      <c r="O54" s="685"/>
      <c r="P54" s="685"/>
      <c r="Q54" s="678"/>
      <c r="R54" s="678"/>
      <c r="S54" s="661"/>
      <c r="T54" s="661"/>
      <c r="U54" s="661"/>
      <c r="V54" s="662">
        <f t="shared" si="1"/>
        <v>0</v>
      </c>
      <c r="W54" s="663"/>
      <c r="X54" s="664">
        <f t="shared" si="2"/>
        <v>0</v>
      </c>
      <c r="Y54" s="683"/>
      <c r="Z54" s="665"/>
      <c r="AA54" s="684"/>
      <c r="AB54" s="685"/>
      <c r="AC54" s="665"/>
      <c r="AD54" s="686"/>
    </row>
    <row r="55" spans="1:30" s="687" customFormat="1" ht="12.75" customHeight="1">
      <c r="A55" s="677"/>
      <c r="B55" s="677"/>
      <c r="C55" s="678"/>
      <c r="D55" s="678"/>
      <c r="E55" s="678"/>
      <c r="F55" s="678"/>
      <c r="G55" s="679"/>
      <c r="H55" s="679"/>
      <c r="I55" s="680"/>
      <c r="J55" s="681"/>
      <c r="K55" s="678"/>
      <c r="L55" s="665"/>
      <c r="M55" s="665"/>
      <c r="N55" s="688"/>
      <c r="O55" s="685"/>
      <c r="P55" s="685"/>
      <c r="Q55" s="678"/>
      <c r="R55" s="678"/>
      <c r="S55" s="661"/>
      <c r="T55" s="661"/>
      <c r="U55" s="661"/>
      <c r="V55" s="662">
        <f t="shared" si="1"/>
        <v>0</v>
      </c>
      <c r="W55" s="663"/>
      <c r="X55" s="664">
        <f t="shared" si="2"/>
        <v>0</v>
      </c>
      <c r="Y55" s="683"/>
      <c r="Z55" s="665"/>
      <c r="AA55" s="684"/>
      <c r="AB55" s="685"/>
      <c r="AC55" s="665"/>
      <c r="AD55" s="686"/>
    </row>
    <row r="56" spans="1:30" s="687" customFormat="1" ht="12.75" customHeight="1">
      <c r="A56" s="677"/>
      <c r="B56" s="677"/>
      <c r="C56" s="678"/>
      <c r="D56" s="678"/>
      <c r="E56" s="678"/>
      <c r="F56" s="678"/>
      <c r="G56" s="679"/>
      <c r="H56" s="679"/>
      <c r="I56" s="680"/>
      <c r="J56" s="681"/>
      <c r="K56" s="678"/>
      <c r="L56" s="665"/>
      <c r="M56" s="665"/>
      <c r="N56" s="688"/>
      <c r="O56" s="685"/>
      <c r="P56" s="685"/>
      <c r="Q56" s="678"/>
      <c r="R56" s="678"/>
      <c r="S56" s="661"/>
      <c r="T56" s="661"/>
      <c r="U56" s="661"/>
      <c r="V56" s="662">
        <f t="shared" si="1"/>
        <v>0</v>
      </c>
      <c r="W56" s="663"/>
      <c r="X56" s="664">
        <f t="shared" si="2"/>
        <v>0</v>
      </c>
      <c r="Y56" s="683"/>
      <c r="Z56" s="665"/>
      <c r="AA56" s="684"/>
      <c r="AB56" s="685"/>
      <c r="AC56" s="665"/>
      <c r="AD56" s="686"/>
    </row>
    <row r="57" spans="1:30" s="687" customFormat="1" ht="12.75" customHeight="1">
      <c r="A57" s="677"/>
      <c r="B57" s="677"/>
      <c r="C57" s="678"/>
      <c r="D57" s="678"/>
      <c r="E57" s="678"/>
      <c r="F57" s="678"/>
      <c r="G57" s="679"/>
      <c r="H57" s="679"/>
      <c r="I57" s="680"/>
      <c r="J57" s="681"/>
      <c r="K57" s="678"/>
      <c r="L57" s="665"/>
      <c r="M57" s="665"/>
      <c r="N57" s="688"/>
      <c r="O57" s="685"/>
      <c r="P57" s="685"/>
      <c r="Q57" s="678"/>
      <c r="R57" s="678"/>
      <c r="S57" s="661"/>
      <c r="T57" s="661"/>
      <c r="U57" s="661"/>
      <c r="V57" s="662">
        <f t="shared" si="1"/>
        <v>0</v>
      </c>
      <c r="W57" s="663"/>
      <c r="X57" s="664">
        <f t="shared" si="2"/>
        <v>0</v>
      </c>
      <c r="Y57" s="683"/>
      <c r="Z57" s="665"/>
      <c r="AA57" s="684"/>
      <c r="AB57" s="685"/>
      <c r="AC57" s="665"/>
      <c r="AD57" s="686"/>
    </row>
    <row r="58" spans="1:30" s="687" customFormat="1" ht="12.75" customHeight="1">
      <c r="A58" s="677"/>
      <c r="B58" s="677"/>
      <c r="C58" s="678"/>
      <c r="D58" s="678"/>
      <c r="E58" s="678"/>
      <c r="F58" s="678"/>
      <c r="G58" s="679"/>
      <c r="H58" s="679"/>
      <c r="I58" s="680"/>
      <c r="J58" s="681"/>
      <c r="K58" s="678"/>
      <c r="L58" s="665"/>
      <c r="M58" s="665"/>
      <c r="N58" s="688"/>
      <c r="O58" s="685"/>
      <c r="P58" s="685"/>
      <c r="Q58" s="678"/>
      <c r="R58" s="678"/>
      <c r="S58" s="661"/>
      <c r="T58" s="661"/>
      <c r="U58" s="661"/>
      <c r="V58" s="662">
        <f t="shared" si="1"/>
        <v>0</v>
      </c>
      <c r="W58" s="663"/>
      <c r="X58" s="664">
        <f t="shared" si="2"/>
        <v>0</v>
      </c>
      <c r="Y58" s="683"/>
      <c r="Z58" s="665"/>
      <c r="AA58" s="684"/>
      <c r="AB58" s="685"/>
      <c r="AC58" s="665"/>
      <c r="AD58" s="686"/>
    </row>
    <row r="59" spans="1:30" s="687" customFormat="1" ht="12.75" customHeight="1">
      <c r="A59" s="677"/>
      <c r="B59" s="677"/>
      <c r="C59" s="678"/>
      <c r="D59" s="678"/>
      <c r="E59" s="678"/>
      <c r="F59" s="678"/>
      <c r="G59" s="679"/>
      <c r="H59" s="679"/>
      <c r="I59" s="680"/>
      <c r="J59" s="681"/>
      <c r="K59" s="678"/>
      <c r="L59" s="665"/>
      <c r="M59" s="665"/>
      <c r="N59" s="688"/>
      <c r="O59" s="685"/>
      <c r="P59" s="685"/>
      <c r="Q59" s="678"/>
      <c r="R59" s="678"/>
      <c r="S59" s="661"/>
      <c r="T59" s="661"/>
      <c r="U59" s="661"/>
      <c r="V59" s="662">
        <f t="shared" ref="V59:V122" si="8">SUM(S59:U59)</f>
        <v>0</v>
      </c>
      <c r="W59" s="663"/>
      <c r="X59" s="664">
        <f t="shared" si="2"/>
        <v>0</v>
      </c>
      <c r="Y59" s="683"/>
      <c r="Z59" s="665"/>
      <c r="AA59" s="684"/>
      <c r="AB59" s="685"/>
      <c r="AC59" s="665"/>
      <c r="AD59" s="686"/>
    </row>
    <row r="60" spans="1:30" s="687" customFormat="1" ht="12.75" customHeight="1">
      <c r="A60" s="677"/>
      <c r="B60" s="677"/>
      <c r="C60" s="678"/>
      <c r="D60" s="678"/>
      <c r="E60" s="678"/>
      <c r="F60" s="678"/>
      <c r="G60" s="679"/>
      <c r="H60" s="679"/>
      <c r="I60" s="680"/>
      <c r="J60" s="681"/>
      <c r="K60" s="678"/>
      <c r="L60" s="665"/>
      <c r="M60" s="665"/>
      <c r="N60" s="688"/>
      <c r="O60" s="685"/>
      <c r="P60" s="685"/>
      <c r="Q60" s="678"/>
      <c r="R60" s="678"/>
      <c r="S60" s="661"/>
      <c r="T60" s="661"/>
      <c r="U60" s="661"/>
      <c r="V60" s="662">
        <f t="shared" si="8"/>
        <v>0</v>
      </c>
      <c r="W60" s="663"/>
      <c r="X60" s="664">
        <f t="shared" ref="X60:X123" si="9">V60*W60</f>
        <v>0</v>
      </c>
      <c r="Y60" s="683"/>
      <c r="Z60" s="665"/>
      <c r="AA60" s="684"/>
      <c r="AB60" s="685"/>
      <c r="AC60" s="665"/>
      <c r="AD60" s="686"/>
    </row>
    <row r="61" spans="1:30" s="687" customFormat="1" ht="12.75" customHeight="1">
      <c r="A61" s="677"/>
      <c r="B61" s="677"/>
      <c r="C61" s="678"/>
      <c r="D61" s="678"/>
      <c r="E61" s="678"/>
      <c r="F61" s="678"/>
      <c r="G61" s="679"/>
      <c r="H61" s="679"/>
      <c r="I61" s="680"/>
      <c r="J61" s="681"/>
      <c r="K61" s="678"/>
      <c r="L61" s="665"/>
      <c r="M61" s="665"/>
      <c r="N61" s="688"/>
      <c r="O61" s="685"/>
      <c r="P61" s="685"/>
      <c r="Q61" s="678"/>
      <c r="R61" s="678"/>
      <c r="S61" s="661"/>
      <c r="T61" s="661"/>
      <c r="U61" s="661"/>
      <c r="V61" s="662">
        <f t="shared" si="8"/>
        <v>0</v>
      </c>
      <c r="W61" s="663"/>
      <c r="X61" s="664">
        <f t="shared" si="9"/>
        <v>0</v>
      </c>
      <c r="Y61" s="683"/>
      <c r="Z61" s="665"/>
      <c r="AA61" s="684"/>
      <c r="AB61" s="685"/>
      <c r="AC61" s="665"/>
      <c r="AD61" s="686"/>
    </row>
    <row r="62" spans="1:30" s="687" customFormat="1" ht="12.75" customHeight="1">
      <c r="A62" s="677"/>
      <c r="B62" s="677"/>
      <c r="C62" s="678"/>
      <c r="D62" s="678"/>
      <c r="E62" s="678"/>
      <c r="F62" s="678"/>
      <c r="G62" s="679"/>
      <c r="H62" s="679"/>
      <c r="I62" s="680"/>
      <c r="J62" s="681"/>
      <c r="K62" s="678"/>
      <c r="L62" s="665"/>
      <c r="M62" s="665"/>
      <c r="N62" s="688"/>
      <c r="O62" s="685"/>
      <c r="P62" s="685"/>
      <c r="Q62" s="678"/>
      <c r="R62" s="678"/>
      <c r="S62" s="661"/>
      <c r="T62" s="661"/>
      <c r="U62" s="661"/>
      <c r="V62" s="662">
        <f t="shared" si="8"/>
        <v>0</v>
      </c>
      <c r="W62" s="663"/>
      <c r="X62" s="664">
        <f t="shared" si="9"/>
        <v>0</v>
      </c>
      <c r="Y62" s="683"/>
      <c r="Z62" s="665"/>
      <c r="AA62" s="684"/>
      <c r="AB62" s="685"/>
      <c r="AC62" s="665"/>
      <c r="AD62" s="686"/>
    </row>
    <row r="63" spans="1:30" s="687" customFormat="1" ht="12.75" customHeight="1">
      <c r="A63" s="677"/>
      <c r="B63" s="677"/>
      <c r="C63" s="678"/>
      <c r="D63" s="678"/>
      <c r="E63" s="678"/>
      <c r="F63" s="678"/>
      <c r="G63" s="679"/>
      <c r="H63" s="679"/>
      <c r="I63" s="680"/>
      <c r="J63" s="681"/>
      <c r="K63" s="678"/>
      <c r="L63" s="665"/>
      <c r="M63" s="665"/>
      <c r="N63" s="688"/>
      <c r="O63" s="685"/>
      <c r="P63" s="685"/>
      <c r="Q63" s="678"/>
      <c r="R63" s="678"/>
      <c r="S63" s="661"/>
      <c r="T63" s="661"/>
      <c r="U63" s="661"/>
      <c r="V63" s="662">
        <f t="shared" si="8"/>
        <v>0</v>
      </c>
      <c r="W63" s="663"/>
      <c r="X63" s="664">
        <f t="shared" si="9"/>
        <v>0</v>
      </c>
      <c r="Y63" s="683"/>
      <c r="Z63" s="665"/>
      <c r="AA63" s="684"/>
      <c r="AB63" s="685"/>
      <c r="AC63" s="665"/>
      <c r="AD63" s="686"/>
    </row>
    <row r="64" spans="1:30" s="687" customFormat="1" ht="12.75" customHeight="1">
      <c r="A64" s="677"/>
      <c r="B64" s="677"/>
      <c r="C64" s="678"/>
      <c r="D64" s="678"/>
      <c r="E64" s="678"/>
      <c r="F64" s="678"/>
      <c r="G64" s="679"/>
      <c r="H64" s="679"/>
      <c r="I64" s="680"/>
      <c r="J64" s="681"/>
      <c r="K64" s="678"/>
      <c r="L64" s="665"/>
      <c r="M64" s="665"/>
      <c r="N64" s="688"/>
      <c r="O64" s="685"/>
      <c r="P64" s="685"/>
      <c r="Q64" s="678"/>
      <c r="R64" s="678"/>
      <c r="S64" s="661"/>
      <c r="T64" s="661"/>
      <c r="U64" s="661"/>
      <c r="V64" s="662">
        <f t="shared" si="8"/>
        <v>0</v>
      </c>
      <c r="W64" s="663"/>
      <c r="X64" s="664">
        <f t="shared" si="9"/>
        <v>0</v>
      </c>
      <c r="Y64" s="683"/>
      <c r="Z64" s="665"/>
      <c r="AA64" s="684"/>
      <c r="AB64" s="685"/>
      <c r="AC64" s="665"/>
      <c r="AD64" s="686"/>
    </row>
    <row r="65" spans="1:30" s="687" customFormat="1" ht="12.75" customHeight="1">
      <c r="A65" s="677"/>
      <c r="B65" s="677"/>
      <c r="C65" s="678"/>
      <c r="D65" s="678"/>
      <c r="E65" s="678"/>
      <c r="F65" s="678"/>
      <c r="G65" s="679"/>
      <c r="H65" s="679"/>
      <c r="I65" s="680"/>
      <c r="J65" s="681"/>
      <c r="K65" s="678"/>
      <c r="L65" s="665"/>
      <c r="M65" s="665"/>
      <c r="N65" s="688"/>
      <c r="O65" s="685"/>
      <c r="P65" s="685"/>
      <c r="Q65" s="678"/>
      <c r="R65" s="678"/>
      <c r="S65" s="661"/>
      <c r="T65" s="661"/>
      <c r="U65" s="661"/>
      <c r="V65" s="662">
        <f t="shared" si="8"/>
        <v>0</v>
      </c>
      <c r="W65" s="663"/>
      <c r="X65" s="664">
        <f t="shared" si="9"/>
        <v>0</v>
      </c>
      <c r="Y65" s="683"/>
      <c r="Z65" s="665"/>
      <c r="AA65" s="684"/>
      <c r="AB65" s="685"/>
      <c r="AC65" s="665"/>
      <c r="AD65" s="686"/>
    </row>
    <row r="66" spans="1:30" s="687" customFormat="1" ht="12.75" customHeight="1">
      <c r="A66" s="677"/>
      <c r="B66" s="677"/>
      <c r="C66" s="678"/>
      <c r="D66" s="678"/>
      <c r="E66" s="678"/>
      <c r="F66" s="678"/>
      <c r="G66" s="679"/>
      <c r="H66" s="679"/>
      <c r="I66" s="680"/>
      <c r="J66" s="681"/>
      <c r="K66" s="678"/>
      <c r="L66" s="665"/>
      <c r="M66" s="665"/>
      <c r="N66" s="688"/>
      <c r="O66" s="685"/>
      <c r="P66" s="685"/>
      <c r="Q66" s="678"/>
      <c r="R66" s="678"/>
      <c r="S66" s="661"/>
      <c r="T66" s="661"/>
      <c r="U66" s="661"/>
      <c r="V66" s="662">
        <f t="shared" si="8"/>
        <v>0</v>
      </c>
      <c r="W66" s="663"/>
      <c r="X66" s="664">
        <f t="shared" si="9"/>
        <v>0</v>
      </c>
      <c r="Y66" s="683"/>
      <c r="Z66" s="665"/>
      <c r="AA66" s="684"/>
      <c r="AB66" s="685"/>
      <c r="AC66" s="665"/>
      <c r="AD66" s="686"/>
    </row>
    <row r="67" spans="1:30" s="687" customFormat="1" ht="12.75" customHeight="1">
      <c r="A67" s="677"/>
      <c r="B67" s="677"/>
      <c r="C67" s="678"/>
      <c r="D67" s="678"/>
      <c r="E67" s="678"/>
      <c r="F67" s="678"/>
      <c r="G67" s="679"/>
      <c r="H67" s="679"/>
      <c r="I67" s="680"/>
      <c r="J67" s="681"/>
      <c r="K67" s="678"/>
      <c r="L67" s="665"/>
      <c r="M67" s="665"/>
      <c r="N67" s="688"/>
      <c r="O67" s="685"/>
      <c r="P67" s="685"/>
      <c r="Q67" s="678"/>
      <c r="R67" s="678"/>
      <c r="S67" s="661"/>
      <c r="T67" s="661"/>
      <c r="U67" s="661"/>
      <c r="V67" s="662">
        <f t="shared" si="8"/>
        <v>0</v>
      </c>
      <c r="W67" s="663"/>
      <c r="X67" s="664">
        <f t="shared" si="9"/>
        <v>0</v>
      </c>
      <c r="Y67" s="683"/>
      <c r="Z67" s="665"/>
      <c r="AA67" s="684"/>
      <c r="AB67" s="685"/>
      <c r="AC67" s="665"/>
      <c r="AD67" s="686"/>
    </row>
    <row r="68" spans="1:30" s="687" customFormat="1" ht="12.75" customHeight="1">
      <c r="A68" s="677"/>
      <c r="B68" s="677"/>
      <c r="C68" s="678"/>
      <c r="D68" s="678"/>
      <c r="E68" s="678"/>
      <c r="F68" s="678"/>
      <c r="G68" s="679"/>
      <c r="H68" s="679"/>
      <c r="I68" s="680"/>
      <c r="J68" s="681"/>
      <c r="K68" s="678"/>
      <c r="L68" s="665"/>
      <c r="M68" s="665"/>
      <c r="N68" s="688"/>
      <c r="O68" s="685"/>
      <c r="P68" s="685"/>
      <c r="Q68" s="678"/>
      <c r="R68" s="678"/>
      <c r="S68" s="661"/>
      <c r="T68" s="661"/>
      <c r="U68" s="661"/>
      <c r="V68" s="662">
        <f t="shared" si="8"/>
        <v>0</v>
      </c>
      <c r="W68" s="663"/>
      <c r="X68" s="664">
        <f t="shared" si="9"/>
        <v>0</v>
      </c>
      <c r="Y68" s="683"/>
      <c r="Z68" s="665"/>
      <c r="AA68" s="684"/>
      <c r="AB68" s="685"/>
      <c r="AC68" s="665"/>
      <c r="AD68" s="686"/>
    </row>
    <row r="69" spans="1:30" s="687" customFormat="1" ht="12.75" customHeight="1">
      <c r="A69" s="677"/>
      <c r="B69" s="677"/>
      <c r="C69" s="678"/>
      <c r="D69" s="678"/>
      <c r="E69" s="678"/>
      <c r="F69" s="678"/>
      <c r="G69" s="679"/>
      <c r="H69" s="679"/>
      <c r="I69" s="680"/>
      <c r="J69" s="681"/>
      <c r="K69" s="678"/>
      <c r="L69" s="665"/>
      <c r="M69" s="665"/>
      <c r="N69" s="688"/>
      <c r="O69" s="685"/>
      <c r="P69" s="685"/>
      <c r="Q69" s="678"/>
      <c r="R69" s="678"/>
      <c r="S69" s="661"/>
      <c r="T69" s="661"/>
      <c r="U69" s="661"/>
      <c r="V69" s="662">
        <f t="shared" si="8"/>
        <v>0</v>
      </c>
      <c r="W69" s="663"/>
      <c r="X69" s="664">
        <f t="shared" si="9"/>
        <v>0</v>
      </c>
      <c r="Y69" s="683"/>
      <c r="Z69" s="665"/>
      <c r="AA69" s="684"/>
      <c r="AB69" s="685"/>
      <c r="AC69" s="665"/>
      <c r="AD69" s="686"/>
    </row>
    <row r="70" spans="1:30" s="687" customFormat="1" ht="12.75" customHeight="1">
      <c r="A70" s="677"/>
      <c r="B70" s="677"/>
      <c r="C70" s="678"/>
      <c r="D70" s="678"/>
      <c r="E70" s="678"/>
      <c r="F70" s="678"/>
      <c r="G70" s="679"/>
      <c r="H70" s="679"/>
      <c r="I70" s="680"/>
      <c r="J70" s="681"/>
      <c r="K70" s="678"/>
      <c r="L70" s="665"/>
      <c r="M70" s="665"/>
      <c r="N70" s="688"/>
      <c r="O70" s="685"/>
      <c r="P70" s="685"/>
      <c r="Q70" s="678"/>
      <c r="R70" s="678"/>
      <c r="S70" s="661"/>
      <c r="T70" s="661"/>
      <c r="U70" s="661"/>
      <c r="V70" s="662">
        <f t="shared" si="8"/>
        <v>0</v>
      </c>
      <c r="W70" s="663"/>
      <c r="X70" s="664">
        <f t="shared" si="9"/>
        <v>0</v>
      </c>
      <c r="Y70" s="683"/>
      <c r="Z70" s="665"/>
      <c r="AA70" s="684"/>
      <c r="AB70" s="685"/>
      <c r="AC70" s="665"/>
      <c r="AD70" s="686"/>
    </row>
    <row r="71" spans="1:30" s="687" customFormat="1" ht="12.75" customHeight="1">
      <c r="A71" s="677"/>
      <c r="B71" s="677"/>
      <c r="C71" s="678"/>
      <c r="D71" s="678"/>
      <c r="E71" s="678"/>
      <c r="F71" s="678"/>
      <c r="G71" s="679"/>
      <c r="H71" s="679"/>
      <c r="I71" s="680"/>
      <c r="J71" s="681"/>
      <c r="K71" s="678"/>
      <c r="L71" s="665"/>
      <c r="M71" s="665"/>
      <c r="N71" s="688"/>
      <c r="O71" s="685"/>
      <c r="P71" s="685"/>
      <c r="Q71" s="678"/>
      <c r="R71" s="678"/>
      <c r="S71" s="661"/>
      <c r="T71" s="661"/>
      <c r="U71" s="661"/>
      <c r="V71" s="662">
        <f t="shared" si="8"/>
        <v>0</v>
      </c>
      <c r="W71" s="663"/>
      <c r="X71" s="664">
        <f t="shared" si="9"/>
        <v>0</v>
      </c>
      <c r="Y71" s="683"/>
      <c r="Z71" s="665"/>
      <c r="AA71" s="684"/>
      <c r="AB71" s="685"/>
      <c r="AC71" s="665"/>
      <c r="AD71" s="686"/>
    </row>
    <row r="72" spans="1:30" s="687" customFormat="1" ht="12.75" customHeight="1">
      <c r="A72" s="677"/>
      <c r="B72" s="677"/>
      <c r="C72" s="678"/>
      <c r="D72" s="678"/>
      <c r="E72" s="678"/>
      <c r="F72" s="678"/>
      <c r="G72" s="679"/>
      <c r="H72" s="679"/>
      <c r="I72" s="680"/>
      <c r="J72" s="681"/>
      <c r="K72" s="678"/>
      <c r="L72" s="665"/>
      <c r="M72" s="665"/>
      <c r="N72" s="688"/>
      <c r="O72" s="685"/>
      <c r="P72" s="685"/>
      <c r="Q72" s="678"/>
      <c r="R72" s="678"/>
      <c r="S72" s="661"/>
      <c r="T72" s="661"/>
      <c r="U72" s="661"/>
      <c r="V72" s="662">
        <f t="shared" si="8"/>
        <v>0</v>
      </c>
      <c r="W72" s="663"/>
      <c r="X72" s="664">
        <f t="shared" si="9"/>
        <v>0</v>
      </c>
      <c r="Y72" s="683"/>
      <c r="Z72" s="665"/>
      <c r="AA72" s="684"/>
      <c r="AB72" s="685"/>
      <c r="AC72" s="665"/>
      <c r="AD72" s="686"/>
    </row>
    <row r="73" spans="1:30" s="687" customFormat="1" ht="12.75" customHeight="1">
      <c r="A73" s="677"/>
      <c r="B73" s="677"/>
      <c r="C73" s="678"/>
      <c r="D73" s="678"/>
      <c r="E73" s="678"/>
      <c r="F73" s="678"/>
      <c r="G73" s="679"/>
      <c r="H73" s="679"/>
      <c r="I73" s="680"/>
      <c r="J73" s="681"/>
      <c r="K73" s="678"/>
      <c r="L73" s="665"/>
      <c r="M73" s="665"/>
      <c r="N73" s="688"/>
      <c r="O73" s="685"/>
      <c r="P73" s="685"/>
      <c r="Q73" s="678"/>
      <c r="R73" s="678"/>
      <c r="S73" s="661"/>
      <c r="T73" s="661"/>
      <c r="U73" s="661"/>
      <c r="V73" s="662">
        <f t="shared" si="8"/>
        <v>0</v>
      </c>
      <c r="W73" s="663"/>
      <c r="X73" s="664">
        <f t="shared" si="9"/>
        <v>0</v>
      </c>
      <c r="Y73" s="683"/>
      <c r="Z73" s="665"/>
      <c r="AA73" s="684"/>
      <c r="AB73" s="685"/>
      <c r="AC73" s="665"/>
      <c r="AD73" s="686"/>
    </row>
    <row r="74" spans="1:30" s="687" customFormat="1" ht="12.75" customHeight="1">
      <c r="A74" s="677"/>
      <c r="B74" s="677"/>
      <c r="C74" s="678"/>
      <c r="D74" s="678"/>
      <c r="E74" s="678"/>
      <c r="F74" s="678"/>
      <c r="G74" s="679"/>
      <c r="H74" s="679"/>
      <c r="I74" s="680"/>
      <c r="J74" s="681"/>
      <c r="K74" s="678"/>
      <c r="L74" s="665"/>
      <c r="M74" s="665"/>
      <c r="N74" s="688"/>
      <c r="O74" s="685"/>
      <c r="P74" s="685"/>
      <c r="Q74" s="678"/>
      <c r="R74" s="678"/>
      <c r="S74" s="661"/>
      <c r="T74" s="661"/>
      <c r="U74" s="661"/>
      <c r="V74" s="662">
        <f t="shared" si="8"/>
        <v>0</v>
      </c>
      <c r="W74" s="663"/>
      <c r="X74" s="664">
        <f t="shared" si="9"/>
        <v>0</v>
      </c>
      <c r="Y74" s="683"/>
      <c r="Z74" s="665"/>
      <c r="AA74" s="684"/>
      <c r="AB74" s="685"/>
      <c r="AC74" s="665"/>
      <c r="AD74" s="686"/>
    </row>
    <row r="75" spans="1:30" s="687" customFormat="1" ht="12.75" customHeight="1">
      <c r="A75" s="677"/>
      <c r="B75" s="677"/>
      <c r="C75" s="678"/>
      <c r="D75" s="678"/>
      <c r="E75" s="678"/>
      <c r="F75" s="678"/>
      <c r="G75" s="679"/>
      <c r="H75" s="679"/>
      <c r="I75" s="680"/>
      <c r="J75" s="681"/>
      <c r="K75" s="678"/>
      <c r="L75" s="665"/>
      <c r="M75" s="665"/>
      <c r="N75" s="688"/>
      <c r="O75" s="685"/>
      <c r="P75" s="685"/>
      <c r="Q75" s="678"/>
      <c r="R75" s="678"/>
      <c r="S75" s="661"/>
      <c r="T75" s="661"/>
      <c r="U75" s="661"/>
      <c r="V75" s="662">
        <f t="shared" si="8"/>
        <v>0</v>
      </c>
      <c r="W75" s="663"/>
      <c r="X75" s="664">
        <f t="shared" si="9"/>
        <v>0</v>
      </c>
      <c r="Y75" s="683"/>
      <c r="Z75" s="665"/>
      <c r="AA75" s="684"/>
      <c r="AB75" s="685"/>
      <c r="AC75" s="665"/>
      <c r="AD75" s="686"/>
    </row>
    <row r="76" spans="1:30" s="687" customFormat="1" ht="12.75" customHeight="1">
      <c r="A76" s="677"/>
      <c r="B76" s="677"/>
      <c r="C76" s="678"/>
      <c r="D76" s="678"/>
      <c r="E76" s="678"/>
      <c r="F76" s="678"/>
      <c r="G76" s="679"/>
      <c r="H76" s="679"/>
      <c r="I76" s="680"/>
      <c r="J76" s="681"/>
      <c r="K76" s="678"/>
      <c r="L76" s="665"/>
      <c r="M76" s="665"/>
      <c r="N76" s="688"/>
      <c r="O76" s="685"/>
      <c r="P76" s="685"/>
      <c r="Q76" s="678"/>
      <c r="R76" s="678"/>
      <c r="S76" s="661"/>
      <c r="T76" s="661"/>
      <c r="U76" s="661"/>
      <c r="V76" s="662">
        <f t="shared" si="8"/>
        <v>0</v>
      </c>
      <c r="W76" s="663"/>
      <c r="X76" s="664">
        <f t="shared" si="9"/>
        <v>0</v>
      </c>
      <c r="Y76" s="683"/>
      <c r="Z76" s="665"/>
      <c r="AA76" s="684"/>
      <c r="AB76" s="685"/>
      <c r="AC76" s="665"/>
      <c r="AD76" s="686"/>
    </row>
    <row r="77" spans="1:30" s="687" customFormat="1" ht="12.75" customHeight="1">
      <c r="A77" s="677"/>
      <c r="B77" s="677"/>
      <c r="C77" s="678"/>
      <c r="D77" s="678"/>
      <c r="E77" s="678"/>
      <c r="F77" s="678"/>
      <c r="G77" s="679"/>
      <c r="H77" s="679"/>
      <c r="I77" s="680"/>
      <c r="J77" s="681"/>
      <c r="K77" s="678"/>
      <c r="L77" s="665"/>
      <c r="M77" s="665"/>
      <c r="N77" s="688"/>
      <c r="O77" s="685"/>
      <c r="P77" s="685"/>
      <c r="Q77" s="678"/>
      <c r="R77" s="678"/>
      <c r="S77" s="661"/>
      <c r="T77" s="661"/>
      <c r="U77" s="661"/>
      <c r="V77" s="662">
        <f t="shared" si="8"/>
        <v>0</v>
      </c>
      <c r="W77" s="663"/>
      <c r="X77" s="664">
        <f t="shared" si="9"/>
        <v>0</v>
      </c>
      <c r="Y77" s="683"/>
      <c r="Z77" s="665"/>
      <c r="AA77" s="684"/>
      <c r="AB77" s="685"/>
      <c r="AC77" s="665"/>
      <c r="AD77" s="686"/>
    </row>
    <row r="78" spans="1:30" s="687" customFormat="1" ht="12.75" customHeight="1">
      <c r="A78" s="677"/>
      <c r="B78" s="677"/>
      <c r="C78" s="678"/>
      <c r="D78" s="678"/>
      <c r="E78" s="678"/>
      <c r="F78" s="678"/>
      <c r="G78" s="679"/>
      <c r="H78" s="679"/>
      <c r="I78" s="680"/>
      <c r="J78" s="681"/>
      <c r="K78" s="678"/>
      <c r="L78" s="665"/>
      <c r="M78" s="665"/>
      <c r="N78" s="688"/>
      <c r="O78" s="685"/>
      <c r="P78" s="685"/>
      <c r="Q78" s="678"/>
      <c r="R78" s="678"/>
      <c r="S78" s="661"/>
      <c r="T78" s="661"/>
      <c r="U78" s="661"/>
      <c r="V78" s="662">
        <f t="shared" si="8"/>
        <v>0</v>
      </c>
      <c r="W78" s="663"/>
      <c r="X78" s="664">
        <f t="shared" si="9"/>
        <v>0</v>
      </c>
      <c r="Y78" s="683"/>
      <c r="Z78" s="665"/>
      <c r="AA78" s="684"/>
      <c r="AB78" s="685"/>
      <c r="AC78" s="665"/>
      <c r="AD78" s="686"/>
    </row>
    <row r="79" spans="1:30" s="687" customFormat="1" ht="12.75" customHeight="1">
      <c r="A79" s="677"/>
      <c r="B79" s="677"/>
      <c r="C79" s="678"/>
      <c r="D79" s="678"/>
      <c r="E79" s="678"/>
      <c r="F79" s="678"/>
      <c r="G79" s="679"/>
      <c r="H79" s="679"/>
      <c r="I79" s="680"/>
      <c r="J79" s="681"/>
      <c r="K79" s="678"/>
      <c r="L79" s="665"/>
      <c r="M79" s="665"/>
      <c r="N79" s="688"/>
      <c r="O79" s="685"/>
      <c r="P79" s="685"/>
      <c r="Q79" s="678"/>
      <c r="R79" s="678"/>
      <c r="S79" s="661"/>
      <c r="T79" s="661"/>
      <c r="U79" s="661"/>
      <c r="V79" s="662">
        <f t="shared" si="8"/>
        <v>0</v>
      </c>
      <c r="W79" s="663"/>
      <c r="X79" s="664">
        <f t="shared" si="9"/>
        <v>0</v>
      </c>
      <c r="Y79" s="683"/>
      <c r="Z79" s="665"/>
      <c r="AA79" s="684"/>
      <c r="AB79" s="685"/>
      <c r="AC79" s="665"/>
      <c r="AD79" s="686"/>
    </row>
    <row r="80" spans="1:30" s="687" customFormat="1" ht="12.75" customHeight="1">
      <c r="A80" s="677"/>
      <c r="B80" s="677"/>
      <c r="C80" s="678"/>
      <c r="D80" s="678"/>
      <c r="E80" s="678"/>
      <c r="F80" s="678"/>
      <c r="G80" s="679"/>
      <c r="H80" s="679"/>
      <c r="I80" s="680"/>
      <c r="J80" s="681"/>
      <c r="K80" s="678"/>
      <c r="L80" s="665"/>
      <c r="M80" s="665"/>
      <c r="N80" s="688"/>
      <c r="O80" s="685"/>
      <c r="P80" s="685"/>
      <c r="Q80" s="678"/>
      <c r="R80" s="678"/>
      <c r="S80" s="661"/>
      <c r="T80" s="661"/>
      <c r="U80" s="661"/>
      <c r="V80" s="662">
        <f t="shared" si="8"/>
        <v>0</v>
      </c>
      <c r="W80" s="663"/>
      <c r="X80" s="664">
        <f t="shared" si="9"/>
        <v>0</v>
      </c>
      <c r="Y80" s="683"/>
      <c r="Z80" s="665"/>
      <c r="AA80" s="684"/>
      <c r="AB80" s="685"/>
      <c r="AC80" s="665"/>
      <c r="AD80" s="686"/>
    </row>
    <row r="81" spans="1:30" s="687" customFormat="1" ht="12.75" customHeight="1">
      <c r="A81" s="677"/>
      <c r="B81" s="677"/>
      <c r="C81" s="678"/>
      <c r="D81" s="678"/>
      <c r="E81" s="678"/>
      <c r="F81" s="678"/>
      <c r="G81" s="679"/>
      <c r="H81" s="679"/>
      <c r="I81" s="680"/>
      <c r="J81" s="681"/>
      <c r="K81" s="678"/>
      <c r="L81" s="665"/>
      <c r="M81" s="665"/>
      <c r="N81" s="688"/>
      <c r="O81" s="685"/>
      <c r="P81" s="685"/>
      <c r="Q81" s="678"/>
      <c r="R81" s="678"/>
      <c r="S81" s="661"/>
      <c r="T81" s="661"/>
      <c r="U81" s="661"/>
      <c r="V81" s="662">
        <f t="shared" si="8"/>
        <v>0</v>
      </c>
      <c r="W81" s="663"/>
      <c r="X81" s="664">
        <f t="shared" si="9"/>
        <v>0</v>
      </c>
      <c r="Y81" s="683"/>
      <c r="Z81" s="665"/>
      <c r="AA81" s="684"/>
      <c r="AB81" s="685"/>
      <c r="AC81" s="665"/>
      <c r="AD81" s="686"/>
    </row>
    <row r="82" spans="1:30" s="687" customFormat="1" ht="12.75" customHeight="1">
      <c r="A82" s="677"/>
      <c r="B82" s="677"/>
      <c r="C82" s="678"/>
      <c r="D82" s="678"/>
      <c r="E82" s="678"/>
      <c r="F82" s="678"/>
      <c r="G82" s="679"/>
      <c r="H82" s="679"/>
      <c r="I82" s="680"/>
      <c r="J82" s="681"/>
      <c r="K82" s="678"/>
      <c r="L82" s="665"/>
      <c r="M82" s="665"/>
      <c r="N82" s="688"/>
      <c r="O82" s="685"/>
      <c r="P82" s="685"/>
      <c r="Q82" s="678"/>
      <c r="R82" s="678"/>
      <c r="S82" s="661"/>
      <c r="T82" s="661"/>
      <c r="U82" s="661"/>
      <c r="V82" s="662">
        <f t="shared" si="8"/>
        <v>0</v>
      </c>
      <c r="W82" s="663"/>
      <c r="X82" s="664">
        <f t="shared" si="9"/>
        <v>0</v>
      </c>
      <c r="Y82" s="683"/>
      <c r="Z82" s="665"/>
      <c r="AA82" s="684"/>
      <c r="AB82" s="685"/>
      <c r="AC82" s="665"/>
      <c r="AD82" s="686"/>
    </row>
    <row r="83" spans="1:30" s="687" customFormat="1" ht="12.75" customHeight="1">
      <c r="A83" s="677"/>
      <c r="B83" s="677"/>
      <c r="C83" s="678"/>
      <c r="D83" s="678"/>
      <c r="E83" s="678"/>
      <c r="F83" s="678"/>
      <c r="G83" s="679"/>
      <c r="H83" s="679"/>
      <c r="I83" s="680"/>
      <c r="J83" s="681"/>
      <c r="K83" s="678"/>
      <c r="L83" s="665"/>
      <c r="M83" s="665"/>
      <c r="N83" s="688"/>
      <c r="O83" s="685"/>
      <c r="P83" s="685"/>
      <c r="Q83" s="678"/>
      <c r="R83" s="678"/>
      <c r="S83" s="661"/>
      <c r="T83" s="661"/>
      <c r="U83" s="661"/>
      <c r="V83" s="662">
        <f t="shared" si="8"/>
        <v>0</v>
      </c>
      <c r="W83" s="663"/>
      <c r="X83" s="664">
        <f t="shared" si="9"/>
        <v>0</v>
      </c>
      <c r="Y83" s="683"/>
      <c r="Z83" s="665"/>
      <c r="AA83" s="684"/>
      <c r="AB83" s="685"/>
      <c r="AC83" s="665"/>
      <c r="AD83" s="686"/>
    </row>
    <row r="84" spans="1:30" s="687" customFormat="1" ht="12.75" customHeight="1">
      <c r="A84" s="677"/>
      <c r="B84" s="677"/>
      <c r="C84" s="678"/>
      <c r="D84" s="678"/>
      <c r="E84" s="678"/>
      <c r="F84" s="678"/>
      <c r="G84" s="679"/>
      <c r="H84" s="679"/>
      <c r="I84" s="680"/>
      <c r="J84" s="681"/>
      <c r="K84" s="678"/>
      <c r="L84" s="665"/>
      <c r="M84" s="665"/>
      <c r="N84" s="688"/>
      <c r="O84" s="685"/>
      <c r="P84" s="685"/>
      <c r="Q84" s="678"/>
      <c r="R84" s="678"/>
      <c r="S84" s="661"/>
      <c r="T84" s="661"/>
      <c r="U84" s="661"/>
      <c r="V84" s="662">
        <f t="shared" si="8"/>
        <v>0</v>
      </c>
      <c r="W84" s="663"/>
      <c r="X84" s="664">
        <f t="shared" si="9"/>
        <v>0</v>
      </c>
      <c r="Y84" s="683"/>
      <c r="Z84" s="665"/>
      <c r="AA84" s="684"/>
      <c r="AB84" s="685"/>
      <c r="AC84" s="665"/>
      <c r="AD84" s="686"/>
    </row>
    <row r="85" spans="1:30" s="687" customFormat="1" ht="12.75" customHeight="1">
      <c r="A85" s="677"/>
      <c r="B85" s="677"/>
      <c r="C85" s="678"/>
      <c r="D85" s="678"/>
      <c r="E85" s="678"/>
      <c r="F85" s="678"/>
      <c r="G85" s="679"/>
      <c r="H85" s="679"/>
      <c r="I85" s="680"/>
      <c r="J85" s="681"/>
      <c r="K85" s="678"/>
      <c r="L85" s="665"/>
      <c r="M85" s="665"/>
      <c r="N85" s="688"/>
      <c r="O85" s="685"/>
      <c r="P85" s="685"/>
      <c r="Q85" s="678"/>
      <c r="R85" s="678"/>
      <c r="S85" s="661"/>
      <c r="T85" s="661"/>
      <c r="U85" s="661"/>
      <c r="V85" s="662">
        <f t="shared" si="8"/>
        <v>0</v>
      </c>
      <c r="W85" s="663"/>
      <c r="X85" s="664">
        <f t="shared" si="9"/>
        <v>0</v>
      </c>
      <c r="Y85" s="683"/>
      <c r="Z85" s="665"/>
      <c r="AA85" s="684"/>
      <c r="AB85" s="685"/>
      <c r="AC85" s="665"/>
      <c r="AD85" s="686"/>
    </row>
    <row r="86" spans="1:30" s="687" customFormat="1" ht="12.75" customHeight="1">
      <c r="A86" s="677"/>
      <c r="B86" s="677"/>
      <c r="C86" s="678"/>
      <c r="D86" s="678"/>
      <c r="E86" s="678"/>
      <c r="F86" s="678"/>
      <c r="G86" s="679"/>
      <c r="H86" s="679"/>
      <c r="I86" s="680"/>
      <c r="J86" s="681"/>
      <c r="K86" s="678"/>
      <c r="L86" s="665"/>
      <c r="M86" s="665"/>
      <c r="N86" s="688"/>
      <c r="O86" s="685"/>
      <c r="P86" s="685"/>
      <c r="Q86" s="678"/>
      <c r="R86" s="678"/>
      <c r="S86" s="661"/>
      <c r="T86" s="661"/>
      <c r="U86" s="661"/>
      <c r="V86" s="662">
        <f t="shared" si="8"/>
        <v>0</v>
      </c>
      <c r="W86" s="663"/>
      <c r="X86" s="664">
        <f t="shared" si="9"/>
        <v>0</v>
      </c>
      <c r="Y86" s="683"/>
      <c r="Z86" s="665"/>
      <c r="AA86" s="684"/>
      <c r="AB86" s="685"/>
      <c r="AC86" s="665"/>
      <c r="AD86" s="686"/>
    </row>
    <row r="87" spans="1:30" s="687" customFormat="1" ht="12.75" customHeight="1">
      <c r="A87" s="677"/>
      <c r="B87" s="677"/>
      <c r="C87" s="678"/>
      <c r="D87" s="678"/>
      <c r="E87" s="678"/>
      <c r="F87" s="678"/>
      <c r="G87" s="679"/>
      <c r="H87" s="679"/>
      <c r="I87" s="680"/>
      <c r="J87" s="681"/>
      <c r="K87" s="678"/>
      <c r="L87" s="665"/>
      <c r="M87" s="665"/>
      <c r="N87" s="688"/>
      <c r="O87" s="685"/>
      <c r="P87" s="685"/>
      <c r="Q87" s="678"/>
      <c r="R87" s="678"/>
      <c r="S87" s="661"/>
      <c r="T87" s="661"/>
      <c r="U87" s="661"/>
      <c r="V87" s="662">
        <f t="shared" si="8"/>
        <v>0</v>
      </c>
      <c r="W87" s="663"/>
      <c r="X87" s="664">
        <f t="shared" si="9"/>
        <v>0</v>
      </c>
      <c r="Y87" s="683"/>
      <c r="Z87" s="665"/>
      <c r="AA87" s="684"/>
      <c r="AB87" s="685"/>
      <c r="AC87" s="665"/>
      <c r="AD87" s="686"/>
    </row>
    <row r="88" spans="1:30" s="687" customFormat="1" ht="12.75" customHeight="1">
      <c r="A88" s="677"/>
      <c r="B88" s="677"/>
      <c r="C88" s="678"/>
      <c r="D88" s="678"/>
      <c r="E88" s="678"/>
      <c r="F88" s="678"/>
      <c r="G88" s="679"/>
      <c r="H88" s="679"/>
      <c r="I88" s="680"/>
      <c r="J88" s="681"/>
      <c r="K88" s="678"/>
      <c r="L88" s="665"/>
      <c r="M88" s="665"/>
      <c r="N88" s="688"/>
      <c r="O88" s="685"/>
      <c r="P88" s="685"/>
      <c r="Q88" s="678"/>
      <c r="R88" s="678"/>
      <c r="S88" s="661"/>
      <c r="T88" s="661"/>
      <c r="U88" s="661"/>
      <c r="V88" s="662">
        <f t="shared" si="8"/>
        <v>0</v>
      </c>
      <c r="W88" s="663"/>
      <c r="X88" s="664">
        <f t="shared" si="9"/>
        <v>0</v>
      </c>
      <c r="Y88" s="683"/>
      <c r="Z88" s="665"/>
      <c r="AA88" s="684"/>
      <c r="AB88" s="685"/>
      <c r="AC88" s="665"/>
      <c r="AD88" s="686"/>
    </row>
    <row r="89" spans="1:30" s="687" customFormat="1" ht="12.75" customHeight="1">
      <c r="A89" s="677"/>
      <c r="B89" s="677"/>
      <c r="C89" s="678"/>
      <c r="D89" s="678"/>
      <c r="E89" s="678"/>
      <c r="F89" s="678"/>
      <c r="G89" s="679"/>
      <c r="H89" s="679"/>
      <c r="I89" s="680"/>
      <c r="J89" s="681"/>
      <c r="K89" s="678"/>
      <c r="L89" s="665"/>
      <c r="M89" s="665"/>
      <c r="N89" s="688"/>
      <c r="O89" s="685"/>
      <c r="P89" s="685"/>
      <c r="Q89" s="678"/>
      <c r="R89" s="678"/>
      <c r="S89" s="661"/>
      <c r="T89" s="661"/>
      <c r="U89" s="661"/>
      <c r="V89" s="662">
        <f t="shared" si="8"/>
        <v>0</v>
      </c>
      <c r="W89" s="663"/>
      <c r="X89" s="664">
        <f t="shared" si="9"/>
        <v>0</v>
      </c>
      <c r="Y89" s="683"/>
      <c r="Z89" s="665"/>
      <c r="AA89" s="684"/>
      <c r="AB89" s="685"/>
      <c r="AC89" s="665"/>
      <c r="AD89" s="686"/>
    </row>
    <row r="90" spans="1:30" s="687" customFormat="1" ht="12.75" customHeight="1">
      <c r="A90" s="677"/>
      <c r="B90" s="677"/>
      <c r="C90" s="678"/>
      <c r="D90" s="678"/>
      <c r="E90" s="678"/>
      <c r="F90" s="678"/>
      <c r="G90" s="679"/>
      <c r="H90" s="679"/>
      <c r="I90" s="680"/>
      <c r="J90" s="681"/>
      <c r="K90" s="678"/>
      <c r="L90" s="665"/>
      <c r="M90" s="665"/>
      <c r="N90" s="688"/>
      <c r="O90" s="685"/>
      <c r="P90" s="685"/>
      <c r="Q90" s="678"/>
      <c r="R90" s="678"/>
      <c r="S90" s="661"/>
      <c r="T90" s="661"/>
      <c r="U90" s="661"/>
      <c r="V90" s="662">
        <f t="shared" si="8"/>
        <v>0</v>
      </c>
      <c r="W90" s="663"/>
      <c r="X90" s="664">
        <f t="shared" si="9"/>
        <v>0</v>
      </c>
      <c r="Y90" s="683"/>
      <c r="Z90" s="665"/>
      <c r="AA90" s="684"/>
      <c r="AB90" s="685"/>
      <c r="AC90" s="665"/>
      <c r="AD90" s="686"/>
    </row>
    <row r="91" spans="1:30" s="687" customFormat="1" ht="12.75" customHeight="1">
      <c r="A91" s="677"/>
      <c r="B91" s="677"/>
      <c r="C91" s="678"/>
      <c r="D91" s="678"/>
      <c r="E91" s="678"/>
      <c r="F91" s="678"/>
      <c r="G91" s="679"/>
      <c r="H91" s="679"/>
      <c r="I91" s="680"/>
      <c r="J91" s="681"/>
      <c r="K91" s="678"/>
      <c r="L91" s="665"/>
      <c r="M91" s="665"/>
      <c r="N91" s="688"/>
      <c r="O91" s="685"/>
      <c r="P91" s="685"/>
      <c r="Q91" s="678"/>
      <c r="R91" s="678"/>
      <c r="S91" s="661"/>
      <c r="T91" s="661"/>
      <c r="U91" s="661"/>
      <c r="V91" s="662">
        <f t="shared" si="8"/>
        <v>0</v>
      </c>
      <c r="W91" s="663"/>
      <c r="X91" s="664">
        <f t="shared" si="9"/>
        <v>0</v>
      </c>
      <c r="Y91" s="683"/>
      <c r="Z91" s="665"/>
      <c r="AA91" s="684"/>
      <c r="AB91" s="685"/>
      <c r="AC91" s="665"/>
      <c r="AD91" s="686"/>
    </row>
    <row r="92" spans="1:30" s="687" customFormat="1" ht="12.75" customHeight="1">
      <c r="A92" s="677"/>
      <c r="B92" s="677"/>
      <c r="C92" s="678"/>
      <c r="D92" s="678"/>
      <c r="E92" s="678"/>
      <c r="F92" s="678"/>
      <c r="G92" s="679"/>
      <c r="H92" s="679"/>
      <c r="I92" s="680"/>
      <c r="J92" s="681"/>
      <c r="K92" s="678"/>
      <c r="L92" s="665"/>
      <c r="M92" s="665"/>
      <c r="N92" s="688"/>
      <c r="O92" s="685"/>
      <c r="P92" s="685"/>
      <c r="Q92" s="678"/>
      <c r="R92" s="678"/>
      <c r="S92" s="661"/>
      <c r="T92" s="661"/>
      <c r="U92" s="661"/>
      <c r="V92" s="662">
        <f t="shared" si="8"/>
        <v>0</v>
      </c>
      <c r="W92" s="663"/>
      <c r="X92" s="664">
        <f t="shared" si="9"/>
        <v>0</v>
      </c>
      <c r="Y92" s="683"/>
      <c r="Z92" s="665"/>
      <c r="AA92" s="684"/>
      <c r="AB92" s="685"/>
      <c r="AC92" s="665"/>
      <c r="AD92" s="686"/>
    </row>
    <row r="93" spans="1:30" s="687" customFormat="1" ht="12.75" customHeight="1">
      <c r="A93" s="677"/>
      <c r="B93" s="677"/>
      <c r="C93" s="678"/>
      <c r="D93" s="678"/>
      <c r="E93" s="678"/>
      <c r="F93" s="678"/>
      <c r="G93" s="679"/>
      <c r="H93" s="679"/>
      <c r="I93" s="680"/>
      <c r="J93" s="681"/>
      <c r="K93" s="678"/>
      <c r="L93" s="665"/>
      <c r="M93" s="665"/>
      <c r="N93" s="688"/>
      <c r="O93" s="685"/>
      <c r="P93" s="685"/>
      <c r="Q93" s="678"/>
      <c r="R93" s="678"/>
      <c r="S93" s="661"/>
      <c r="T93" s="661"/>
      <c r="U93" s="661"/>
      <c r="V93" s="662">
        <f t="shared" si="8"/>
        <v>0</v>
      </c>
      <c r="W93" s="663"/>
      <c r="X93" s="664">
        <f t="shared" si="9"/>
        <v>0</v>
      </c>
      <c r="Y93" s="683"/>
      <c r="Z93" s="665"/>
      <c r="AA93" s="684"/>
      <c r="AB93" s="685"/>
      <c r="AC93" s="665"/>
      <c r="AD93" s="686"/>
    </row>
    <row r="94" spans="1:30" s="687" customFormat="1" ht="12.75" customHeight="1">
      <c r="A94" s="677"/>
      <c r="B94" s="677"/>
      <c r="C94" s="678"/>
      <c r="D94" s="678"/>
      <c r="E94" s="678"/>
      <c r="F94" s="678"/>
      <c r="G94" s="679"/>
      <c r="H94" s="679"/>
      <c r="I94" s="680"/>
      <c r="J94" s="681"/>
      <c r="K94" s="678"/>
      <c r="L94" s="665"/>
      <c r="M94" s="665"/>
      <c r="N94" s="688"/>
      <c r="O94" s="685"/>
      <c r="P94" s="685"/>
      <c r="Q94" s="678"/>
      <c r="R94" s="678"/>
      <c r="S94" s="661"/>
      <c r="T94" s="661"/>
      <c r="U94" s="661"/>
      <c r="V94" s="662">
        <f t="shared" si="8"/>
        <v>0</v>
      </c>
      <c r="W94" s="663"/>
      <c r="X94" s="664">
        <f t="shared" si="9"/>
        <v>0</v>
      </c>
      <c r="Y94" s="683"/>
      <c r="Z94" s="665"/>
      <c r="AA94" s="684"/>
      <c r="AB94" s="685"/>
      <c r="AC94" s="665"/>
      <c r="AD94" s="686"/>
    </row>
    <row r="95" spans="1:30" s="687" customFormat="1" ht="12.75" customHeight="1">
      <c r="A95" s="677"/>
      <c r="B95" s="677"/>
      <c r="C95" s="678"/>
      <c r="D95" s="678"/>
      <c r="E95" s="678"/>
      <c r="F95" s="678"/>
      <c r="G95" s="679"/>
      <c r="H95" s="679"/>
      <c r="I95" s="680"/>
      <c r="J95" s="681"/>
      <c r="K95" s="678"/>
      <c r="L95" s="665"/>
      <c r="M95" s="665"/>
      <c r="N95" s="688"/>
      <c r="O95" s="685"/>
      <c r="P95" s="685"/>
      <c r="Q95" s="678"/>
      <c r="R95" s="678"/>
      <c r="S95" s="661"/>
      <c r="T95" s="661"/>
      <c r="U95" s="661"/>
      <c r="V95" s="662">
        <f t="shared" si="8"/>
        <v>0</v>
      </c>
      <c r="W95" s="663"/>
      <c r="X95" s="664">
        <f t="shared" si="9"/>
        <v>0</v>
      </c>
      <c r="Y95" s="683"/>
      <c r="Z95" s="665"/>
      <c r="AA95" s="684"/>
      <c r="AB95" s="685"/>
      <c r="AC95" s="665"/>
      <c r="AD95" s="686"/>
    </row>
    <row r="96" spans="1:30" s="687" customFormat="1" ht="12.75" customHeight="1">
      <c r="A96" s="677"/>
      <c r="B96" s="677"/>
      <c r="C96" s="678"/>
      <c r="D96" s="678"/>
      <c r="E96" s="678"/>
      <c r="F96" s="678"/>
      <c r="G96" s="679"/>
      <c r="H96" s="679"/>
      <c r="I96" s="680"/>
      <c r="J96" s="681"/>
      <c r="K96" s="678"/>
      <c r="L96" s="665"/>
      <c r="M96" s="665"/>
      <c r="N96" s="688"/>
      <c r="O96" s="685"/>
      <c r="P96" s="685"/>
      <c r="Q96" s="678"/>
      <c r="R96" s="678"/>
      <c r="S96" s="661"/>
      <c r="T96" s="661"/>
      <c r="U96" s="661"/>
      <c r="V96" s="662">
        <f t="shared" si="8"/>
        <v>0</v>
      </c>
      <c r="W96" s="663"/>
      <c r="X96" s="664">
        <f t="shared" si="9"/>
        <v>0</v>
      </c>
      <c r="Y96" s="683"/>
      <c r="Z96" s="665"/>
      <c r="AA96" s="684"/>
      <c r="AB96" s="685"/>
      <c r="AC96" s="665"/>
      <c r="AD96" s="686"/>
    </row>
    <row r="97" spans="1:30" s="687" customFormat="1" ht="12.75" customHeight="1">
      <c r="A97" s="677"/>
      <c r="B97" s="677"/>
      <c r="C97" s="678"/>
      <c r="D97" s="678"/>
      <c r="E97" s="678"/>
      <c r="F97" s="678"/>
      <c r="G97" s="679"/>
      <c r="H97" s="679"/>
      <c r="I97" s="680"/>
      <c r="J97" s="681"/>
      <c r="K97" s="678"/>
      <c r="L97" s="665"/>
      <c r="M97" s="665"/>
      <c r="N97" s="688"/>
      <c r="O97" s="685"/>
      <c r="P97" s="685"/>
      <c r="Q97" s="678"/>
      <c r="R97" s="678"/>
      <c r="S97" s="661"/>
      <c r="T97" s="661"/>
      <c r="U97" s="661"/>
      <c r="V97" s="662">
        <f t="shared" si="8"/>
        <v>0</v>
      </c>
      <c r="W97" s="663"/>
      <c r="X97" s="664">
        <f t="shared" si="9"/>
        <v>0</v>
      </c>
      <c r="Y97" s="683"/>
      <c r="Z97" s="665"/>
      <c r="AA97" s="684"/>
      <c r="AB97" s="685"/>
      <c r="AC97" s="665"/>
      <c r="AD97" s="686"/>
    </row>
    <row r="98" spans="1:30" s="687" customFormat="1" ht="12.75" customHeight="1">
      <c r="A98" s="677"/>
      <c r="B98" s="677"/>
      <c r="C98" s="678"/>
      <c r="D98" s="678"/>
      <c r="E98" s="678"/>
      <c r="F98" s="678"/>
      <c r="G98" s="679"/>
      <c r="H98" s="679"/>
      <c r="I98" s="680"/>
      <c r="J98" s="681"/>
      <c r="K98" s="678"/>
      <c r="L98" s="665"/>
      <c r="M98" s="665"/>
      <c r="N98" s="688"/>
      <c r="O98" s="685"/>
      <c r="P98" s="685"/>
      <c r="Q98" s="678"/>
      <c r="R98" s="678"/>
      <c r="S98" s="661"/>
      <c r="T98" s="661"/>
      <c r="U98" s="661"/>
      <c r="V98" s="662">
        <f t="shared" si="8"/>
        <v>0</v>
      </c>
      <c r="W98" s="663"/>
      <c r="X98" s="664">
        <f t="shared" si="9"/>
        <v>0</v>
      </c>
      <c r="Y98" s="683"/>
      <c r="Z98" s="665"/>
      <c r="AA98" s="684"/>
      <c r="AB98" s="685"/>
      <c r="AC98" s="665"/>
      <c r="AD98" s="686"/>
    </row>
    <row r="99" spans="1:30" s="687" customFormat="1" ht="12.75" customHeight="1">
      <c r="A99" s="677"/>
      <c r="B99" s="677"/>
      <c r="C99" s="678"/>
      <c r="D99" s="678"/>
      <c r="E99" s="678"/>
      <c r="F99" s="678"/>
      <c r="G99" s="679"/>
      <c r="H99" s="679"/>
      <c r="I99" s="680"/>
      <c r="J99" s="681"/>
      <c r="K99" s="678"/>
      <c r="L99" s="665"/>
      <c r="M99" s="665"/>
      <c r="N99" s="688"/>
      <c r="O99" s="685"/>
      <c r="P99" s="685"/>
      <c r="Q99" s="678"/>
      <c r="R99" s="678"/>
      <c r="S99" s="661"/>
      <c r="T99" s="661"/>
      <c r="U99" s="661"/>
      <c r="V99" s="662">
        <f t="shared" si="8"/>
        <v>0</v>
      </c>
      <c r="W99" s="663"/>
      <c r="X99" s="664">
        <f t="shared" si="9"/>
        <v>0</v>
      </c>
      <c r="Y99" s="683"/>
      <c r="Z99" s="665"/>
      <c r="AA99" s="684"/>
      <c r="AB99" s="685"/>
      <c r="AC99" s="665"/>
      <c r="AD99" s="686"/>
    </row>
    <row r="100" spans="1:30" s="687" customFormat="1" ht="12.75" customHeight="1">
      <c r="A100" s="677"/>
      <c r="B100" s="677"/>
      <c r="C100" s="678"/>
      <c r="D100" s="678"/>
      <c r="E100" s="678"/>
      <c r="F100" s="678"/>
      <c r="G100" s="679"/>
      <c r="H100" s="679"/>
      <c r="I100" s="680"/>
      <c r="J100" s="681"/>
      <c r="K100" s="678"/>
      <c r="L100" s="665"/>
      <c r="M100" s="665"/>
      <c r="N100" s="688"/>
      <c r="O100" s="685"/>
      <c r="P100" s="685"/>
      <c r="Q100" s="678"/>
      <c r="R100" s="678"/>
      <c r="S100" s="661"/>
      <c r="T100" s="661"/>
      <c r="U100" s="661"/>
      <c r="V100" s="662">
        <f t="shared" si="8"/>
        <v>0</v>
      </c>
      <c r="W100" s="663"/>
      <c r="X100" s="664">
        <f t="shared" si="9"/>
        <v>0</v>
      </c>
      <c r="Y100" s="683"/>
      <c r="Z100" s="665"/>
      <c r="AA100" s="684"/>
      <c r="AB100" s="685"/>
      <c r="AC100" s="665"/>
      <c r="AD100" s="686"/>
    </row>
    <row r="101" spans="1:30" s="687" customFormat="1" ht="12.75" customHeight="1">
      <c r="A101" s="677"/>
      <c r="B101" s="677"/>
      <c r="C101" s="678"/>
      <c r="D101" s="678"/>
      <c r="E101" s="678"/>
      <c r="F101" s="678"/>
      <c r="G101" s="679"/>
      <c r="H101" s="679"/>
      <c r="I101" s="680"/>
      <c r="J101" s="681"/>
      <c r="K101" s="678"/>
      <c r="L101" s="665"/>
      <c r="M101" s="665"/>
      <c r="N101" s="688"/>
      <c r="O101" s="685"/>
      <c r="P101" s="685"/>
      <c r="Q101" s="678"/>
      <c r="R101" s="678"/>
      <c r="S101" s="661"/>
      <c r="T101" s="661"/>
      <c r="U101" s="661"/>
      <c r="V101" s="662">
        <f t="shared" si="8"/>
        <v>0</v>
      </c>
      <c r="W101" s="663"/>
      <c r="X101" s="664">
        <f t="shared" si="9"/>
        <v>0</v>
      </c>
      <c r="Y101" s="683"/>
      <c r="Z101" s="665"/>
      <c r="AA101" s="684"/>
      <c r="AB101" s="685"/>
      <c r="AC101" s="665"/>
      <c r="AD101" s="686"/>
    </row>
    <row r="102" spans="1:30" s="687" customFormat="1" ht="12.75" customHeight="1">
      <c r="A102" s="677"/>
      <c r="B102" s="677"/>
      <c r="C102" s="678"/>
      <c r="D102" s="678"/>
      <c r="E102" s="678"/>
      <c r="F102" s="678"/>
      <c r="G102" s="679"/>
      <c r="H102" s="679"/>
      <c r="I102" s="680"/>
      <c r="J102" s="681"/>
      <c r="K102" s="678"/>
      <c r="L102" s="665"/>
      <c r="M102" s="665"/>
      <c r="N102" s="688"/>
      <c r="O102" s="685"/>
      <c r="P102" s="685"/>
      <c r="Q102" s="678"/>
      <c r="R102" s="678"/>
      <c r="S102" s="661"/>
      <c r="T102" s="661"/>
      <c r="U102" s="661"/>
      <c r="V102" s="662">
        <f t="shared" si="8"/>
        <v>0</v>
      </c>
      <c r="W102" s="663"/>
      <c r="X102" s="664">
        <f t="shared" si="9"/>
        <v>0</v>
      </c>
      <c r="Y102" s="683"/>
      <c r="Z102" s="665"/>
      <c r="AA102" s="684"/>
      <c r="AB102" s="685"/>
      <c r="AC102" s="665"/>
      <c r="AD102" s="686"/>
    </row>
    <row r="103" spans="1:30" s="687" customFormat="1" ht="12.75" customHeight="1">
      <c r="A103" s="677"/>
      <c r="B103" s="677"/>
      <c r="C103" s="678"/>
      <c r="D103" s="678"/>
      <c r="E103" s="678"/>
      <c r="F103" s="678"/>
      <c r="G103" s="679"/>
      <c r="H103" s="679"/>
      <c r="I103" s="680"/>
      <c r="J103" s="681"/>
      <c r="K103" s="678"/>
      <c r="L103" s="665"/>
      <c r="M103" s="665"/>
      <c r="N103" s="688"/>
      <c r="O103" s="685"/>
      <c r="P103" s="685"/>
      <c r="Q103" s="678"/>
      <c r="R103" s="678"/>
      <c r="S103" s="661"/>
      <c r="T103" s="661"/>
      <c r="U103" s="661"/>
      <c r="V103" s="662">
        <f t="shared" si="8"/>
        <v>0</v>
      </c>
      <c r="W103" s="663"/>
      <c r="X103" s="664">
        <f t="shared" si="9"/>
        <v>0</v>
      </c>
      <c r="Y103" s="683"/>
      <c r="Z103" s="665"/>
      <c r="AA103" s="684"/>
      <c r="AB103" s="685"/>
      <c r="AC103" s="665"/>
      <c r="AD103" s="686"/>
    </row>
    <row r="104" spans="1:30" s="687" customFormat="1" ht="12.75" customHeight="1">
      <c r="A104" s="677"/>
      <c r="B104" s="677"/>
      <c r="C104" s="678"/>
      <c r="D104" s="678"/>
      <c r="E104" s="678"/>
      <c r="F104" s="678"/>
      <c r="G104" s="679"/>
      <c r="H104" s="679"/>
      <c r="I104" s="680"/>
      <c r="J104" s="681"/>
      <c r="K104" s="678"/>
      <c r="L104" s="665"/>
      <c r="M104" s="665"/>
      <c r="N104" s="688"/>
      <c r="O104" s="685"/>
      <c r="P104" s="685"/>
      <c r="Q104" s="678"/>
      <c r="R104" s="678"/>
      <c r="S104" s="661"/>
      <c r="T104" s="661"/>
      <c r="U104" s="661"/>
      <c r="V104" s="662">
        <f t="shared" si="8"/>
        <v>0</v>
      </c>
      <c r="W104" s="663"/>
      <c r="X104" s="664">
        <f t="shared" si="9"/>
        <v>0</v>
      </c>
      <c r="Y104" s="683"/>
      <c r="Z104" s="665"/>
      <c r="AA104" s="684"/>
      <c r="AB104" s="685"/>
      <c r="AC104" s="665"/>
      <c r="AD104" s="686"/>
    </row>
    <row r="105" spans="1:30" s="687" customFormat="1" ht="12.75" customHeight="1">
      <c r="A105" s="677"/>
      <c r="B105" s="677"/>
      <c r="C105" s="678"/>
      <c r="D105" s="678"/>
      <c r="E105" s="678"/>
      <c r="F105" s="678"/>
      <c r="G105" s="679"/>
      <c r="H105" s="679"/>
      <c r="I105" s="680"/>
      <c r="J105" s="681"/>
      <c r="K105" s="678"/>
      <c r="L105" s="665"/>
      <c r="M105" s="665"/>
      <c r="N105" s="688"/>
      <c r="O105" s="685"/>
      <c r="P105" s="685"/>
      <c r="Q105" s="678"/>
      <c r="R105" s="678"/>
      <c r="S105" s="661"/>
      <c r="T105" s="661"/>
      <c r="U105" s="661"/>
      <c r="V105" s="662">
        <f t="shared" si="8"/>
        <v>0</v>
      </c>
      <c r="W105" s="663"/>
      <c r="X105" s="664">
        <f t="shared" si="9"/>
        <v>0</v>
      </c>
      <c r="Y105" s="683"/>
      <c r="Z105" s="665"/>
      <c r="AA105" s="684"/>
      <c r="AB105" s="685"/>
      <c r="AC105" s="665"/>
      <c r="AD105" s="686"/>
    </row>
    <row r="106" spans="1:30" s="687" customFormat="1" ht="12.75" customHeight="1">
      <c r="A106" s="677"/>
      <c r="B106" s="677"/>
      <c r="C106" s="678"/>
      <c r="D106" s="678"/>
      <c r="E106" s="678"/>
      <c r="F106" s="678"/>
      <c r="G106" s="679"/>
      <c r="H106" s="679"/>
      <c r="I106" s="680"/>
      <c r="J106" s="681"/>
      <c r="K106" s="678"/>
      <c r="L106" s="665"/>
      <c r="M106" s="665"/>
      <c r="N106" s="688"/>
      <c r="O106" s="685"/>
      <c r="P106" s="685"/>
      <c r="Q106" s="678"/>
      <c r="R106" s="678"/>
      <c r="S106" s="661"/>
      <c r="T106" s="661"/>
      <c r="U106" s="661"/>
      <c r="V106" s="662">
        <f t="shared" si="8"/>
        <v>0</v>
      </c>
      <c r="W106" s="663"/>
      <c r="X106" s="664">
        <f t="shared" si="9"/>
        <v>0</v>
      </c>
      <c r="Y106" s="683"/>
      <c r="Z106" s="665"/>
      <c r="AA106" s="684"/>
      <c r="AB106" s="685"/>
      <c r="AC106" s="665"/>
      <c r="AD106" s="686"/>
    </row>
    <row r="107" spans="1:30" s="687" customFormat="1" ht="12.75" customHeight="1">
      <c r="A107" s="677"/>
      <c r="B107" s="677"/>
      <c r="C107" s="678"/>
      <c r="D107" s="678"/>
      <c r="E107" s="678"/>
      <c r="F107" s="678"/>
      <c r="G107" s="679"/>
      <c r="H107" s="679"/>
      <c r="I107" s="680"/>
      <c r="J107" s="681"/>
      <c r="K107" s="678"/>
      <c r="L107" s="665"/>
      <c r="M107" s="665"/>
      <c r="N107" s="688"/>
      <c r="O107" s="685"/>
      <c r="P107" s="685"/>
      <c r="Q107" s="678"/>
      <c r="R107" s="678"/>
      <c r="S107" s="661"/>
      <c r="T107" s="661"/>
      <c r="U107" s="661"/>
      <c r="V107" s="662">
        <f t="shared" si="8"/>
        <v>0</v>
      </c>
      <c r="W107" s="663"/>
      <c r="X107" s="664">
        <f t="shared" si="9"/>
        <v>0</v>
      </c>
      <c r="Y107" s="683"/>
      <c r="Z107" s="665"/>
      <c r="AA107" s="684"/>
      <c r="AB107" s="685"/>
      <c r="AC107" s="665"/>
      <c r="AD107" s="686"/>
    </row>
    <row r="108" spans="1:30" s="687" customFormat="1" ht="12.75" customHeight="1">
      <c r="A108" s="677"/>
      <c r="B108" s="677"/>
      <c r="C108" s="678"/>
      <c r="D108" s="678"/>
      <c r="E108" s="678"/>
      <c r="F108" s="678"/>
      <c r="G108" s="679"/>
      <c r="H108" s="679"/>
      <c r="I108" s="680"/>
      <c r="J108" s="681"/>
      <c r="K108" s="678"/>
      <c r="L108" s="665"/>
      <c r="M108" s="665"/>
      <c r="N108" s="688"/>
      <c r="O108" s="685"/>
      <c r="P108" s="685"/>
      <c r="Q108" s="678"/>
      <c r="R108" s="678"/>
      <c r="S108" s="661"/>
      <c r="T108" s="661"/>
      <c r="U108" s="661"/>
      <c r="V108" s="662">
        <f t="shared" si="8"/>
        <v>0</v>
      </c>
      <c r="W108" s="663"/>
      <c r="X108" s="664">
        <f t="shared" si="9"/>
        <v>0</v>
      </c>
      <c r="Y108" s="683"/>
      <c r="Z108" s="665"/>
      <c r="AA108" s="684"/>
      <c r="AB108" s="685"/>
      <c r="AC108" s="665"/>
      <c r="AD108" s="686"/>
    </row>
    <row r="109" spans="1:30" s="687" customFormat="1" ht="12.75" customHeight="1">
      <c r="A109" s="677"/>
      <c r="B109" s="677"/>
      <c r="C109" s="678"/>
      <c r="D109" s="678"/>
      <c r="E109" s="678"/>
      <c r="F109" s="678"/>
      <c r="G109" s="679"/>
      <c r="H109" s="679"/>
      <c r="I109" s="680"/>
      <c r="J109" s="681"/>
      <c r="K109" s="678"/>
      <c r="L109" s="665"/>
      <c r="M109" s="665"/>
      <c r="N109" s="688"/>
      <c r="O109" s="685"/>
      <c r="P109" s="685"/>
      <c r="Q109" s="678"/>
      <c r="R109" s="678"/>
      <c r="S109" s="661"/>
      <c r="T109" s="661"/>
      <c r="U109" s="661"/>
      <c r="V109" s="662">
        <f t="shared" si="8"/>
        <v>0</v>
      </c>
      <c r="W109" s="663"/>
      <c r="X109" s="664">
        <f t="shared" si="9"/>
        <v>0</v>
      </c>
      <c r="Y109" s="683"/>
      <c r="Z109" s="665"/>
      <c r="AA109" s="684"/>
      <c r="AB109" s="685"/>
      <c r="AC109" s="665"/>
      <c r="AD109" s="686"/>
    </row>
    <row r="110" spans="1:30" s="687" customFormat="1" ht="12.75" customHeight="1">
      <c r="A110" s="677"/>
      <c r="B110" s="677"/>
      <c r="C110" s="678"/>
      <c r="D110" s="678"/>
      <c r="E110" s="678"/>
      <c r="F110" s="678"/>
      <c r="G110" s="679"/>
      <c r="H110" s="679"/>
      <c r="I110" s="680"/>
      <c r="J110" s="681"/>
      <c r="K110" s="678"/>
      <c r="L110" s="665"/>
      <c r="M110" s="665"/>
      <c r="N110" s="688"/>
      <c r="O110" s="685"/>
      <c r="P110" s="685"/>
      <c r="Q110" s="678"/>
      <c r="R110" s="678"/>
      <c r="S110" s="661"/>
      <c r="T110" s="661"/>
      <c r="U110" s="661"/>
      <c r="V110" s="662">
        <f t="shared" si="8"/>
        <v>0</v>
      </c>
      <c r="W110" s="663"/>
      <c r="X110" s="664">
        <f t="shared" si="9"/>
        <v>0</v>
      </c>
      <c r="Y110" s="683"/>
      <c r="Z110" s="665"/>
      <c r="AA110" s="684"/>
      <c r="AB110" s="685"/>
      <c r="AC110" s="665"/>
      <c r="AD110" s="686"/>
    </row>
    <row r="111" spans="1:30" s="687" customFormat="1" ht="12.75" customHeight="1">
      <c r="A111" s="677"/>
      <c r="B111" s="677"/>
      <c r="C111" s="678"/>
      <c r="D111" s="678"/>
      <c r="E111" s="678"/>
      <c r="F111" s="678"/>
      <c r="G111" s="679"/>
      <c r="H111" s="679"/>
      <c r="I111" s="680"/>
      <c r="J111" s="681"/>
      <c r="K111" s="678"/>
      <c r="L111" s="665"/>
      <c r="M111" s="665"/>
      <c r="N111" s="688"/>
      <c r="O111" s="685"/>
      <c r="P111" s="685"/>
      <c r="Q111" s="678"/>
      <c r="R111" s="678"/>
      <c r="S111" s="661"/>
      <c r="T111" s="661"/>
      <c r="U111" s="661"/>
      <c r="V111" s="662">
        <f t="shared" si="8"/>
        <v>0</v>
      </c>
      <c r="W111" s="663"/>
      <c r="X111" s="664">
        <f t="shared" si="9"/>
        <v>0</v>
      </c>
      <c r="Y111" s="683"/>
      <c r="Z111" s="665"/>
      <c r="AA111" s="684"/>
      <c r="AB111" s="685"/>
      <c r="AC111" s="665"/>
      <c r="AD111" s="686"/>
    </row>
    <row r="112" spans="1:30" s="687" customFormat="1" ht="12.75" customHeight="1">
      <c r="A112" s="677"/>
      <c r="B112" s="677"/>
      <c r="C112" s="678"/>
      <c r="D112" s="678"/>
      <c r="E112" s="678"/>
      <c r="F112" s="678"/>
      <c r="G112" s="679"/>
      <c r="H112" s="679"/>
      <c r="I112" s="680"/>
      <c r="J112" s="681"/>
      <c r="K112" s="678"/>
      <c r="L112" s="665"/>
      <c r="M112" s="665"/>
      <c r="N112" s="688"/>
      <c r="O112" s="685"/>
      <c r="P112" s="685"/>
      <c r="Q112" s="678"/>
      <c r="R112" s="678"/>
      <c r="S112" s="661"/>
      <c r="T112" s="661"/>
      <c r="U112" s="661"/>
      <c r="V112" s="662">
        <f t="shared" si="8"/>
        <v>0</v>
      </c>
      <c r="W112" s="663"/>
      <c r="X112" s="664">
        <f t="shared" si="9"/>
        <v>0</v>
      </c>
      <c r="Y112" s="683"/>
      <c r="Z112" s="665"/>
      <c r="AA112" s="684"/>
      <c r="AB112" s="685"/>
      <c r="AC112" s="665"/>
      <c r="AD112" s="686"/>
    </row>
    <row r="113" spans="1:30" s="687" customFormat="1" ht="12.75" customHeight="1">
      <c r="A113" s="677"/>
      <c r="B113" s="677"/>
      <c r="C113" s="678"/>
      <c r="D113" s="678"/>
      <c r="E113" s="678"/>
      <c r="F113" s="678"/>
      <c r="G113" s="679"/>
      <c r="H113" s="679"/>
      <c r="I113" s="680"/>
      <c r="J113" s="681"/>
      <c r="K113" s="678"/>
      <c r="L113" s="665"/>
      <c r="M113" s="665"/>
      <c r="N113" s="688"/>
      <c r="O113" s="685"/>
      <c r="P113" s="685"/>
      <c r="Q113" s="678"/>
      <c r="R113" s="678"/>
      <c r="S113" s="661"/>
      <c r="T113" s="661"/>
      <c r="U113" s="661"/>
      <c r="V113" s="662">
        <f t="shared" si="8"/>
        <v>0</v>
      </c>
      <c r="W113" s="663"/>
      <c r="X113" s="664">
        <f t="shared" si="9"/>
        <v>0</v>
      </c>
      <c r="Y113" s="683"/>
      <c r="Z113" s="665"/>
      <c r="AA113" s="684"/>
      <c r="AB113" s="685"/>
      <c r="AC113" s="665"/>
      <c r="AD113" s="686"/>
    </row>
    <row r="114" spans="1:30" s="687" customFormat="1" ht="12.75" customHeight="1">
      <c r="A114" s="677"/>
      <c r="B114" s="677"/>
      <c r="C114" s="678"/>
      <c r="D114" s="678"/>
      <c r="E114" s="678"/>
      <c r="F114" s="678"/>
      <c r="G114" s="679"/>
      <c r="H114" s="679"/>
      <c r="I114" s="680"/>
      <c r="J114" s="681"/>
      <c r="K114" s="678"/>
      <c r="L114" s="665"/>
      <c r="M114" s="665"/>
      <c r="N114" s="688"/>
      <c r="O114" s="685"/>
      <c r="P114" s="685"/>
      <c r="Q114" s="678"/>
      <c r="R114" s="678"/>
      <c r="S114" s="661"/>
      <c r="T114" s="661"/>
      <c r="U114" s="661"/>
      <c r="V114" s="662">
        <f t="shared" si="8"/>
        <v>0</v>
      </c>
      <c r="W114" s="663"/>
      <c r="X114" s="664">
        <f t="shared" si="9"/>
        <v>0</v>
      </c>
      <c r="Y114" s="683"/>
      <c r="Z114" s="665"/>
      <c r="AA114" s="684"/>
      <c r="AB114" s="685"/>
      <c r="AC114" s="665"/>
      <c r="AD114" s="686"/>
    </row>
    <row r="115" spans="1:30" s="687" customFormat="1" ht="12.75" customHeight="1">
      <c r="A115" s="677"/>
      <c r="B115" s="677"/>
      <c r="C115" s="678"/>
      <c r="D115" s="678"/>
      <c r="E115" s="678"/>
      <c r="F115" s="678"/>
      <c r="G115" s="679"/>
      <c r="H115" s="679"/>
      <c r="I115" s="680"/>
      <c r="J115" s="681"/>
      <c r="K115" s="678"/>
      <c r="L115" s="665"/>
      <c r="M115" s="665"/>
      <c r="N115" s="688"/>
      <c r="O115" s="685"/>
      <c r="P115" s="685"/>
      <c r="Q115" s="678"/>
      <c r="R115" s="678"/>
      <c r="S115" s="661"/>
      <c r="T115" s="661"/>
      <c r="U115" s="661"/>
      <c r="V115" s="662">
        <f t="shared" si="8"/>
        <v>0</v>
      </c>
      <c r="W115" s="663"/>
      <c r="X115" s="664">
        <f t="shared" si="9"/>
        <v>0</v>
      </c>
      <c r="Y115" s="683"/>
      <c r="Z115" s="665"/>
      <c r="AA115" s="684"/>
      <c r="AB115" s="685"/>
      <c r="AC115" s="665"/>
      <c r="AD115" s="686"/>
    </row>
    <row r="116" spans="1:30" s="687" customFormat="1" ht="12.75" customHeight="1">
      <c r="A116" s="677"/>
      <c r="B116" s="677"/>
      <c r="C116" s="678"/>
      <c r="D116" s="678"/>
      <c r="E116" s="678"/>
      <c r="F116" s="678"/>
      <c r="G116" s="679"/>
      <c r="H116" s="679"/>
      <c r="I116" s="680"/>
      <c r="J116" s="681"/>
      <c r="K116" s="678"/>
      <c r="L116" s="665"/>
      <c r="M116" s="665"/>
      <c r="N116" s="688"/>
      <c r="O116" s="685"/>
      <c r="P116" s="685"/>
      <c r="Q116" s="678"/>
      <c r="R116" s="678"/>
      <c r="S116" s="661"/>
      <c r="T116" s="661"/>
      <c r="U116" s="661"/>
      <c r="V116" s="662">
        <f t="shared" si="8"/>
        <v>0</v>
      </c>
      <c r="W116" s="663"/>
      <c r="X116" s="664">
        <f t="shared" si="9"/>
        <v>0</v>
      </c>
      <c r="Y116" s="683"/>
      <c r="Z116" s="665"/>
      <c r="AA116" s="684"/>
      <c r="AB116" s="685"/>
      <c r="AC116" s="665"/>
      <c r="AD116" s="686"/>
    </row>
    <row r="117" spans="1:30" s="687" customFormat="1" ht="12.75" customHeight="1">
      <c r="A117" s="677"/>
      <c r="B117" s="677"/>
      <c r="C117" s="678"/>
      <c r="D117" s="678"/>
      <c r="E117" s="678"/>
      <c r="F117" s="678"/>
      <c r="G117" s="679"/>
      <c r="H117" s="679"/>
      <c r="I117" s="680"/>
      <c r="J117" s="681"/>
      <c r="K117" s="678"/>
      <c r="L117" s="665"/>
      <c r="M117" s="665"/>
      <c r="N117" s="688"/>
      <c r="O117" s="685"/>
      <c r="P117" s="685"/>
      <c r="Q117" s="678"/>
      <c r="R117" s="678"/>
      <c r="S117" s="661"/>
      <c r="T117" s="661"/>
      <c r="U117" s="661"/>
      <c r="V117" s="662">
        <f t="shared" si="8"/>
        <v>0</v>
      </c>
      <c r="W117" s="663"/>
      <c r="X117" s="664">
        <f t="shared" si="9"/>
        <v>0</v>
      </c>
      <c r="Y117" s="683"/>
      <c r="Z117" s="665"/>
      <c r="AA117" s="684"/>
      <c r="AB117" s="685"/>
      <c r="AC117" s="665"/>
      <c r="AD117" s="686"/>
    </row>
    <row r="118" spans="1:30" s="687" customFormat="1" ht="12.75" customHeight="1">
      <c r="A118" s="677"/>
      <c r="B118" s="677"/>
      <c r="C118" s="678"/>
      <c r="D118" s="678"/>
      <c r="E118" s="678"/>
      <c r="F118" s="678"/>
      <c r="G118" s="679"/>
      <c r="H118" s="679"/>
      <c r="I118" s="680"/>
      <c r="J118" s="681"/>
      <c r="K118" s="678"/>
      <c r="L118" s="665"/>
      <c r="M118" s="665"/>
      <c r="N118" s="688"/>
      <c r="O118" s="685"/>
      <c r="P118" s="685"/>
      <c r="Q118" s="678"/>
      <c r="R118" s="678"/>
      <c r="S118" s="661"/>
      <c r="T118" s="661"/>
      <c r="U118" s="661"/>
      <c r="V118" s="662">
        <f t="shared" si="8"/>
        <v>0</v>
      </c>
      <c r="W118" s="663"/>
      <c r="X118" s="664">
        <f t="shared" si="9"/>
        <v>0</v>
      </c>
      <c r="Y118" s="683"/>
      <c r="Z118" s="665"/>
      <c r="AA118" s="684"/>
      <c r="AB118" s="685"/>
      <c r="AC118" s="665"/>
      <c r="AD118" s="686"/>
    </row>
    <row r="119" spans="1:30" s="687" customFormat="1" ht="12.75" customHeight="1">
      <c r="A119" s="677"/>
      <c r="B119" s="677"/>
      <c r="C119" s="678"/>
      <c r="D119" s="678"/>
      <c r="E119" s="678"/>
      <c r="F119" s="678"/>
      <c r="G119" s="679"/>
      <c r="H119" s="679"/>
      <c r="I119" s="680"/>
      <c r="J119" s="681"/>
      <c r="K119" s="678"/>
      <c r="L119" s="665"/>
      <c r="M119" s="665"/>
      <c r="N119" s="688"/>
      <c r="O119" s="685"/>
      <c r="P119" s="685"/>
      <c r="Q119" s="678"/>
      <c r="R119" s="678"/>
      <c r="S119" s="661"/>
      <c r="T119" s="661"/>
      <c r="U119" s="661"/>
      <c r="V119" s="662">
        <f t="shared" si="8"/>
        <v>0</v>
      </c>
      <c r="W119" s="663"/>
      <c r="X119" s="664">
        <f t="shared" si="9"/>
        <v>0</v>
      </c>
      <c r="Y119" s="683"/>
      <c r="Z119" s="665"/>
      <c r="AA119" s="684"/>
      <c r="AB119" s="685"/>
      <c r="AC119" s="665"/>
      <c r="AD119" s="686"/>
    </row>
    <row r="120" spans="1:30" s="687" customFormat="1" ht="12.75" customHeight="1">
      <c r="A120" s="677"/>
      <c r="B120" s="677"/>
      <c r="C120" s="678"/>
      <c r="D120" s="678"/>
      <c r="E120" s="678"/>
      <c r="F120" s="678"/>
      <c r="G120" s="679"/>
      <c r="H120" s="679"/>
      <c r="I120" s="680"/>
      <c r="J120" s="681"/>
      <c r="K120" s="678"/>
      <c r="L120" s="665"/>
      <c r="M120" s="665"/>
      <c r="N120" s="688"/>
      <c r="O120" s="685"/>
      <c r="P120" s="685"/>
      <c r="Q120" s="678"/>
      <c r="R120" s="678"/>
      <c r="S120" s="661"/>
      <c r="T120" s="661"/>
      <c r="U120" s="661"/>
      <c r="V120" s="662">
        <f t="shared" si="8"/>
        <v>0</v>
      </c>
      <c r="W120" s="663"/>
      <c r="X120" s="664">
        <f t="shared" si="9"/>
        <v>0</v>
      </c>
      <c r="Y120" s="683"/>
      <c r="Z120" s="665"/>
      <c r="AA120" s="684"/>
      <c r="AB120" s="685"/>
      <c r="AC120" s="665"/>
      <c r="AD120" s="686"/>
    </row>
    <row r="121" spans="1:30" s="687" customFormat="1" ht="12.75" customHeight="1">
      <c r="A121" s="677"/>
      <c r="B121" s="677"/>
      <c r="C121" s="678"/>
      <c r="D121" s="678"/>
      <c r="E121" s="678"/>
      <c r="F121" s="678"/>
      <c r="G121" s="679"/>
      <c r="H121" s="679"/>
      <c r="I121" s="680"/>
      <c r="J121" s="681"/>
      <c r="K121" s="678"/>
      <c r="L121" s="665"/>
      <c r="M121" s="665"/>
      <c r="N121" s="688"/>
      <c r="O121" s="685"/>
      <c r="P121" s="685"/>
      <c r="Q121" s="678"/>
      <c r="R121" s="678"/>
      <c r="S121" s="661"/>
      <c r="T121" s="661"/>
      <c r="U121" s="661"/>
      <c r="V121" s="662">
        <f t="shared" si="8"/>
        <v>0</v>
      </c>
      <c r="W121" s="663"/>
      <c r="X121" s="664">
        <f t="shared" si="9"/>
        <v>0</v>
      </c>
      <c r="Y121" s="683"/>
      <c r="Z121" s="665"/>
      <c r="AA121" s="684"/>
      <c r="AB121" s="685"/>
      <c r="AC121" s="665"/>
      <c r="AD121" s="686"/>
    </row>
    <row r="122" spans="1:30" s="687" customFormat="1" ht="12.75" customHeight="1">
      <c r="A122" s="677"/>
      <c r="B122" s="677"/>
      <c r="C122" s="678"/>
      <c r="D122" s="678"/>
      <c r="E122" s="678"/>
      <c r="F122" s="678"/>
      <c r="G122" s="679"/>
      <c r="H122" s="679"/>
      <c r="I122" s="680"/>
      <c r="J122" s="681"/>
      <c r="K122" s="678"/>
      <c r="L122" s="665"/>
      <c r="M122" s="665"/>
      <c r="N122" s="688"/>
      <c r="O122" s="685"/>
      <c r="P122" s="685"/>
      <c r="Q122" s="678"/>
      <c r="R122" s="678"/>
      <c r="S122" s="661"/>
      <c r="T122" s="661"/>
      <c r="U122" s="661"/>
      <c r="V122" s="662">
        <f t="shared" si="8"/>
        <v>0</v>
      </c>
      <c r="W122" s="663"/>
      <c r="X122" s="664">
        <f t="shared" si="9"/>
        <v>0</v>
      </c>
      <c r="Y122" s="683"/>
      <c r="Z122" s="665"/>
      <c r="AA122" s="684"/>
      <c r="AB122" s="685"/>
      <c r="AC122" s="665"/>
      <c r="AD122" s="686"/>
    </row>
    <row r="123" spans="1:30" s="687" customFormat="1" ht="12.75" customHeight="1">
      <c r="A123" s="677"/>
      <c r="B123" s="677"/>
      <c r="C123" s="678"/>
      <c r="D123" s="678"/>
      <c r="E123" s="678"/>
      <c r="F123" s="678"/>
      <c r="G123" s="679"/>
      <c r="H123" s="679"/>
      <c r="I123" s="680"/>
      <c r="J123" s="681"/>
      <c r="K123" s="678"/>
      <c r="L123" s="665"/>
      <c r="M123" s="665"/>
      <c r="N123" s="688"/>
      <c r="O123" s="685"/>
      <c r="P123" s="685"/>
      <c r="Q123" s="678"/>
      <c r="R123" s="678"/>
      <c r="S123" s="661"/>
      <c r="T123" s="661"/>
      <c r="U123" s="661"/>
      <c r="V123" s="662">
        <f t="shared" ref="V123:V186" si="10">SUM(S123:U123)</f>
        <v>0</v>
      </c>
      <c r="W123" s="663"/>
      <c r="X123" s="664">
        <f t="shared" si="9"/>
        <v>0</v>
      </c>
      <c r="Y123" s="683"/>
      <c r="Z123" s="665"/>
      <c r="AA123" s="684"/>
      <c r="AB123" s="685"/>
      <c r="AC123" s="665"/>
      <c r="AD123" s="686"/>
    </row>
    <row r="124" spans="1:30" s="687" customFormat="1" ht="12.75" customHeight="1">
      <c r="A124" s="677"/>
      <c r="B124" s="677"/>
      <c r="C124" s="678"/>
      <c r="D124" s="678"/>
      <c r="E124" s="678"/>
      <c r="F124" s="678"/>
      <c r="G124" s="679"/>
      <c r="H124" s="679"/>
      <c r="I124" s="680"/>
      <c r="J124" s="681"/>
      <c r="K124" s="678"/>
      <c r="L124" s="665"/>
      <c r="M124" s="665"/>
      <c r="N124" s="688"/>
      <c r="O124" s="685"/>
      <c r="P124" s="685"/>
      <c r="Q124" s="678"/>
      <c r="R124" s="678"/>
      <c r="S124" s="661"/>
      <c r="T124" s="661"/>
      <c r="U124" s="661"/>
      <c r="V124" s="662">
        <f t="shared" si="10"/>
        <v>0</v>
      </c>
      <c r="W124" s="663"/>
      <c r="X124" s="664">
        <f t="shared" ref="X124:X187" si="11">V124*W124</f>
        <v>0</v>
      </c>
      <c r="Y124" s="683"/>
      <c r="Z124" s="665"/>
      <c r="AA124" s="684"/>
      <c r="AB124" s="685"/>
      <c r="AC124" s="665"/>
      <c r="AD124" s="686"/>
    </row>
    <row r="125" spans="1:30" s="687" customFormat="1" ht="12.75" customHeight="1">
      <c r="A125" s="677"/>
      <c r="B125" s="677"/>
      <c r="C125" s="678"/>
      <c r="D125" s="678"/>
      <c r="E125" s="678"/>
      <c r="F125" s="678"/>
      <c r="G125" s="679"/>
      <c r="H125" s="679"/>
      <c r="I125" s="680"/>
      <c r="J125" s="681"/>
      <c r="K125" s="678"/>
      <c r="L125" s="665"/>
      <c r="M125" s="665"/>
      <c r="N125" s="688"/>
      <c r="O125" s="685"/>
      <c r="P125" s="685"/>
      <c r="Q125" s="678"/>
      <c r="R125" s="678"/>
      <c r="S125" s="661"/>
      <c r="T125" s="661"/>
      <c r="U125" s="661"/>
      <c r="V125" s="662">
        <f t="shared" si="10"/>
        <v>0</v>
      </c>
      <c r="W125" s="663"/>
      <c r="X125" s="664">
        <f t="shared" si="11"/>
        <v>0</v>
      </c>
      <c r="Y125" s="683"/>
      <c r="Z125" s="665"/>
      <c r="AA125" s="684"/>
      <c r="AB125" s="685"/>
      <c r="AC125" s="665"/>
      <c r="AD125" s="686"/>
    </row>
    <row r="126" spans="1:30" s="687" customFormat="1" ht="12.75" customHeight="1">
      <c r="A126" s="677"/>
      <c r="B126" s="677"/>
      <c r="C126" s="678"/>
      <c r="D126" s="678"/>
      <c r="E126" s="678"/>
      <c r="F126" s="678"/>
      <c r="G126" s="679"/>
      <c r="H126" s="679"/>
      <c r="I126" s="680"/>
      <c r="J126" s="681"/>
      <c r="K126" s="678"/>
      <c r="L126" s="665"/>
      <c r="M126" s="665"/>
      <c r="N126" s="688"/>
      <c r="O126" s="685"/>
      <c r="P126" s="685"/>
      <c r="Q126" s="678"/>
      <c r="R126" s="678"/>
      <c r="S126" s="661"/>
      <c r="T126" s="661"/>
      <c r="U126" s="661"/>
      <c r="V126" s="662">
        <f t="shared" si="10"/>
        <v>0</v>
      </c>
      <c r="W126" s="663"/>
      <c r="X126" s="664">
        <f t="shared" si="11"/>
        <v>0</v>
      </c>
      <c r="Y126" s="683"/>
      <c r="Z126" s="665"/>
      <c r="AA126" s="684"/>
      <c r="AB126" s="685"/>
      <c r="AC126" s="665"/>
      <c r="AD126" s="686"/>
    </row>
    <row r="127" spans="1:30" s="687" customFormat="1" ht="12.75" customHeight="1">
      <c r="A127" s="677"/>
      <c r="B127" s="677"/>
      <c r="C127" s="678"/>
      <c r="D127" s="678"/>
      <c r="E127" s="678"/>
      <c r="F127" s="678"/>
      <c r="G127" s="679"/>
      <c r="H127" s="679"/>
      <c r="I127" s="680"/>
      <c r="J127" s="681"/>
      <c r="K127" s="678"/>
      <c r="L127" s="665"/>
      <c r="M127" s="665"/>
      <c r="N127" s="688"/>
      <c r="O127" s="685"/>
      <c r="P127" s="685"/>
      <c r="Q127" s="678"/>
      <c r="R127" s="678"/>
      <c r="S127" s="661"/>
      <c r="T127" s="661"/>
      <c r="U127" s="661"/>
      <c r="V127" s="662">
        <f t="shared" si="10"/>
        <v>0</v>
      </c>
      <c r="W127" s="663"/>
      <c r="X127" s="664">
        <f t="shared" si="11"/>
        <v>0</v>
      </c>
      <c r="Y127" s="683"/>
      <c r="Z127" s="665"/>
      <c r="AA127" s="684"/>
      <c r="AB127" s="685"/>
      <c r="AC127" s="665"/>
      <c r="AD127" s="686"/>
    </row>
    <row r="128" spans="1:30" s="687" customFormat="1" ht="12.75" customHeight="1">
      <c r="A128" s="677"/>
      <c r="B128" s="677"/>
      <c r="C128" s="678"/>
      <c r="D128" s="678"/>
      <c r="E128" s="678"/>
      <c r="F128" s="678"/>
      <c r="G128" s="679"/>
      <c r="H128" s="679"/>
      <c r="I128" s="680"/>
      <c r="J128" s="681"/>
      <c r="K128" s="678"/>
      <c r="L128" s="665"/>
      <c r="M128" s="665"/>
      <c r="N128" s="688"/>
      <c r="O128" s="685"/>
      <c r="P128" s="685"/>
      <c r="Q128" s="678"/>
      <c r="R128" s="678"/>
      <c r="S128" s="661"/>
      <c r="T128" s="661"/>
      <c r="U128" s="661"/>
      <c r="V128" s="662">
        <f t="shared" si="10"/>
        <v>0</v>
      </c>
      <c r="W128" s="663"/>
      <c r="X128" s="664">
        <f t="shared" si="11"/>
        <v>0</v>
      </c>
      <c r="Y128" s="683"/>
      <c r="Z128" s="665"/>
      <c r="AA128" s="684"/>
      <c r="AB128" s="685"/>
      <c r="AC128" s="665"/>
      <c r="AD128" s="686"/>
    </row>
    <row r="129" spans="1:30" s="687" customFormat="1" ht="12.75" customHeight="1">
      <c r="A129" s="677"/>
      <c r="B129" s="677"/>
      <c r="C129" s="678"/>
      <c r="D129" s="678"/>
      <c r="E129" s="678"/>
      <c r="F129" s="678"/>
      <c r="G129" s="679"/>
      <c r="H129" s="679"/>
      <c r="I129" s="680"/>
      <c r="J129" s="681"/>
      <c r="K129" s="678"/>
      <c r="L129" s="665"/>
      <c r="M129" s="665"/>
      <c r="N129" s="688"/>
      <c r="O129" s="685"/>
      <c r="P129" s="685"/>
      <c r="Q129" s="678"/>
      <c r="R129" s="678"/>
      <c r="S129" s="661"/>
      <c r="T129" s="661"/>
      <c r="U129" s="661"/>
      <c r="V129" s="662">
        <f t="shared" si="10"/>
        <v>0</v>
      </c>
      <c r="W129" s="663"/>
      <c r="X129" s="664">
        <f t="shared" si="11"/>
        <v>0</v>
      </c>
      <c r="Y129" s="683"/>
      <c r="Z129" s="665"/>
      <c r="AA129" s="684"/>
      <c r="AB129" s="685"/>
      <c r="AC129" s="665"/>
      <c r="AD129" s="686"/>
    </row>
    <row r="130" spans="1:30" s="687" customFormat="1" ht="12.75" customHeight="1">
      <c r="A130" s="677"/>
      <c r="B130" s="677"/>
      <c r="C130" s="678"/>
      <c r="D130" s="678"/>
      <c r="E130" s="678"/>
      <c r="F130" s="678"/>
      <c r="G130" s="679"/>
      <c r="H130" s="679"/>
      <c r="I130" s="680"/>
      <c r="J130" s="681"/>
      <c r="K130" s="678"/>
      <c r="L130" s="665"/>
      <c r="M130" s="665"/>
      <c r="N130" s="688"/>
      <c r="O130" s="685"/>
      <c r="P130" s="685"/>
      <c r="Q130" s="678"/>
      <c r="R130" s="678"/>
      <c r="S130" s="661"/>
      <c r="T130" s="661"/>
      <c r="U130" s="661"/>
      <c r="V130" s="662">
        <f t="shared" si="10"/>
        <v>0</v>
      </c>
      <c r="W130" s="663"/>
      <c r="X130" s="664">
        <f t="shared" si="11"/>
        <v>0</v>
      </c>
      <c r="Y130" s="683"/>
      <c r="Z130" s="665"/>
      <c r="AA130" s="684"/>
      <c r="AB130" s="685"/>
      <c r="AC130" s="665"/>
      <c r="AD130" s="686"/>
    </row>
    <row r="131" spans="1:30" s="687" customFormat="1" ht="12.75" customHeight="1">
      <c r="A131" s="677"/>
      <c r="B131" s="677"/>
      <c r="C131" s="678"/>
      <c r="D131" s="678"/>
      <c r="E131" s="678"/>
      <c r="F131" s="678"/>
      <c r="G131" s="679"/>
      <c r="H131" s="679"/>
      <c r="I131" s="680"/>
      <c r="J131" s="681"/>
      <c r="K131" s="678"/>
      <c r="L131" s="665"/>
      <c r="M131" s="665"/>
      <c r="N131" s="688"/>
      <c r="O131" s="685"/>
      <c r="P131" s="685"/>
      <c r="Q131" s="678"/>
      <c r="R131" s="678"/>
      <c r="S131" s="661"/>
      <c r="T131" s="661"/>
      <c r="U131" s="661"/>
      <c r="V131" s="662">
        <f t="shared" si="10"/>
        <v>0</v>
      </c>
      <c r="W131" s="663"/>
      <c r="X131" s="664">
        <f t="shared" si="11"/>
        <v>0</v>
      </c>
      <c r="Y131" s="683"/>
      <c r="Z131" s="665"/>
      <c r="AA131" s="684"/>
      <c r="AB131" s="685"/>
      <c r="AC131" s="665"/>
      <c r="AD131" s="686"/>
    </row>
    <row r="132" spans="1:30" s="687" customFormat="1" ht="12.75" customHeight="1">
      <c r="A132" s="677"/>
      <c r="B132" s="677"/>
      <c r="C132" s="678"/>
      <c r="D132" s="678"/>
      <c r="E132" s="678"/>
      <c r="F132" s="678"/>
      <c r="G132" s="679"/>
      <c r="H132" s="679"/>
      <c r="I132" s="680"/>
      <c r="J132" s="681"/>
      <c r="K132" s="678"/>
      <c r="L132" s="665"/>
      <c r="M132" s="665"/>
      <c r="N132" s="688"/>
      <c r="O132" s="685"/>
      <c r="P132" s="685"/>
      <c r="Q132" s="678"/>
      <c r="R132" s="678"/>
      <c r="S132" s="661"/>
      <c r="T132" s="661"/>
      <c r="U132" s="661"/>
      <c r="V132" s="662">
        <f t="shared" si="10"/>
        <v>0</v>
      </c>
      <c r="W132" s="663"/>
      <c r="X132" s="664">
        <f t="shared" si="11"/>
        <v>0</v>
      </c>
      <c r="Y132" s="683"/>
      <c r="Z132" s="665"/>
      <c r="AA132" s="684"/>
      <c r="AB132" s="685"/>
      <c r="AC132" s="665"/>
      <c r="AD132" s="686"/>
    </row>
    <row r="133" spans="1:30" s="687" customFormat="1" ht="12.75" customHeight="1">
      <c r="A133" s="677"/>
      <c r="B133" s="677"/>
      <c r="C133" s="678"/>
      <c r="D133" s="678"/>
      <c r="E133" s="678"/>
      <c r="F133" s="678"/>
      <c r="G133" s="679"/>
      <c r="H133" s="679"/>
      <c r="I133" s="680"/>
      <c r="J133" s="681"/>
      <c r="K133" s="678"/>
      <c r="L133" s="665"/>
      <c r="M133" s="665"/>
      <c r="N133" s="688"/>
      <c r="O133" s="685"/>
      <c r="P133" s="685"/>
      <c r="Q133" s="678"/>
      <c r="R133" s="678"/>
      <c r="S133" s="661"/>
      <c r="T133" s="661"/>
      <c r="U133" s="661"/>
      <c r="V133" s="662">
        <f t="shared" si="10"/>
        <v>0</v>
      </c>
      <c r="W133" s="663"/>
      <c r="X133" s="664">
        <f t="shared" si="11"/>
        <v>0</v>
      </c>
      <c r="Y133" s="683"/>
      <c r="Z133" s="665"/>
      <c r="AA133" s="684"/>
      <c r="AB133" s="685"/>
      <c r="AC133" s="665"/>
      <c r="AD133" s="686"/>
    </row>
    <row r="134" spans="1:30" s="687" customFormat="1" ht="12.75" customHeight="1">
      <c r="A134" s="677"/>
      <c r="B134" s="677"/>
      <c r="C134" s="678"/>
      <c r="D134" s="678"/>
      <c r="E134" s="678"/>
      <c r="F134" s="678"/>
      <c r="G134" s="679"/>
      <c r="H134" s="679"/>
      <c r="I134" s="680"/>
      <c r="J134" s="681"/>
      <c r="K134" s="678"/>
      <c r="L134" s="665"/>
      <c r="M134" s="665"/>
      <c r="N134" s="688"/>
      <c r="O134" s="685"/>
      <c r="P134" s="685"/>
      <c r="Q134" s="678"/>
      <c r="R134" s="678"/>
      <c r="S134" s="661"/>
      <c r="T134" s="661"/>
      <c r="U134" s="661"/>
      <c r="V134" s="662">
        <f t="shared" si="10"/>
        <v>0</v>
      </c>
      <c r="W134" s="663"/>
      <c r="X134" s="664">
        <f t="shared" si="11"/>
        <v>0</v>
      </c>
      <c r="Y134" s="683"/>
      <c r="Z134" s="665"/>
      <c r="AA134" s="684"/>
      <c r="AB134" s="685"/>
      <c r="AC134" s="665"/>
      <c r="AD134" s="686"/>
    </row>
    <row r="135" spans="1:30" s="687" customFormat="1" ht="12.75" customHeight="1">
      <c r="A135" s="677"/>
      <c r="B135" s="677"/>
      <c r="C135" s="678"/>
      <c r="D135" s="678"/>
      <c r="E135" s="678"/>
      <c r="F135" s="678"/>
      <c r="G135" s="679"/>
      <c r="H135" s="679"/>
      <c r="I135" s="680"/>
      <c r="J135" s="681"/>
      <c r="K135" s="678"/>
      <c r="L135" s="665"/>
      <c r="M135" s="665"/>
      <c r="N135" s="688"/>
      <c r="O135" s="685"/>
      <c r="P135" s="685"/>
      <c r="Q135" s="678"/>
      <c r="R135" s="678"/>
      <c r="S135" s="661"/>
      <c r="T135" s="661"/>
      <c r="U135" s="661"/>
      <c r="V135" s="662">
        <f t="shared" si="10"/>
        <v>0</v>
      </c>
      <c r="W135" s="663"/>
      <c r="X135" s="664">
        <f t="shared" si="11"/>
        <v>0</v>
      </c>
      <c r="Y135" s="683"/>
      <c r="Z135" s="665"/>
      <c r="AA135" s="684"/>
      <c r="AB135" s="685"/>
      <c r="AC135" s="665"/>
      <c r="AD135" s="686"/>
    </row>
    <row r="136" spans="1:30" s="687" customFormat="1" ht="12.75" customHeight="1">
      <c r="A136" s="677"/>
      <c r="B136" s="677"/>
      <c r="C136" s="678"/>
      <c r="D136" s="678"/>
      <c r="E136" s="678"/>
      <c r="F136" s="678"/>
      <c r="G136" s="679"/>
      <c r="H136" s="679"/>
      <c r="I136" s="680"/>
      <c r="J136" s="681"/>
      <c r="K136" s="678"/>
      <c r="L136" s="665"/>
      <c r="M136" s="665"/>
      <c r="N136" s="688"/>
      <c r="O136" s="685"/>
      <c r="P136" s="685"/>
      <c r="Q136" s="678"/>
      <c r="R136" s="678"/>
      <c r="S136" s="661"/>
      <c r="T136" s="661"/>
      <c r="U136" s="661"/>
      <c r="V136" s="662">
        <f t="shared" si="10"/>
        <v>0</v>
      </c>
      <c r="W136" s="663"/>
      <c r="X136" s="664">
        <f t="shared" si="11"/>
        <v>0</v>
      </c>
      <c r="Y136" s="683"/>
      <c r="Z136" s="665"/>
      <c r="AA136" s="684"/>
      <c r="AB136" s="685"/>
      <c r="AC136" s="665"/>
      <c r="AD136" s="686"/>
    </row>
    <row r="137" spans="1:30" s="687" customFormat="1" ht="12.75" customHeight="1">
      <c r="A137" s="677"/>
      <c r="B137" s="677"/>
      <c r="C137" s="678"/>
      <c r="D137" s="678"/>
      <c r="E137" s="678"/>
      <c r="F137" s="678"/>
      <c r="G137" s="679"/>
      <c r="H137" s="679"/>
      <c r="I137" s="680"/>
      <c r="J137" s="681"/>
      <c r="K137" s="678"/>
      <c r="L137" s="665"/>
      <c r="M137" s="665"/>
      <c r="N137" s="688"/>
      <c r="O137" s="685"/>
      <c r="P137" s="685"/>
      <c r="Q137" s="678"/>
      <c r="R137" s="678"/>
      <c r="S137" s="661"/>
      <c r="T137" s="661"/>
      <c r="U137" s="661"/>
      <c r="V137" s="662">
        <f t="shared" si="10"/>
        <v>0</v>
      </c>
      <c r="W137" s="663"/>
      <c r="X137" s="664">
        <f t="shared" si="11"/>
        <v>0</v>
      </c>
      <c r="Y137" s="683"/>
      <c r="Z137" s="665"/>
      <c r="AA137" s="684"/>
      <c r="AB137" s="685"/>
      <c r="AC137" s="665"/>
      <c r="AD137" s="686"/>
    </row>
    <row r="138" spans="1:30" s="687" customFormat="1" ht="12.75" customHeight="1">
      <c r="A138" s="677"/>
      <c r="B138" s="677"/>
      <c r="C138" s="678"/>
      <c r="D138" s="678"/>
      <c r="E138" s="678"/>
      <c r="F138" s="678"/>
      <c r="G138" s="679"/>
      <c r="H138" s="679"/>
      <c r="I138" s="680"/>
      <c r="J138" s="681"/>
      <c r="K138" s="678"/>
      <c r="L138" s="665"/>
      <c r="M138" s="665"/>
      <c r="N138" s="688"/>
      <c r="O138" s="685"/>
      <c r="P138" s="685"/>
      <c r="Q138" s="678"/>
      <c r="R138" s="678"/>
      <c r="S138" s="661"/>
      <c r="T138" s="661"/>
      <c r="U138" s="661"/>
      <c r="V138" s="662">
        <f t="shared" si="10"/>
        <v>0</v>
      </c>
      <c r="W138" s="663"/>
      <c r="X138" s="664">
        <f t="shared" si="11"/>
        <v>0</v>
      </c>
      <c r="Y138" s="683"/>
      <c r="Z138" s="665"/>
      <c r="AA138" s="684"/>
      <c r="AB138" s="685"/>
      <c r="AC138" s="665"/>
      <c r="AD138" s="686"/>
    </row>
    <row r="139" spans="1:30" s="687" customFormat="1" ht="12.75" customHeight="1">
      <c r="A139" s="677"/>
      <c r="B139" s="677"/>
      <c r="C139" s="678"/>
      <c r="D139" s="678"/>
      <c r="E139" s="678"/>
      <c r="F139" s="678"/>
      <c r="G139" s="679"/>
      <c r="H139" s="679"/>
      <c r="I139" s="680"/>
      <c r="J139" s="681"/>
      <c r="K139" s="678"/>
      <c r="L139" s="665"/>
      <c r="M139" s="665"/>
      <c r="N139" s="688"/>
      <c r="O139" s="685"/>
      <c r="P139" s="685"/>
      <c r="Q139" s="678"/>
      <c r="R139" s="678"/>
      <c r="S139" s="661"/>
      <c r="T139" s="661"/>
      <c r="U139" s="661"/>
      <c r="V139" s="662">
        <f t="shared" si="10"/>
        <v>0</v>
      </c>
      <c r="W139" s="663"/>
      <c r="X139" s="664">
        <f t="shared" si="11"/>
        <v>0</v>
      </c>
      <c r="Y139" s="683"/>
      <c r="Z139" s="665"/>
      <c r="AA139" s="684"/>
      <c r="AB139" s="685"/>
      <c r="AC139" s="665"/>
      <c r="AD139" s="686"/>
    </row>
    <row r="140" spans="1:30" s="687" customFormat="1" ht="12.75" customHeight="1">
      <c r="A140" s="677"/>
      <c r="B140" s="677"/>
      <c r="C140" s="678"/>
      <c r="D140" s="678"/>
      <c r="E140" s="678"/>
      <c r="F140" s="678"/>
      <c r="G140" s="679"/>
      <c r="H140" s="679"/>
      <c r="I140" s="680"/>
      <c r="J140" s="681"/>
      <c r="K140" s="678"/>
      <c r="L140" s="665"/>
      <c r="M140" s="665"/>
      <c r="N140" s="688"/>
      <c r="O140" s="685"/>
      <c r="P140" s="685"/>
      <c r="Q140" s="678"/>
      <c r="R140" s="678"/>
      <c r="S140" s="661"/>
      <c r="T140" s="661"/>
      <c r="U140" s="661"/>
      <c r="V140" s="662">
        <f t="shared" si="10"/>
        <v>0</v>
      </c>
      <c r="W140" s="663"/>
      <c r="X140" s="664">
        <f t="shared" si="11"/>
        <v>0</v>
      </c>
      <c r="Y140" s="683"/>
      <c r="Z140" s="665"/>
      <c r="AA140" s="684"/>
      <c r="AB140" s="685"/>
      <c r="AC140" s="665"/>
      <c r="AD140" s="686"/>
    </row>
    <row r="141" spans="1:30" s="687" customFormat="1" ht="12.75" customHeight="1">
      <c r="A141" s="677"/>
      <c r="B141" s="677"/>
      <c r="C141" s="678"/>
      <c r="D141" s="678"/>
      <c r="E141" s="678"/>
      <c r="F141" s="678"/>
      <c r="G141" s="679"/>
      <c r="H141" s="679"/>
      <c r="I141" s="680"/>
      <c r="J141" s="681"/>
      <c r="K141" s="678"/>
      <c r="L141" s="665"/>
      <c r="M141" s="665"/>
      <c r="N141" s="688"/>
      <c r="O141" s="685"/>
      <c r="P141" s="685"/>
      <c r="Q141" s="678"/>
      <c r="R141" s="678"/>
      <c r="S141" s="661"/>
      <c r="T141" s="661"/>
      <c r="U141" s="661"/>
      <c r="V141" s="662">
        <f t="shared" si="10"/>
        <v>0</v>
      </c>
      <c r="W141" s="663"/>
      <c r="X141" s="664">
        <f t="shared" si="11"/>
        <v>0</v>
      </c>
      <c r="Y141" s="683"/>
      <c r="Z141" s="665"/>
      <c r="AA141" s="684"/>
      <c r="AB141" s="685"/>
      <c r="AC141" s="665"/>
      <c r="AD141" s="686"/>
    </row>
    <row r="142" spans="1:30" s="687" customFormat="1" ht="12.75" customHeight="1">
      <c r="A142" s="677"/>
      <c r="B142" s="677"/>
      <c r="C142" s="678"/>
      <c r="D142" s="678"/>
      <c r="E142" s="678"/>
      <c r="F142" s="678"/>
      <c r="G142" s="679"/>
      <c r="H142" s="679"/>
      <c r="I142" s="680"/>
      <c r="J142" s="681"/>
      <c r="K142" s="678"/>
      <c r="L142" s="665"/>
      <c r="M142" s="665"/>
      <c r="N142" s="688"/>
      <c r="O142" s="685"/>
      <c r="P142" s="685"/>
      <c r="Q142" s="678"/>
      <c r="R142" s="678"/>
      <c r="S142" s="661"/>
      <c r="T142" s="661"/>
      <c r="U142" s="661"/>
      <c r="V142" s="662">
        <f t="shared" si="10"/>
        <v>0</v>
      </c>
      <c r="W142" s="663"/>
      <c r="X142" s="664">
        <f t="shared" si="11"/>
        <v>0</v>
      </c>
      <c r="Y142" s="683"/>
      <c r="Z142" s="665"/>
      <c r="AA142" s="684"/>
      <c r="AB142" s="685"/>
      <c r="AC142" s="665"/>
      <c r="AD142" s="686"/>
    </row>
    <row r="143" spans="1:30" s="687" customFormat="1" ht="12.75" customHeight="1">
      <c r="A143" s="677"/>
      <c r="B143" s="677"/>
      <c r="C143" s="678"/>
      <c r="D143" s="678"/>
      <c r="E143" s="678"/>
      <c r="F143" s="678"/>
      <c r="G143" s="679"/>
      <c r="H143" s="679"/>
      <c r="I143" s="680"/>
      <c r="J143" s="681"/>
      <c r="K143" s="678"/>
      <c r="L143" s="665"/>
      <c r="M143" s="665"/>
      <c r="N143" s="688"/>
      <c r="O143" s="685"/>
      <c r="P143" s="685"/>
      <c r="Q143" s="678"/>
      <c r="R143" s="678"/>
      <c r="S143" s="661"/>
      <c r="T143" s="661"/>
      <c r="U143" s="661"/>
      <c r="V143" s="662">
        <f t="shared" si="10"/>
        <v>0</v>
      </c>
      <c r="W143" s="663"/>
      <c r="X143" s="664">
        <f t="shared" si="11"/>
        <v>0</v>
      </c>
      <c r="Y143" s="683"/>
      <c r="Z143" s="665"/>
      <c r="AA143" s="684"/>
      <c r="AB143" s="685"/>
      <c r="AC143" s="665"/>
      <c r="AD143" s="686"/>
    </row>
    <row r="144" spans="1:30" s="687" customFormat="1" ht="12.75" customHeight="1">
      <c r="A144" s="677"/>
      <c r="B144" s="677"/>
      <c r="C144" s="678"/>
      <c r="D144" s="678"/>
      <c r="E144" s="678"/>
      <c r="F144" s="678"/>
      <c r="G144" s="679"/>
      <c r="H144" s="679"/>
      <c r="I144" s="680"/>
      <c r="J144" s="681"/>
      <c r="K144" s="678"/>
      <c r="L144" s="665"/>
      <c r="M144" s="665"/>
      <c r="N144" s="688"/>
      <c r="O144" s="685"/>
      <c r="P144" s="685"/>
      <c r="Q144" s="678"/>
      <c r="R144" s="678"/>
      <c r="S144" s="661"/>
      <c r="T144" s="661"/>
      <c r="U144" s="661"/>
      <c r="V144" s="662">
        <f t="shared" si="10"/>
        <v>0</v>
      </c>
      <c r="W144" s="663"/>
      <c r="X144" s="664">
        <f t="shared" si="11"/>
        <v>0</v>
      </c>
      <c r="Y144" s="683"/>
      <c r="Z144" s="665"/>
      <c r="AA144" s="684"/>
      <c r="AB144" s="685"/>
      <c r="AC144" s="665"/>
      <c r="AD144" s="686"/>
    </row>
    <row r="145" spans="1:30" s="687" customFormat="1" ht="12.75" customHeight="1">
      <c r="A145" s="677"/>
      <c r="B145" s="677"/>
      <c r="C145" s="678"/>
      <c r="D145" s="678"/>
      <c r="E145" s="678"/>
      <c r="F145" s="678"/>
      <c r="G145" s="679"/>
      <c r="H145" s="679"/>
      <c r="I145" s="680"/>
      <c r="J145" s="681"/>
      <c r="K145" s="678"/>
      <c r="L145" s="665"/>
      <c r="M145" s="665"/>
      <c r="N145" s="688"/>
      <c r="O145" s="685"/>
      <c r="P145" s="685"/>
      <c r="Q145" s="678"/>
      <c r="R145" s="678"/>
      <c r="S145" s="661"/>
      <c r="T145" s="661"/>
      <c r="U145" s="661"/>
      <c r="V145" s="662">
        <f t="shared" si="10"/>
        <v>0</v>
      </c>
      <c r="W145" s="663"/>
      <c r="X145" s="664">
        <f t="shared" si="11"/>
        <v>0</v>
      </c>
      <c r="Y145" s="683"/>
      <c r="Z145" s="665"/>
      <c r="AA145" s="684"/>
      <c r="AB145" s="685"/>
      <c r="AC145" s="665"/>
      <c r="AD145" s="686"/>
    </row>
    <row r="146" spans="1:30" s="687" customFormat="1" ht="12.75" customHeight="1">
      <c r="A146" s="677"/>
      <c r="B146" s="677"/>
      <c r="C146" s="678"/>
      <c r="D146" s="678"/>
      <c r="E146" s="678"/>
      <c r="F146" s="678"/>
      <c r="G146" s="679"/>
      <c r="H146" s="679"/>
      <c r="I146" s="680"/>
      <c r="J146" s="681"/>
      <c r="K146" s="678"/>
      <c r="L146" s="665"/>
      <c r="M146" s="665"/>
      <c r="N146" s="688"/>
      <c r="O146" s="685"/>
      <c r="P146" s="685"/>
      <c r="Q146" s="678"/>
      <c r="R146" s="678"/>
      <c r="S146" s="661"/>
      <c r="T146" s="661"/>
      <c r="U146" s="661"/>
      <c r="V146" s="662">
        <f t="shared" si="10"/>
        <v>0</v>
      </c>
      <c r="W146" s="663"/>
      <c r="X146" s="664">
        <f t="shared" si="11"/>
        <v>0</v>
      </c>
      <c r="Y146" s="683"/>
      <c r="Z146" s="665"/>
      <c r="AA146" s="684"/>
      <c r="AB146" s="685"/>
      <c r="AC146" s="665"/>
      <c r="AD146" s="686"/>
    </row>
    <row r="147" spans="1:30" s="687" customFormat="1" ht="12.75" customHeight="1">
      <c r="A147" s="677"/>
      <c r="B147" s="677"/>
      <c r="C147" s="678"/>
      <c r="D147" s="678"/>
      <c r="E147" s="678"/>
      <c r="F147" s="678"/>
      <c r="G147" s="679"/>
      <c r="H147" s="679"/>
      <c r="I147" s="680"/>
      <c r="J147" s="681"/>
      <c r="K147" s="678"/>
      <c r="L147" s="665"/>
      <c r="M147" s="665"/>
      <c r="N147" s="688"/>
      <c r="O147" s="685"/>
      <c r="P147" s="685"/>
      <c r="Q147" s="678"/>
      <c r="R147" s="678"/>
      <c r="S147" s="661"/>
      <c r="T147" s="661"/>
      <c r="U147" s="661"/>
      <c r="V147" s="662">
        <f t="shared" si="10"/>
        <v>0</v>
      </c>
      <c r="W147" s="663"/>
      <c r="X147" s="664">
        <f t="shared" si="11"/>
        <v>0</v>
      </c>
      <c r="Y147" s="683"/>
      <c r="Z147" s="665"/>
      <c r="AA147" s="684"/>
      <c r="AB147" s="685"/>
      <c r="AC147" s="665"/>
      <c r="AD147" s="686"/>
    </row>
    <row r="148" spans="1:30" s="687" customFormat="1" ht="12.75" customHeight="1">
      <c r="A148" s="677"/>
      <c r="B148" s="677"/>
      <c r="C148" s="678"/>
      <c r="D148" s="678"/>
      <c r="E148" s="678"/>
      <c r="F148" s="678"/>
      <c r="G148" s="679"/>
      <c r="H148" s="679"/>
      <c r="I148" s="680"/>
      <c r="J148" s="681"/>
      <c r="K148" s="678"/>
      <c r="L148" s="665"/>
      <c r="M148" s="665"/>
      <c r="N148" s="688"/>
      <c r="O148" s="685"/>
      <c r="P148" s="685"/>
      <c r="Q148" s="678"/>
      <c r="R148" s="678"/>
      <c r="S148" s="661"/>
      <c r="T148" s="661"/>
      <c r="U148" s="661"/>
      <c r="V148" s="662">
        <f t="shared" si="10"/>
        <v>0</v>
      </c>
      <c r="W148" s="663"/>
      <c r="X148" s="664">
        <f t="shared" si="11"/>
        <v>0</v>
      </c>
      <c r="Y148" s="683"/>
      <c r="Z148" s="665"/>
      <c r="AA148" s="684"/>
      <c r="AB148" s="685"/>
      <c r="AC148" s="665"/>
      <c r="AD148" s="686"/>
    </row>
    <row r="149" spans="1:30" s="687" customFormat="1" ht="12.75" customHeight="1">
      <c r="A149" s="677"/>
      <c r="B149" s="677"/>
      <c r="C149" s="678"/>
      <c r="D149" s="678"/>
      <c r="E149" s="678"/>
      <c r="F149" s="678"/>
      <c r="G149" s="679"/>
      <c r="H149" s="679"/>
      <c r="I149" s="680"/>
      <c r="J149" s="681"/>
      <c r="K149" s="678"/>
      <c r="L149" s="665"/>
      <c r="M149" s="665"/>
      <c r="N149" s="688"/>
      <c r="O149" s="685"/>
      <c r="P149" s="685"/>
      <c r="Q149" s="678"/>
      <c r="R149" s="678"/>
      <c r="S149" s="661"/>
      <c r="T149" s="661"/>
      <c r="U149" s="661"/>
      <c r="V149" s="662">
        <f t="shared" si="10"/>
        <v>0</v>
      </c>
      <c r="W149" s="663"/>
      <c r="X149" s="664">
        <f t="shared" si="11"/>
        <v>0</v>
      </c>
      <c r="Y149" s="683"/>
      <c r="Z149" s="665"/>
      <c r="AA149" s="684"/>
      <c r="AB149" s="685"/>
      <c r="AC149" s="665"/>
      <c r="AD149" s="686"/>
    </row>
    <row r="150" spans="1:30" s="687" customFormat="1" ht="12.75" customHeight="1">
      <c r="A150" s="677"/>
      <c r="B150" s="677"/>
      <c r="C150" s="678"/>
      <c r="D150" s="678"/>
      <c r="E150" s="678"/>
      <c r="F150" s="678"/>
      <c r="G150" s="679"/>
      <c r="H150" s="679"/>
      <c r="I150" s="680"/>
      <c r="J150" s="681"/>
      <c r="K150" s="678"/>
      <c r="L150" s="665"/>
      <c r="M150" s="665"/>
      <c r="N150" s="688"/>
      <c r="O150" s="685"/>
      <c r="P150" s="685"/>
      <c r="Q150" s="678"/>
      <c r="R150" s="678"/>
      <c r="S150" s="661"/>
      <c r="T150" s="661"/>
      <c r="U150" s="661"/>
      <c r="V150" s="662">
        <f t="shared" si="10"/>
        <v>0</v>
      </c>
      <c r="W150" s="663"/>
      <c r="X150" s="664">
        <f t="shared" si="11"/>
        <v>0</v>
      </c>
      <c r="Y150" s="683"/>
      <c r="Z150" s="665"/>
      <c r="AA150" s="684"/>
      <c r="AB150" s="685"/>
      <c r="AC150" s="665"/>
      <c r="AD150" s="686"/>
    </row>
    <row r="151" spans="1:30" s="687" customFormat="1" ht="12.75" customHeight="1">
      <c r="A151" s="677"/>
      <c r="B151" s="677"/>
      <c r="C151" s="678"/>
      <c r="D151" s="678"/>
      <c r="E151" s="678"/>
      <c r="F151" s="678"/>
      <c r="G151" s="679"/>
      <c r="H151" s="679"/>
      <c r="I151" s="680"/>
      <c r="J151" s="681"/>
      <c r="K151" s="678"/>
      <c r="L151" s="665"/>
      <c r="M151" s="665"/>
      <c r="N151" s="688"/>
      <c r="O151" s="685"/>
      <c r="P151" s="685"/>
      <c r="Q151" s="678"/>
      <c r="R151" s="678"/>
      <c r="S151" s="661"/>
      <c r="T151" s="661"/>
      <c r="U151" s="661"/>
      <c r="V151" s="662">
        <f t="shared" si="10"/>
        <v>0</v>
      </c>
      <c r="W151" s="663"/>
      <c r="X151" s="664">
        <f t="shared" si="11"/>
        <v>0</v>
      </c>
      <c r="Y151" s="683"/>
      <c r="Z151" s="665"/>
      <c r="AA151" s="684"/>
      <c r="AB151" s="685"/>
      <c r="AC151" s="665"/>
      <c r="AD151" s="686"/>
    </row>
    <row r="152" spans="1:30" s="687" customFormat="1" ht="12.75" customHeight="1">
      <c r="A152" s="677"/>
      <c r="B152" s="677"/>
      <c r="C152" s="678"/>
      <c r="D152" s="678"/>
      <c r="E152" s="678"/>
      <c r="F152" s="678"/>
      <c r="G152" s="679"/>
      <c r="H152" s="679"/>
      <c r="I152" s="680"/>
      <c r="J152" s="681"/>
      <c r="K152" s="678"/>
      <c r="L152" s="665"/>
      <c r="M152" s="665"/>
      <c r="N152" s="688"/>
      <c r="O152" s="685"/>
      <c r="P152" s="685"/>
      <c r="Q152" s="678"/>
      <c r="R152" s="678"/>
      <c r="S152" s="661"/>
      <c r="T152" s="661"/>
      <c r="U152" s="661"/>
      <c r="V152" s="662">
        <f t="shared" si="10"/>
        <v>0</v>
      </c>
      <c r="W152" s="663"/>
      <c r="X152" s="664">
        <f t="shared" si="11"/>
        <v>0</v>
      </c>
      <c r="Y152" s="683"/>
      <c r="Z152" s="665"/>
      <c r="AA152" s="684"/>
      <c r="AB152" s="685"/>
      <c r="AC152" s="665"/>
      <c r="AD152" s="686"/>
    </row>
    <row r="153" spans="1:30" s="687" customFormat="1" ht="12.75" customHeight="1">
      <c r="A153" s="677"/>
      <c r="B153" s="677"/>
      <c r="C153" s="678"/>
      <c r="D153" s="678"/>
      <c r="E153" s="678"/>
      <c r="F153" s="678"/>
      <c r="G153" s="679"/>
      <c r="H153" s="679"/>
      <c r="I153" s="680"/>
      <c r="J153" s="681"/>
      <c r="K153" s="678"/>
      <c r="L153" s="665"/>
      <c r="M153" s="665"/>
      <c r="N153" s="688"/>
      <c r="O153" s="685"/>
      <c r="P153" s="685"/>
      <c r="Q153" s="678"/>
      <c r="R153" s="678"/>
      <c r="S153" s="661"/>
      <c r="T153" s="661"/>
      <c r="U153" s="661"/>
      <c r="V153" s="662">
        <f t="shared" si="10"/>
        <v>0</v>
      </c>
      <c r="W153" s="663"/>
      <c r="X153" s="664">
        <f t="shared" si="11"/>
        <v>0</v>
      </c>
      <c r="Y153" s="683"/>
      <c r="Z153" s="665"/>
      <c r="AA153" s="684"/>
      <c r="AB153" s="685"/>
      <c r="AC153" s="665"/>
      <c r="AD153" s="686"/>
    </row>
    <row r="154" spans="1:30" s="687" customFormat="1" ht="12.75" customHeight="1">
      <c r="A154" s="677"/>
      <c r="B154" s="677"/>
      <c r="C154" s="678"/>
      <c r="D154" s="678"/>
      <c r="E154" s="678"/>
      <c r="F154" s="678"/>
      <c r="G154" s="679"/>
      <c r="H154" s="679"/>
      <c r="I154" s="680"/>
      <c r="J154" s="681"/>
      <c r="K154" s="678"/>
      <c r="L154" s="665"/>
      <c r="M154" s="665"/>
      <c r="N154" s="688"/>
      <c r="O154" s="685"/>
      <c r="P154" s="685"/>
      <c r="Q154" s="678"/>
      <c r="R154" s="678"/>
      <c r="S154" s="661"/>
      <c r="T154" s="661"/>
      <c r="U154" s="661"/>
      <c r="V154" s="662">
        <f t="shared" si="10"/>
        <v>0</v>
      </c>
      <c r="W154" s="663"/>
      <c r="X154" s="664">
        <f t="shared" si="11"/>
        <v>0</v>
      </c>
      <c r="Y154" s="683"/>
      <c r="Z154" s="665"/>
      <c r="AA154" s="684"/>
      <c r="AB154" s="685"/>
      <c r="AC154" s="665"/>
      <c r="AD154" s="686"/>
    </row>
    <row r="155" spans="1:30" s="687" customFormat="1" ht="12.75" customHeight="1">
      <c r="A155" s="677"/>
      <c r="B155" s="677"/>
      <c r="C155" s="678"/>
      <c r="D155" s="678"/>
      <c r="E155" s="678"/>
      <c r="F155" s="678"/>
      <c r="G155" s="679"/>
      <c r="H155" s="679"/>
      <c r="I155" s="680"/>
      <c r="J155" s="681"/>
      <c r="K155" s="678"/>
      <c r="L155" s="665"/>
      <c r="M155" s="665"/>
      <c r="N155" s="688"/>
      <c r="O155" s="685"/>
      <c r="P155" s="685"/>
      <c r="Q155" s="678"/>
      <c r="R155" s="678"/>
      <c r="S155" s="661"/>
      <c r="T155" s="661"/>
      <c r="U155" s="661"/>
      <c r="V155" s="662">
        <f t="shared" si="10"/>
        <v>0</v>
      </c>
      <c r="W155" s="663"/>
      <c r="X155" s="664">
        <f t="shared" si="11"/>
        <v>0</v>
      </c>
      <c r="Y155" s="683"/>
      <c r="Z155" s="665"/>
      <c r="AA155" s="684"/>
      <c r="AB155" s="685"/>
      <c r="AC155" s="665"/>
      <c r="AD155" s="686"/>
    </row>
    <row r="156" spans="1:30" s="687" customFormat="1" ht="12.75" customHeight="1">
      <c r="A156" s="677"/>
      <c r="B156" s="677"/>
      <c r="C156" s="678"/>
      <c r="D156" s="678"/>
      <c r="E156" s="678"/>
      <c r="F156" s="678"/>
      <c r="G156" s="679"/>
      <c r="H156" s="679"/>
      <c r="I156" s="680"/>
      <c r="J156" s="681"/>
      <c r="K156" s="678"/>
      <c r="L156" s="665"/>
      <c r="M156" s="665"/>
      <c r="N156" s="688"/>
      <c r="O156" s="685"/>
      <c r="P156" s="685"/>
      <c r="Q156" s="678"/>
      <c r="R156" s="678"/>
      <c r="S156" s="661"/>
      <c r="T156" s="661"/>
      <c r="U156" s="661"/>
      <c r="V156" s="662">
        <f t="shared" si="10"/>
        <v>0</v>
      </c>
      <c r="W156" s="663"/>
      <c r="X156" s="664">
        <f t="shared" si="11"/>
        <v>0</v>
      </c>
      <c r="Y156" s="683"/>
      <c r="Z156" s="665"/>
      <c r="AA156" s="684"/>
      <c r="AB156" s="685"/>
      <c r="AC156" s="665"/>
      <c r="AD156" s="686"/>
    </row>
    <row r="157" spans="1:30" s="687" customFormat="1" ht="12.75" customHeight="1">
      <c r="A157" s="677"/>
      <c r="B157" s="677"/>
      <c r="C157" s="678"/>
      <c r="D157" s="678"/>
      <c r="E157" s="678"/>
      <c r="F157" s="678"/>
      <c r="G157" s="679"/>
      <c r="H157" s="679"/>
      <c r="I157" s="680"/>
      <c r="J157" s="681"/>
      <c r="K157" s="678"/>
      <c r="L157" s="665"/>
      <c r="M157" s="665"/>
      <c r="N157" s="688"/>
      <c r="O157" s="685"/>
      <c r="P157" s="685"/>
      <c r="Q157" s="678"/>
      <c r="R157" s="678"/>
      <c r="S157" s="661"/>
      <c r="T157" s="661"/>
      <c r="U157" s="661"/>
      <c r="V157" s="662">
        <f t="shared" si="10"/>
        <v>0</v>
      </c>
      <c r="W157" s="663"/>
      <c r="X157" s="664">
        <f t="shared" si="11"/>
        <v>0</v>
      </c>
      <c r="Y157" s="683"/>
      <c r="Z157" s="665"/>
      <c r="AA157" s="684"/>
      <c r="AB157" s="685"/>
      <c r="AC157" s="665"/>
      <c r="AD157" s="686"/>
    </row>
    <row r="158" spans="1:30" s="687" customFormat="1" ht="12.75" customHeight="1">
      <c r="A158" s="677"/>
      <c r="B158" s="677"/>
      <c r="C158" s="678"/>
      <c r="D158" s="678"/>
      <c r="E158" s="678"/>
      <c r="F158" s="678"/>
      <c r="G158" s="679"/>
      <c r="H158" s="679"/>
      <c r="I158" s="680"/>
      <c r="J158" s="681"/>
      <c r="K158" s="678"/>
      <c r="L158" s="665"/>
      <c r="M158" s="665"/>
      <c r="N158" s="688"/>
      <c r="O158" s="685"/>
      <c r="P158" s="685"/>
      <c r="Q158" s="678"/>
      <c r="R158" s="678"/>
      <c r="S158" s="661"/>
      <c r="T158" s="661"/>
      <c r="U158" s="661"/>
      <c r="V158" s="662">
        <f t="shared" si="10"/>
        <v>0</v>
      </c>
      <c r="W158" s="663"/>
      <c r="X158" s="664">
        <f t="shared" si="11"/>
        <v>0</v>
      </c>
      <c r="Y158" s="683"/>
      <c r="Z158" s="665"/>
      <c r="AA158" s="684"/>
      <c r="AB158" s="685"/>
      <c r="AC158" s="665"/>
      <c r="AD158" s="686"/>
    </row>
    <row r="159" spans="1:30" s="687" customFormat="1" ht="12.75" customHeight="1">
      <c r="A159" s="677"/>
      <c r="B159" s="677"/>
      <c r="C159" s="678"/>
      <c r="D159" s="678"/>
      <c r="E159" s="678"/>
      <c r="F159" s="678"/>
      <c r="G159" s="679"/>
      <c r="H159" s="679"/>
      <c r="I159" s="680"/>
      <c r="J159" s="681"/>
      <c r="K159" s="678"/>
      <c r="L159" s="665"/>
      <c r="M159" s="665"/>
      <c r="N159" s="688"/>
      <c r="O159" s="685"/>
      <c r="P159" s="685"/>
      <c r="Q159" s="678"/>
      <c r="R159" s="678"/>
      <c r="S159" s="661"/>
      <c r="T159" s="661"/>
      <c r="U159" s="661"/>
      <c r="V159" s="662">
        <f t="shared" si="10"/>
        <v>0</v>
      </c>
      <c r="W159" s="663"/>
      <c r="X159" s="664">
        <f t="shared" si="11"/>
        <v>0</v>
      </c>
      <c r="Y159" s="683"/>
      <c r="Z159" s="665"/>
      <c r="AA159" s="684"/>
      <c r="AB159" s="685"/>
      <c r="AC159" s="665"/>
      <c r="AD159" s="686"/>
    </row>
    <row r="160" spans="1:30" s="687" customFormat="1" ht="12.75" customHeight="1">
      <c r="A160" s="677"/>
      <c r="B160" s="677"/>
      <c r="C160" s="678"/>
      <c r="D160" s="678"/>
      <c r="E160" s="678"/>
      <c r="F160" s="678"/>
      <c r="G160" s="679"/>
      <c r="H160" s="679"/>
      <c r="I160" s="680"/>
      <c r="J160" s="681"/>
      <c r="K160" s="678"/>
      <c r="L160" s="665"/>
      <c r="M160" s="665"/>
      <c r="N160" s="688"/>
      <c r="O160" s="685"/>
      <c r="P160" s="685"/>
      <c r="Q160" s="678"/>
      <c r="R160" s="678"/>
      <c r="S160" s="661"/>
      <c r="T160" s="661"/>
      <c r="U160" s="661"/>
      <c r="V160" s="662">
        <f t="shared" si="10"/>
        <v>0</v>
      </c>
      <c r="W160" s="663"/>
      <c r="X160" s="664">
        <f t="shared" si="11"/>
        <v>0</v>
      </c>
      <c r="Y160" s="683"/>
      <c r="Z160" s="665"/>
      <c r="AA160" s="684"/>
      <c r="AB160" s="685"/>
      <c r="AC160" s="665"/>
      <c r="AD160" s="686"/>
    </row>
    <row r="161" spans="1:30" s="687" customFormat="1" ht="12.75" customHeight="1">
      <c r="A161" s="677"/>
      <c r="B161" s="677"/>
      <c r="C161" s="678"/>
      <c r="D161" s="678"/>
      <c r="E161" s="678"/>
      <c r="F161" s="678"/>
      <c r="G161" s="679"/>
      <c r="H161" s="679"/>
      <c r="I161" s="680"/>
      <c r="J161" s="681"/>
      <c r="K161" s="678"/>
      <c r="L161" s="665"/>
      <c r="M161" s="665"/>
      <c r="N161" s="688"/>
      <c r="O161" s="685"/>
      <c r="P161" s="685"/>
      <c r="Q161" s="678"/>
      <c r="R161" s="678"/>
      <c r="S161" s="661"/>
      <c r="T161" s="661"/>
      <c r="U161" s="661"/>
      <c r="V161" s="662">
        <f t="shared" si="10"/>
        <v>0</v>
      </c>
      <c r="W161" s="663"/>
      <c r="X161" s="664">
        <f t="shared" si="11"/>
        <v>0</v>
      </c>
      <c r="Y161" s="683"/>
      <c r="Z161" s="665"/>
      <c r="AA161" s="684"/>
      <c r="AB161" s="685"/>
      <c r="AC161" s="665"/>
      <c r="AD161" s="686"/>
    </row>
    <row r="162" spans="1:30" s="687" customFormat="1" ht="12.75" customHeight="1">
      <c r="A162" s="677"/>
      <c r="B162" s="677"/>
      <c r="C162" s="678"/>
      <c r="D162" s="678"/>
      <c r="E162" s="678"/>
      <c r="F162" s="678"/>
      <c r="G162" s="679"/>
      <c r="H162" s="679"/>
      <c r="I162" s="680"/>
      <c r="J162" s="681"/>
      <c r="K162" s="678"/>
      <c r="L162" s="665"/>
      <c r="M162" s="665"/>
      <c r="N162" s="688"/>
      <c r="O162" s="685"/>
      <c r="P162" s="685"/>
      <c r="Q162" s="678"/>
      <c r="R162" s="678"/>
      <c r="S162" s="661"/>
      <c r="T162" s="661"/>
      <c r="U162" s="661"/>
      <c r="V162" s="662">
        <f t="shared" si="10"/>
        <v>0</v>
      </c>
      <c r="W162" s="663"/>
      <c r="X162" s="664">
        <f t="shared" si="11"/>
        <v>0</v>
      </c>
      <c r="Y162" s="683"/>
      <c r="Z162" s="665"/>
      <c r="AA162" s="684"/>
      <c r="AB162" s="685"/>
      <c r="AC162" s="665"/>
      <c r="AD162" s="686"/>
    </row>
    <row r="163" spans="1:30" s="687" customFormat="1" ht="12.75" customHeight="1">
      <c r="A163" s="677"/>
      <c r="B163" s="677"/>
      <c r="C163" s="678"/>
      <c r="D163" s="678"/>
      <c r="E163" s="678"/>
      <c r="F163" s="678"/>
      <c r="G163" s="679"/>
      <c r="H163" s="679"/>
      <c r="I163" s="680"/>
      <c r="J163" s="681"/>
      <c r="K163" s="678"/>
      <c r="L163" s="665"/>
      <c r="M163" s="665"/>
      <c r="N163" s="688"/>
      <c r="O163" s="685"/>
      <c r="P163" s="685"/>
      <c r="Q163" s="678"/>
      <c r="R163" s="678"/>
      <c r="S163" s="661"/>
      <c r="T163" s="661"/>
      <c r="U163" s="661"/>
      <c r="V163" s="662">
        <f t="shared" si="10"/>
        <v>0</v>
      </c>
      <c r="W163" s="663"/>
      <c r="X163" s="664">
        <f t="shared" si="11"/>
        <v>0</v>
      </c>
      <c r="Y163" s="683"/>
      <c r="Z163" s="665"/>
      <c r="AA163" s="684"/>
      <c r="AB163" s="685"/>
      <c r="AC163" s="665"/>
      <c r="AD163" s="686"/>
    </row>
    <row r="164" spans="1:30" s="687" customFormat="1" ht="12.75" customHeight="1">
      <c r="A164" s="677"/>
      <c r="B164" s="677"/>
      <c r="C164" s="678"/>
      <c r="D164" s="678"/>
      <c r="E164" s="678"/>
      <c r="F164" s="678"/>
      <c r="G164" s="679"/>
      <c r="H164" s="679"/>
      <c r="I164" s="680"/>
      <c r="J164" s="681"/>
      <c r="K164" s="678"/>
      <c r="L164" s="665"/>
      <c r="M164" s="665"/>
      <c r="N164" s="688"/>
      <c r="O164" s="685"/>
      <c r="P164" s="685"/>
      <c r="Q164" s="678"/>
      <c r="R164" s="678"/>
      <c r="S164" s="661"/>
      <c r="T164" s="661"/>
      <c r="U164" s="661"/>
      <c r="V164" s="662">
        <f t="shared" si="10"/>
        <v>0</v>
      </c>
      <c r="W164" s="663"/>
      <c r="X164" s="664">
        <f t="shared" si="11"/>
        <v>0</v>
      </c>
      <c r="Y164" s="683"/>
      <c r="Z164" s="665"/>
      <c r="AA164" s="684"/>
      <c r="AB164" s="685"/>
      <c r="AC164" s="665"/>
      <c r="AD164" s="686"/>
    </row>
    <row r="165" spans="1:30" s="687" customFormat="1" ht="12.75" customHeight="1">
      <c r="A165" s="677"/>
      <c r="B165" s="677"/>
      <c r="C165" s="678"/>
      <c r="D165" s="678"/>
      <c r="E165" s="678"/>
      <c r="F165" s="678"/>
      <c r="G165" s="679"/>
      <c r="H165" s="679"/>
      <c r="I165" s="680"/>
      <c r="J165" s="681"/>
      <c r="K165" s="678"/>
      <c r="L165" s="665"/>
      <c r="M165" s="665"/>
      <c r="N165" s="688"/>
      <c r="O165" s="685"/>
      <c r="P165" s="685"/>
      <c r="Q165" s="678"/>
      <c r="R165" s="678"/>
      <c r="S165" s="661"/>
      <c r="T165" s="661"/>
      <c r="U165" s="661"/>
      <c r="V165" s="662">
        <f t="shared" si="10"/>
        <v>0</v>
      </c>
      <c r="W165" s="663"/>
      <c r="X165" s="664">
        <f t="shared" si="11"/>
        <v>0</v>
      </c>
      <c r="Y165" s="683"/>
      <c r="Z165" s="665"/>
      <c r="AA165" s="684"/>
      <c r="AB165" s="685"/>
      <c r="AC165" s="665"/>
      <c r="AD165" s="686"/>
    </row>
    <row r="166" spans="1:30" s="687" customFormat="1" ht="12.75" customHeight="1">
      <c r="A166" s="677"/>
      <c r="B166" s="677"/>
      <c r="C166" s="678"/>
      <c r="D166" s="678"/>
      <c r="E166" s="678"/>
      <c r="F166" s="678"/>
      <c r="G166" s="679"/>
      <c r="H166" s="679"/>
      <c r="I166" s="680"/>
      <c r="J166" s="681"/>
      <c r="K166" s="678"/>
      <c r="L166" s="665"/>
      <c r="M166" s="665"/>
      <c r="N166" s="688"/>
      <c r="O166" s="685"/>
      <c r="P166" s="685"/>
      <c r="Q166" s="678"/>
      <c r="R166" s="678"/>
      <c r="S166" s="661"/>
      <c r="T166" s="661"/>
      <c r="U166" s="661"/>
      <c r="V166" s="662">
        <f t="shared" si="10"/>
        <v>0</v>
      </c>
      <c r="W166" s="663"/>
      <c r="X166" s="664">
        <f t="shared" si="11"/>
        <v>0</v>
      </c>
      <c r="Y166" s="683"/>
      <c r="Z166" s="665"/>
      <c r="AA166" s="684"/>
      <c r="AB166" s="685"/>
      <c r="AC166" s="665"/>
      <c r="AD166" s="686"/>
    </row>
    <row r="167" spans="1:30" s="687" customFormat="1" ht="12.75" customHeight="1">
      <c r="A167" s="677"/>
      <c r="B167" s="677"/>
      <c r="C167" s="678"/>
      <c r="D167" s="678"/>
      <c r="E167" s="678"/>
      <c r="F167" s="678"/>
      <c r="G167" s="679"/>
      <c r="H167" s="679"/>
      <c r="I167" s="680"/>
      <c r="J167" s="681"/>
      <c r="K167" s="678"/>
      <c r="L167" s="665"/>
      <c r="M167" s="665"/>
      <c r="N167" s="688"/>
      <c r="O167" s="685"/>
      <c r="P167" s="685"/>
      <c r="Q167" s="678"/>
      <c r="R167" s="678"/>
      <c r="S167" s="661"/>
      <c r="T167" s="661"/>
      <c r="U167" s="661"/>
      <c r="V167" s="662">
        <f t="shared" si="10"/>
        <v>0</v>
      </c>
      <c r="W167" s="663"/>
      <c r="X167" s="664">
        <f t="shared" si="11"/>
        <v>0</v>
      </c>
      <c r="Y167" s="683"/>
      <c r="Z167" s="665"/>
      <c r="AA167" s="684"/>
      <c r="AB167" s="685"/>
      <c r="AC167" s="665"/>
      <c r="AD167" s="686"/>
    </row>
    <row r="168" spans="1:30" s="687" customFormat="1" ht="12.75" customHeight="1">
      <c r="A168" s="677"/>
      <c r="B168" s="677"/>
      <c r="C168" s="678"/>
      <c r="D168" s="678"/>
      <c r="E168" s="678"/>
      <c r="F168" s="678"/>
      <c r="G168" s="679"/>
      <c r="H168" s="679"/>
      <c r="I168" s="680"/>
      <c r="J168" s="681"/>
      <c r="K168" s="678"/>
      <c r="L168" s="665"/>
      <c r="M168" s="665"/>
      <c r="N168" s="688"/>
      <c r="O168" s="685"/>
      <c r="P168" s="685"/>
      <c r="Q168" s="678"/>
      <c r="R168" s="678"/>
      <c r="S168" s="661"/>
      <c r="T168" s="661"/>
      <c r="U168" s="661"/>
      <c r="V168" s="662">
        <f t="shared" si="10"/>
        <v>0</v>
      </c>
      <c r="W168" s="663"/>
      <c r="X168" s="664">
        <f t="shared" si="11"/>
        <v>0</v>
      </c>
      <c r="Y168" s="683"/>
      <c r="Z168" s="665"/>
      <c r="AA168" s="684"/>
      <c r="AB168" s="685"/>
      <c r="AC168" s="665"/>
      <c r="AD168" s="686"/>
    </row>
    <row r="169" spans="1:30" s="687" customFormat="1" ht="12.75" customHeight="1">
      <c r="A169" s="677"/>
      <c r="B169" s="677"/>
      <c r="C169" s="678"/>
      <c r="D169" s="678"/>
      <c r="E169" s="678"/>
      <c r="F169" s="678"/>
      <c r="G169" s="679"/>
      <c r="H169" s="679"/>
      <c r="I169" s="680"/>
      <c r="J169" s="681"/>
      <c r="K169" s="678"/>
      <c r="L169" s="665"/>
      <c r="M169" s="665"/>
      <c r="N169" s="688"/>
      <c r="O169" s="685"/>
      <c r="P169" s="685"/>
      <c r="Q169" s="678"/>
      <c r="R169" s="678"/>
      <c r="S169" s="661"/>
      <c r="T169" s="661"/>
      <c r="U169" s="661"/>
      <c r="V169" s="662">
        <f t="shared" si="10"/>
        <v>0</v>
      </c>
      <c r="W169" s="663"/>
      <c r="X169" s="664">
        <f t="shared" si="11"/>
        <v>0</v>
      </c>
      <c r="Y169" s="683"/>
      <c r="Z169" s="665"/>
      <c r="AA169" s="684"/>
      <c r="AB169" s="685"/>
      <c r="AC169" s="665"/>
      <c r="AD169" s="686"/>
    </row>
    <row r="170" spans="1:30" s="687" customFormat="1" ht="12.75" customHeight="1">
      <c r="A170" s="677"/>
      <c r="B170" s="677"/>
      <c r="C170" s="678"/>
      <c r="D170" s="678"/>
      <c r="E170" s="678"/>
      <c r="F170" s="678"/>
      <c r="G170" s="679"/>
      <c r="H170" s="679"/>
      <c r="I170" s="680"/>
      <c r="J170" s="681"/>
      <c r="K170" s="678"/>
      <c r="L170" s="665"/>
      <c r="M170" s="665"/>
      <c r="N170" s="688"/>
      <c r="O170" s="685"/>
      <c r="P170" s="685"/>
      <c r="Q170" s="678"/>
      <c r="R170" s="678"/>
      <c r="S170" s="661"/>
      <c r="T170" s="661"/>
      <c r="U170" s="661"/>
      <c r="V170" s="662">
        <f t="shared" si="10"/>
        <v>0</v>
      </c>
      <c r="W170" s="663"/>
      <c r="X170" s="664">
        <f t="shared" si="11"/>
        <v>0</v>
      </c>
      <c r="Y170" s="683"/>
      <c r="Z170" s="665"/>
      <c r="AA170" s="684"/>
      <c r="AB170" s="685"/>
      <c r="AC170" s="665"/>
      <c r="AD170" s="686"/>
    </row>
    <row r="171" spans="1:30" s="687" customFormat="1" ht="12.75" customHeight="1">
      <c r="A171" s="677"/>
      <c r="B171" s="677"/>
      <c r="C171" s="678"/>
      <c r="D171" s="678"/>
      <c r="E171" s="678"/>
      <c r="F171" s="678"/>
      <c r="G171" s="679"/>
      <c r="H171" s="679"/>
      <c r="I171" s="680"/>
      <c r="J171" s="681"/>
      <c r="K171" s="678"/>
      <c r="L171" s="665"/>
      <c r="M171" s="665"/>
      <c r="N171" s="688"/>
      <c r="O171" s="685"/>
      <c r="P171" s="685"/>
      <c r="Q171" s="678"/>
      <c r="R171" s="678"/>
      <c r="S171" s="661"/>
      <c r="T171" s="661"/>
      <c r="U171" s="661"/>
      <c r="V171" s="662">
        <f t="shared" si="10"/>
        <v>0</v>
      </c>
      <c r="W171" s="663"/>
      <c r="X171" s="664">
        <f t="shared" si="11"/>
        <v>0</v>
      </c>
      <c r="Y171" s="683"/>
      <c r="Z171" s="665"/>
      <c r="AA171" s="684"/>
      <c r="AB171" s="685"/>
      <c r="AC171" s="665"/>
      <c r="AD171" s="686"/>
    </row>
    <row r="172" spans="1:30" s="687" customFormat="1" ht="12.75" customHeight="1">
      <c r="A172" s="677"/>
      <c r="B172" s="677"/>
      <c r="C172" s="678"/>
      <c r="D172" s="678"/>
      <c r="E172" s="678"/>
      <c r="F172" s="678"/>
      <c r="G172" s="679"/>
      <c r="H172" s="679"/>
      <c r="I172" s="680"/>
      <c r="J172" s="681"/>
      <c r="K172" s="678"/>
      <c r="L172" s="665"/>
      <c r="M172" s="665"/>
      <c r="N172" s="688"/>
      <c r="O172" s="685"/>
      <c r="P172" s="685"/>
      <c r="Q172" s="678"/>
      <c r="R172" s="678"/>
      <c r="S172" s="661"/>
      <c r="T172" s="661"/>
      <c r="U172" s="661"/>
      <c r="V172" s="662">
        <f t="shared" si="10"/>
        <v>0</v>
      </c>
      <c r="W172" s="663"/>
      <c r="X172" s="664">
        <f t="shared" si="11"/>
        <v>0</v>
      </c>
      <c r="Y172" s="683"/>
      <c r="Z172" s="665"/>
      <c r="AA172" s="684"/>
      <c r="AB172" s="685"/>
      <c r="AC172" s="665"/>
      <c r="AD172" s="686"/>
    </row>
    <row r="173" spans="1:30" s="687" customFormat="1" ht="12.75" customHeight="1">
      <c r="A173" s="677"/>
      <c r="B173" s="677"/>
      <c r="C173" s="678"/>
      <c r="D173" s="678"/>
      <c r="E173" s="678"/>
      <c r="F173" s="678"/>
      <c r="G173" s="679"/>
      <c r="H173" s="679"/>
      <c r="I173" s="680"/>
      <c r="J173" s="681"/>
      <c r="K173" s="678"/>
      <c r="L173" s="665"/>
      <c r="M173" s="665"/>
      <c r="N173" s="688"/>
      <c r="O173" s="685"/>
      <c r="P173" s="685"/>
      <c r="Q173" s="678"/>
      <c r="R173" s="678"/>
      <c r="S173" s="661"/>
      <c r="T173" s="661"/>
      <c r="U173" s="661"/>
      <c r="V173" s="662">
        <f t="shared" si="10"/>
        <v>0</v>
      </c>
      <c r="W173" s="663"/>
      <c r="X173" s="664">
        <f t="shared" si="11"/>
        <v>0</v>
      </c>
      <c r="Y173" s="683"/>
      <c r="Z173" s="665"/>
      <c r="AA173" s="684"/>
      <c r="AB173" s="685"/>
      <c r="AC173" s="665"/>
      <c r="AD173" s="686"/>
    </row>
    <row r="174" spans="1:30" s="687" customFormat="1" ht="12.75" customHeight="1">
      <c r="A174" s="677"/>
      <c r="B174" s="677"/>
      <c r="C174" s="678"/>
      <c r="D174" s="678"/>
      <c r="E174" s="678"/>
      <c r="F174" s="678"/>
      <c r="G174" s="679"/>
      <c r="H174" s="679"/>
      <c r="I174" s="680"/>
      <c r="J174" s="681"/>
      <c r="K174" s="678"/>
      <c r="L174" s="665"/>
      <c r="M174" s="665"/>
      <c r="N174" s="688"/>
      <c r="O174" s="685"/>
      <c r="P174" s="685"/>
      <c r="Q174" s="678"/>
      <c r="R174" s="678"/>
      <c r="S174" s="661"/>
      <c r="T174" s="661"/>
      <c r="U174" s="661"/>
      <c r="V174" s="662">
        <f t="shared" si="10"/>
        <v>0</v>
      </c>
      <c r="W174" s="663"/>
      <c r="X174" s="664">
        <f t="shared" si="11"/>
        <v>0</v>
      </c>
      <c r="Y174" s="683"/>
      <c r="Z174" s="665"/>
      <c r="AA174" s="684"/>
      <c r="AB174" s="685"/>
      <c r="AC174" s="665"/>
      <c r="AD174" s="686"/>
    </row>
    <row r="175" spans="1:30" s="687" customFormat="1" ht="12.75" customHeight="1">
      <c r="A175" s="677"/>
      <c r="B175" s="677"/>
      <c r="C175" s="678"/>
      <c r="D175" s="678"/>
      <c r="E175" s="678"/>
      <c r="F175" s="678"/>
      <c r="G175" s="679"/>
      <c r="H175" s="679"/>
      <c r="I175" s="680"/>
      <c r="J175" s="681"/>
      <c r="K175" s="678"/>
      <c r="L175" s="665"/>
      <c r="M175" s="665"/>
      <c r="N175" s="688"/>
      <c r="O175" s="685"/>
      <c r="P175" s="685"/>
      <c r="Q175" s="678"/>
      <c r="R175" s="678"/>
      <c r="S175" s="661"/>
      <c r="T175" s="661"/>
      <c r="U175" s="661"/>
      <c r="V175" s="662">
        <f t="shared" si="10"/>
        <v>0</v>
      </c>
      <c r="W175" s="663"/>
      <c r="X175" s="664">
        <f t="shared" si="11"/>
        <v>0</v>
      </c>
      <c r="Y175" s="683"/>
      <c r="Z175" s="665"/>
      <c r="AA175" s="684"/>
      <c r="AB175" s="685"/>
      <c r="AC175" s="665"/>
      <c r="AD175" s="686"/>
    </row>
    <row r="176" spans="1:30" s="687" customFormat="1" ht="12.75" customHeight="1">
      <c r="A176" s="677"/>
      <c r="B176" s="677"/>
      <c r="C176" s="678"/>
      <c r="D176" s="678"/>
      <c r="E176" s="678"/>
      <c r="F176" s="678"/>
      <c r="G176" s="679"/>
      <c r="H176" s="679"/>
      <c r="I176" s="680"/>
      <c r="J176" s="681"/>
      <c r="K176" s="678"/>
      <c r="L176" s="665"/>
      <c r="M176" s="665"/>
      <c r="N176" s="688"/>
      <c r="O176" s="685"/>
      <c r="P176" s="685"/>
      <c r="Q176" s="678"/>
      <c r="R176" s="678"/>
      <c r="S176" s="661"/>
      <c r="T176" s="661"/>
      <c r="U176" s="661"/>
      <c r="V176" s="662">
        <f t="shared" si="10"/>
        <v>0</v>
      </c>
      <c r="W176" s="663"/>
      <c r="X176" s="664">
        <f t="shared" si="11"/>
        <v>0</v>
      </c>
      <c r="Y176" s="683"/>
      <c r="Z176" s="665"/>
      <c r="AA176" s="684"/>
      <c r="AB176" s="685"/>
      <c r="AC176" s="665"/>
      <c r="AD176" s="686"/>
    </row>
    <row r="177" spans="1:30" s="687" customFormat="1" ht="12.75" customHeight="1">
      <c r="A177" s="677"/>
      <c r="B177" s="677"/>
      <c r="C177" s="678"/>
      <c r="D177" s="678"/>
      <c r="E177" s="678"/>
      <c r="F177" s="678"/>
      <c r="G177" s="679"/>
      <c r="H177" s="679"/>
      <c r="I177" s="680"/>
      <c r="J177" s="681"/>
      <c r="K177" s="678"/>
      <c r="L177" s="665"/>
      <c r="M177" s="665"/>
      <c r="N177" s="688"/>
      <c r="O177" s="685"/>
      <c r="P177" s="685"/>
      <c r="Q177" s="678"/>
      <c r="R177" s="678"/>
      <c r="S177" s="661"/>
      <c r="T177" s="661"/>
      <c r="U177" s="661"/>
      <c r="V177" s="662">
        <f t="shared" si="10"/>
        <v>0</v>
      </c>
      <c r="W177" s="663"/>
      <c r="X177" s="664">
        <f t="shared" si="11"/>
        <v>0</v>
      </c>
      <c r="Y177" s="683"/>
      <c r="Z177" s="665"/>
      <c r="AA177" s="684"/>
      <c r="AB177" s="685"/>
      <c r="AC177" s="665"/>
      <c r="AD177" s="686"/>
    </row>
    <row r="178" spans="1:30" s="687" customFormat="1" ht="12.75" customHeight="1">
      <c r="A178" s="677"/>
      <c r="B178" s="677"/>
      <c r="C178" s="678"/>
      <c r="D178" s="678"/>
      <c r="E178" s="678"/>
      <c r="F178" s="678"/>
      <c r="G178" s="679"/>
      <c r="H178" s="679"/>
      <c r="I178" s="680"/>
      <c r="J178" s="681"/>
      <c r="K178" s="678"/>
      <c r="L178" s="665"/>
      <c r="M178" s="665"/>
      <c r="N178" s="688"/>
      <c r="O178" s="685"/>
      <c r="P178" s="685"/>
      <c r="Q178" s="678"/>
      <c r="R178" s="678"/>
      <c r="S178" s="661"/>
      <c r="T178" s="661"/>
      <c r="U178" s="661"/>
      <c r="V178" s="662">
        <f t="shared" si="10"/>
        <v>0</v>
      </c>
      <c r="W178" s="663"/>
      <c r="X178" s="664">
        <f t="shared" si="11"/>
        <v>0</v>
      </c>
      <c r="Y178" s="683"/>
      <c r="Z178" s="665"/>
      <c r="AA178" s="684"/>
      <c r="AB178" s="685"/>
      <c r="AC178" s="665"/>
      <c r="AD178" s="686"/>
    </row>
    <row r="179" spans="1:30" s="687" customFormat="1" ht="12.75" customHeight="1">
      <c r="A179" s="677"/>
      <c r="B179" s="677"/>
      <c r="C179" s="678"/>
      <c r="D179" s="678"/>
      <c r="E179" s="678"/>
      <c r="F179" s="678"/>
      <c r="G179" s="679"/>
      <c r="H179" s="679"/>
      <c r="I179" s="680"/>
      <c r="J179" s="681"/>
      <c r="K179" s="678"/>
      <c r="L179" s="665"/>
      <c r="M179" s="665"/>
      <c r="N179" s="688"/>
      <c r="O179" s="685"/>
      <c r="P179" s="685"/>
      <c r="Q179" s="678"/>
      <c r="R179" s="678"/>
      <c r="S179" s="661"/>
      <c r="T179" s="661"/>
      <c r="U179" s="661"/>
      <c r="V179" s="662">
        <f t="shared" si="10"/>
        <v>0</v>
      </c>
      <c r="W179" s="663"/>
      <c r="X179" s="664">
        <f t="shared" si="11"/>
        <v>0</v>
      </c>
      <c r="Y179" s="683"/>
      <c r="Z179" s="665"/>
      <c r="AA179" s="684"/>
      <c r="AB179" s="685"/>
      <c r="AC179" s="665"/>
      <c r="AD179" s="686"/>
    </row>
    <row r="180" spans="1:30" s="687" customFormat="1" ht="12.75" customHeight="1">
      <c r="A180" s="677"/>
      <c r="B180" s="677"/>
      <c r="C180" s="678"/>
      <c r="D180" s="678"/>
      <c r="E180" s="678"/>
      <c r="F180" s="678"/>
      <c r="G180" s="679"/>
      <c r="H180" s="679"/>
      <c r="I180" s="680"/>
      <c r="J180" s="681"/>
      <c r="K180" s="678"/>
      <c r="L180" s="665"/>
      <c r="M180" s="665"/>
      <c r="N180" s="688"/>
      <c r="O180" s="685"/>
      <c r="P180" s="685"/>
      <c r="Q180" s="678"/>
      <c r="R180" s="678"/>
      <c r="S180" s="661"/>
      <c r="T180" s="661"/>
      <c r="U180" s="661"/>
      <c r="V180" s="662">
        <f t="shared" si="10"/>
        <v>0</v>
      </c>
      <c r="W180" s="663"/>
      <c r="X180" s="664">
        <f t="shared" si="11"/>
        <v>0</v>
      </c>
      <c r="Y180" s="683"/>
      <c r="Z180" s="665"/>
      <c r="AA180" s="684"/>
      <c r="AB180" s="685"/>
      <c r="AC180" s="665"/>
      <c r="AD180" s="686"/>
    </row>
    <row r="181" spans="1:30" s="687" customFormat="1" ht="12.75" customHeight="1">
      <c r="A181" s="677"/>
      <c r="B181" s="677"/>
      <c r="C181" s="678"/>
      <c r="D181" s="678"/>
      <c r="E181" s="678"/>
      <c r="F181" s="678"/>
      <c r="G181" s="679"/>
      <c r="H181" s="679"/>
      <c r="I181" s="680"/>
      <c r="J181" s="681"/>
      <c r="K181" s="678"/>
      <c r="L181" s="665"/>
      <c r="M181" s="665"/>
      <c r="N181" s="688"/>
      <c r="O181" s="685"/>
      <c r="P181" s="685"/>
      <c r="Q181" s="678"/>
      <c r="R181" s="678"/>
      <c r="S181" s="661"/>
      <c r="T181" s="661"/>
      <c r="U181" s="661"/>
      <c r="V181" s="662">
        <f t="shared" si="10"/>
        <v>0</v>
      </c>
      <c r="W181" s="663"/>
      <c r="X181" s="664">
        <f t="shared" si="11"/>
        <v>0</v>
      </c>
      <c r="Y181" s="683"/>
      <c r="Z181" s="665"/>
      <c r="AA181" s="684"/>
      <c r="AB181" s="685"/>
      <c r="AC181" s="665"/>
      <c r="AD181" s="686"/>
    </row>
    <row r="182" spans="1:30" s="687" customFormat="1" ht="12.75" customHeight="1">
      <c r="A182" s="677"/>
      <c r="B182" s="677"/>
      <c r="C182" s="678"/>
      <c r="D182" s="678"/>
      <c r="E182" s="678"/>
      <c r="F182" s="678"/>
      <c r="G182" s="679"/>
      <c r="H182" s="679"/>
      <c r="I182" s="680"/>
      <c r="J182" s="681"/>
      <c r="K182" s="678"/>
      <c r="L182" s="665"/>
      <c r="M182" s="665"/>
      <c r="N182" s="688"/>
      <c r="O182" s="685"/>
      <c r="P182" s="685"/>
      <c r="Q182" s="678"/>
      <c r="R182" s="678"/>
      <c r="S182" s="661"/>
      <c r="T182" s="661"/>
      <c r="U182" s="661"/>
      <c r="V182" s="662">
        <f t="shared" si="10"/>
        <v>0</v>
      </c>
      <c r="W182" s="663"/>
      <c r="X182" s="664">
        <f t="shared" si="11"/>
        <v>0</v>
      </c>
      <c r="Y182" s="683"/>
      <c r="Z182" s="665"/>
      <c r="AA182" s="684"/>
      <c r="AB182" s="685"/>
      <c r="AC182" s="665"/>
      <c r="AD182" s="686"/>
    </row>
    <row r="183" spans="1:30" s="687" customFormat="1" ht="12.75" customHeight="1">
      <c r="A183" s="677"/>
      <c r="B183" s="677"/>
      <c r="C183" s="678"/>
      <c r="D183" s="678"/>
      <c r="E183" s="678"/>
      <c r="F183" s="678"/>
      <c r="G183" s="679"/>
      <c r="H183" s="679"/>
      <c r="I183" s="680"/>
      <c r="J183" s="681"/>
      <c r="K183" s="678"/>
      <c r="L183" s="665"/>
      <c r="M183" s="665"/>
      <c r="N183" s="688"/>
      <c r="O183" s="685"/>
      <c r="P183" s="685"/>
      <c r="Q183" s="678"/>
      <c r="R183" s="678"/>
      <c r="S183" s="661"/>
      <c r="T183" s="661"/>
      <c r="U183" s="661"/>
      <c r="V183" s="662">
        <f t="shared" si="10"/>
        <v>0</v>
      </c>
      <c r="W183" s="663"/>
      <c r="X183" s="664">
        <f t="shared" si="11"/>
        <v>0</v>
      </c>
      <c r="Y183" s="683"/>
      <c r="Z183" s="665"/>
      <c r="AA183" s="684"/>
      <c r="AB183" s="685"/>
      <c r="AC183" s="665"/>
      <c r="AD183" s="686"/>
    </row>
    <row r="184" spans="1:30" s="687" customFormat="1" ht="12.75" customHeight="1">
      <c r="A184" s="677"/>
      <c r="B184" s="677"/>
      <c r="C184" s="678"/>
      <c r="D184" s="678"/>
      <c r="E184" s="678"/>
      <c r="F184" s="678"/>
      <c r="G184" s="679"/>
      <c r="H184" s="679"/>
      <c r="I184" s="680"/>
      <c r="J184" s="681"/>
      <c r="K184" s="678"/>
      <c r="L184" s="665"/>
      <c r="M184" s="665"/>
      <c r="N184" s="688"/>
      <c r="O184" s="685"/>
      <c r="P184" s="685"/>
      <c r="Q184" s="678"/>
      <c r="R184" s="678"/>
      <c r="S184" s="661"/>
      <c r="T184" s="661"/>
      <c r="U184" s="661"/>
      <c r="V184" s="662">
        <f t="shared" si="10"/>
        <v>0</v>
      </c>
      <c r="W184" s="663"/>
      <c r="X184" s="664">
        <f t="shared" si="11"/>
        <v>0</v>
      </c>
      <c r="Y184" s="683"/>
      <c r="Z184" s="665"/>
      <c r="AA184" s="684"/>
      <c r="AB184" s="685"/>
      <c r="AC184" s="665"/>
      <c r="AD184" s="686"/>
    </row>
    <row r="185" spans="1:30" s="687" customFormat="1" ht="12.75" customHeight="1">
      <c r="A185" s="677"/>
      <c r="B185" s="677"/>
      <c r="C185" s="678"/>
      <c r="D185" s="678"/>
      <c r="E185" s="678"/>
      <c r="F185" s="678"/>
      <c r="G185" s="679"/>
      <c r="H185" s="679"/>
      <c r="I185" s="680"/>
      <c r="J185" s="681"/>
      <c r="K185" s="678"/>
      <c r="L185" s="665"/>
      <c r="M185" s="665"/>
      <c r="N185" s="688"/>
      <c r="O185" s="685"/>
      <c r="P185" s="685"/>
      <c r="Q185" s="678"/>
      <c r="R185" s="678"/>
      <c r="S185" s="661"/>
      <c r="T185" s="661"/>
      <c r="U185" s="661"/>
      <c r="V185" s="662">
        <f t="shared" si="10"/>
        <v>0</v>
      </c>
      <c r="W185" s="663"/>
      <c r="X185" s="664">
        <f t="shared" si="11"/>
        <v>0</v>
      </c>
      <c r="Y185" s="683"/>
      <c r="Z185" s="665"/>
      <c r="AA185" s="684"/>
      <c r="AB185" s="685"/>
      <c r="AC185" s="665"/>
      <c r="AD185" s="686"/>
    </row>
    <row r="186" spans="1:30" s="687" customFormat="1" ht="12.75" customHeight="1">
      <c r="A186" s="677"/>
      <c r="B186" s="677"/>
      <c r="C186" s="678"/>
      <c r="D186" s="678"/>
      <c r="E186" s="678"/>
      <c r="F186" s="678"/>
      <c r="G186" s="679"/>
      <c r="H186" s="679"/>
      <c r="I186" s="680"/>
      <c r="J186" s="681"/>
      <c r="K186" s="678"/>
      <c r="L186" s="665"/>
      <c r="M186" s="665"/>
      <c r="N186" s="688"/>
      <c r="O186" s="685"/>
      <c r="P186" s="685"/>
      <c r="Q186" s="678"/>
      <c r="R186" s="678"/>
      <c r="S186" s="661"/>
      <c r="T186" s="661"/>
      <c r="U186" s="661"/>
      <c r="V186" s="662">
        <f t="shared" si="10"/>
        <v>0</v>
      </c>
      <c r="W186" s="663"/>
      <c r="X186" s="664">
        <f t="shared" si="11"/>
        <v>0</v>
      </c>
      <c r="Y186" s="683"/>
      <c r="Z186" s="665"/>
      <c r="AA186" s="684"/>
      <c r="AB186" s="685"/>
      <c r="AC186" s="665"/>
      <c r="AD186" s="686"/>
    </row>
    <row r="187" spans="1:30" s="687" customFormat="1" ht="12.75" customHeight="1">
      <c r="A187" s="677"/>
      <c r="B187" s="677"/>
      <c r="C187" s="678"/>
      <c r="D187" s="678"/>
      <c r="E187" s="678"/>
      <c r="F187" s="678"/>
      <c r="G187" s="679"/>
      <c r="H187" s="679"/>
      <c r="I187" s="680"/>
      <c r="J187" s="681"/>
      <c r="K187" s="678"/>
      <c r="L187" s="665"/>
      <c r="M187" s="665"/>
      <c r="N187" s="688"/>
      <c r="O187" s="685"/>
      <c r="P187" s="685"/>
      <c r="Q187" s="678"/>
      <c r="R187" s="678"/>
      <c r="S187" s="661"/>
      <c r="T187" s="661"/>
      <c r="U187" s="661"/>
      <c r="V187" s="662">
        <f t="shared" ref="V187:V250" si="12">SUM(S187:U187)</f>
        <v>0</v>
      </c>
      <c r="W187" s="663"/>
      <c r="X187" s="664">
        <f t="shared" si="11"/>
        <v>0</v>
      </c>
      <c r="Y187" s="683"/>
      <c r="Z187" s="665"/>
      <c r="AA187" s="684"/>
      <c r="AB187" s="685"/>
      <c r="AC187" s="665"/>
      <c r="AD187" s="686"/>
    </row>
    <row r="188" spans="1:30" s="687" customFormat="1" ht="12.75" customHeight="1">
      <c r="A188" s="677"/>
      <c r="B188" s="677"/>
      <c r="C188" s="678"/>
      <c r="D188" s="678"/>
      <c r="E188" s="678"/>
      <c r="F188" s="678"/>
      <c r="G188" s="679"/>
      <c r="H188" s="679"/>
      <c r="I188" s="680"/>
      <c r="J188" s="681"/>
      <c r="K188" s="678"/>
      <c r="L188" s="665"/>
      <c r="M188" s="665"/>
      <c r="N188" s="688"/>
      <c r="O188" s="685"/>
      <c r="P188" s="685"/>
      <c r="Q188" s="678"/>
      <c r="R188" s="678"/>
      <c r="S188" s="661"/>
      <c r="T188" s="661"/>
      <c r="U188" s="661"/>
      <c r="V188" s="662">
        <f t="shared" si="12"/>
        <v>0</v>
      </c>
      <c r="W188" s="663"/>
      <c r="X188" s="664">
        <f t="shared" ref="X188:X251" si="13">V188*W188</f>
        <v>0</v>
      </c>
      <c r="Y188" s="683"/>
      <c r="Z188" s="665"/>
      <c r="AA188" s="684"/>
      <c r="AB188" s="685"/>
      <c r="AC188" s="665"/>
      <c r="AD188" s="686"/>
    </row>
    <row r="189" spans="1:30" s="687" customFormat="1" ht="12.75" customHeight="1">
      <c r="A189" s="677"/>
      <c r="B189" s="677"/>
      <c r="C189" s="678"/>
      <c r="D189" s="678"/>
      <c r="E189" s="678"/>
      <c r="F189" s="678"/>
      <c r="G189" s="679"/>
      <c r="H189" s="679"/>
      <c r="I189" s="680"/>
      <c r="J189" s="681"/>
      <c r="K189" s="678"/>
      <c r="L189" s="665"/>
      <c r="M189" s="665"/>
      <c r="N189" s="688"/>
      <c r="O189" s="685"/>
      <c r="P189" s="685"/>
      <c r="Q189" s="678"/>
      <c r="R189" s="678"/>
      <c r="S189" s="661"/>
      <c r="T189" s="661"/>
      <c r="U189" s="661"/>
      <c r="V189" s="662">
        <f t="shared" si="12"/>
        <v>0</v>
      </c>
      <c r="W189" s="663"/>
      <c r="X189" s="664">
        <f t="shared" si="13"/>
        <v>0</v>
      </c>
      <c r="Y189" s="683"/>
      <c r="Z189" s="665"/>
      <c r="AA189" s="684"/>
      <c r="AB189" s="685"/>
      <c r="AC189" s="665"/>
      <c r="AD189" s="686"/>
    </row>
    <row r="190" spans="1:30" s="687" customFormat="1" ht="12.75" customHeight="1">
      <c r="A190" s="677"/>
      <c r="B190" s="677"/>
      <c r="C190" s="678"/>
      <c r="D190" s="678"/>
      <c r="E190" s="678"/>
      <c r="F190" s="678"/>
      <c r="G190" s="679"/>
      <c r="H190" s="679"/>
      <c r="I190" s="680"/>
      <c r="J190" s="681"/>
      <c r="K190" s="678"/>
      <c r="L190" s="665"/>
      <c r="M190" s="665"/>
      <c r="N190" s="688"/>
      <c r="O190" s="685"/>
      <c r="P190" s="685"/>
      <c r="Q190" s="678"/>
      <c r="R190" s="678"/>
      <c r="S190" s="661"/>
      <c r="T190" s="661"/>
      <c r="U190" s="661"/>
      <c r="V190" s="662">
        <f t="shared" si="12"/>
        <v>0</v>
      </c>
      <c r="W190" s="663"/>
      <c r="X190" s="664">
        <f t="shared" si="13"/>
        <v>0</v>
      </c>
      <c r="Y190" s="683"/>
      <c r="Z190" s="665"/>
      <c r="AA190" s="684"/>
      <c r="AB190" s="685"/>
      <c r="AC190" s="665"/>
      <c r="AD190" s="686"/>
    </row>
    <row r="191" spans="1:30" s="687" customFormat="1" ht="12.75" customHeight="1">
      <c r="A191" s="677"/>
      <c r="B191" s="677"/>
      <c r="C191" s="678"/>
      <c r="D191" s="678"/>
      <c r="E191" s="678"/>
      <c r="F191" s="678"/>
      <c r="G191" s="679"/>
      <c r="H191" s="679"/>
      <c r="I191" s="680"/>
      <c r="J191" s="681"/>
      <c r="K191" s="678"/>
      <c r="L191" s="665"/>
      <c r="M191" s="665"/>
      <c r="N191" s="688"/>
      <c r="O191" s="685"/>
      <c r="P191" s="685"/>
      <c r="Q191" s="678"/>
      <c r="R191" s="678"/>
      <c r="S191" s="661"/>
      <c r="T191" s="661"/>
      <c r="U191" s="661"/>
      <c r="V191" s="662">
        <f t="shared" si="12"/>
        <v>0</v>
      </c>
      <c r="W191" s="663"/>
      <c r="X191" s="664">
        <f t="shared" si="13"/>
        <v>0</v>
      </c>
      <c r="Y191" s="683"/>
      <c r="Z191" s="665"/>
      <c r="AA191" s="684"/>
      <c r="AB191" s="685"/>
      <c r="AC191" s="665"/>
      <c r="AD191" s="686"/>
    </row>
    <row r="192" spans="1:30" s="687" customFormat="1" ht="12.75" customHeight="1">
      <c r="A192" s="677"/>
      <c r="B192" s="677"/>
      <c r="C192" s="678"/>
      <c r="D192" s="678"/>
      <c r="E192" s="678"/>
      <c r="F192" s="678"/>
      <c r="G192" s="679"/>
      <c r="H192" s="679"/>
      <c r="I192" s="680"/>
      <c r="J192" s="681"/>
      <c r="K192" s="678"/>
      <c r="L192" s="665"/>
      <c r="M192" s="665"/>
      <c r="N192" s="688"/>
      <c r="O192" s="685"/>
      <c r="P192" s="685"/>
      <c r="Q192" s="678"/>
      <c r="R192" s="678"/>
      <c r="S192" s="661"/>
      <c r="T192" s="661"/>
      <c r="U192" s="661"/>
      <c r="V192" s="662">
        <f t="shared" si="12"/>
        <v>0</v>
      </c>
      <c r="W192" s="663"/>
      <c r="X192" s="664">
        <f t="shared" si="13"/>
        <v>0</v>
      </c>
      <c r="Y192" s="683"/>
      <c r="Z192" s="665"/>
      <c r="AA192" s="684"/>
      <c r="AB192" s="685"/>
      <c r="AC192" s="665"/>
      <c r="AD192" s="686"/>
    </row>
    <row r="193" spans="1:30" s="687" customFormat="1" ht="12.75" customHeight="1">
      <c r="A193" s="677"/>
      <c r="B193" s="677"/>
      <c r="C193" s="678"/>
      <c r="D193" s="678"/>
      <c r="E193" s="678"/>
      <c r="F193" s="678"/>
      <c r="G193" s="679"/>
      <c r="H193" s="679"/>
      <c r="I193" s="680"/>
      <c r="J193" s="681"/>
      <c r="K193" s="678"/>
      <c r="L193" s="665"/>
      <c r="M193" s="665"/>
      <c r="N193" s="688"/>
      <c r="O193" s="685"/>
      <c r="P193" s="685"/>
      <c r="Q193" s="678"/>
      <c r="R193" s="678"/>
      <c r="S193" s="661"/>
      <c r="T193" s="661"/>
      <c r="U193" s="661"/>
      <c r="V193" s="662">
        <f t="shared" si="12"/>
        <v>0</v>
      </c>
      <c r="W193" s="663"/>
      <c r="X193" s="664">
        <f t="shared" si="13"/>
        <v>0</v>
      </c>
      <c r="Y193" s="683"/>
      <c r="Z193" s="665"/>
      <c r="AA193" s="684"/>
      <c r="AB193" s="685"/>
      <c r="AC193" s="665"/>
      <c r="AD193" s="686"/>
    </row>
    <row r="194" spans="1:30" s="687" customFormat="1" ht="12.75" customHeight="1">
      <c r="A194" s="677"/>
      <c r="B194" s="677"/>
      <c r="C194" s="678"/>
      <c r="D194" s="678"/>
      <c r="E194" s="678"/>
      <c r="F194" s="678"/>
      <c r="G194" s="679"/>
      <c r="H194" s="679"/>
      <c r="I194" s="680"/>
      <c r="J194" s="681"/>
      <c r="K194" s="678"/>
      <c r="L194" s="665"/>
      <c r="M194" s="665"/>
      <c r="N194" s="688"/>
      <c r="O194" s="685"/>
      <c r="P194" s="685"/>
      <c r="Q194" s="678"/>
      <c r="R194" s="678"/>
      <c r="S194" s="661"/>
      <c r="T194" s="661"/>
      <c r="U194" s="661"/>
      <c r="V194" s="662">
        <f t="shared" si="12"/>
        <v>0</v>
      </c>
      <c r="W194" s="663"/>
      <c r="X194" s="664">
        <f t="shared" si="13"/>
        <v>0</v>
      </c>
      <c r="Y194" s="683"/>
      <c r="Z194" s="665"/>
      <c r="AA194" s="684"/>
      <c r="AB194" s="685"/>
      <c r="AC194" s="665"/>
      <c r="AD194" s="686"/>
    </row>
    <row r="195" spans="1:30" s="687" customFormat="1" ht="12.75" customHeight="1">
      <c r="A195" s="677"/>
      <c r="B195" s="677"/>
      <c r="C195" s="678"/>
      <c r="D195" s="678"/>
      <c r="E195" s="678"/>
      <c r="F195" s="678"/>
      <c r="G195" s="679"/>
      <c r="H195" s="679"/>
      <c r="I195" s="680"/>
      <c r="J195" s="681"/>
      <c r="K195" s="678"/>
      <c r="L195" s="665"/>
      <c r="M195" s="665"/>
      <c r="N195" s="688"/>
      <c r="O195" s="685"/>
      <c r="P195" s="685"/>
      <c r="Q195" s="678"/>
      <c r="R195" s="678"/>
      <c r="S195" s="661"/>
      <c r="T195" s="661"/>
      <c r="U195" s="661"/>
      <c r="V195" s="662">
        <f t="shared" si="12"/>
        <v>0</v>
      </c>
      <c r="W195" s="663"/>
      <c r="X195" s="664">
        <f t="shared" si="13"/>
        <v>0</v>
      </c>
      <c r="Y195" s="683"/>
      <c r="Z195" s="665"/>
      <c r="AA195" s="684"/>
      <c r="AB195" s="685"/>
      <c r="AC195" s="665"/>
      <c r="AD195" s="686"/>
    </row>
    <row r="196" spans="1:30" s="687" customFormat="1" ht="12.75" customHeight="1">
      <c r="A196" s="677"/>
      <c r="B196" s="677"/>
      <c r="C196" s="678"/>
      <c r="D196" s="678"/>
      <c r="E196" s="678"/>
      <c r="F196" s="678"/>
      <c r="G196" s="679"/>
      <c r="H196" s="679"/>
      <c r="I196" s="680"/>
      <c r="J196" s="681"/>
      <c r="K196" s="678"/>
      <c r="L196" s="665"/>
      <c r="M196" s="665"/>
      <c r="N196" s="688"/>
      <c r="O196" s="685"/>
      <c r="P196" s="685"/>
      <c r="Q196" s="678"/>
      <c r="R196" s="678"/>
      <c r="S196" s="661"/>
      <c r="T196" s="661"/>
      <c r="U196" s="661"/>
      <c r="V196" s="662">
        <f t="shared" si="12"/>
        <v>0</v>
      </c>
      <c r="W196" s="663"/>
      <c r="X196" s="664">
        <f t="shared" si="13"/>
        <v>0</v>
      </c>
      <c r="Y196" s="683"/>
      <c r="Z196" s="665"/>
      <c r="AA196" s="684"/>
      <c r="AB196" s="685"/>
      <c r="AC196" s="665"/>
      <c r="AD196" s="686"/>
    </row>
    <row r="197" spans="1:30" s="687" customFormat="1" ht="12.75" customHeight="1">
      <c r="A197" s="677"/>
      <c r="B197" s="677"/>
      <c r="C197" s="678"/>
      <c r="D197" s="678"/>
      <c r="E197" s="678"/>
      <c r="F197" s="678"/>
      <c r="G197" s="679"/>
      <c r="H197" s="679"/>
      <c r="I197" s="680"/>
      <c r="J197" s="681"/>
      <c r="K197" s="678"/>
      <c r="L197" s="665"/>
      <c r="M197" s="665"/>
      <c r="N197" s="688"/>
      <c r="O197" s="685"/>
      <c r="P197" s="685"/>
      <c r="Q197" s="678"/>
      <c r="R197" s="678"/>
      <c r="S197" s="661"/>
      <c r="T197" s="661"/>
      <c r="U197" s="661"/>
      <c r="V197" s="662">
        <f t="shared" si="12"/>
        <v>0</v>
      </c>
      <c r="W197" s="663"/>
      <c r="X197" s="664">
        <f t="shared" si="13"/>
        <v>0</v>
      </c>
      <c r="Y197" s="683"/>
      <c r="Z197" s="665"/>
      <c r="AA197" s="684"/>
      <c r="AB197" s="685"/>
      <c r="AC197" s="665"/>
      <c r="AD197" s="686"/>
    </row>
    <row r="198" spans="1:30" s="687" customFormat="1" ht="12.75" customHeight="1">
      <c r="A198" s="677"/>
      <c r="B198" s="677"/>
      <c r="C198" s="678"/>
      <c r="D198" s="678"/>
      <c r="E198" s="678"/>
      <c r="F198" s="678"/>
      <c r="G198" s="679"/>
      <c r="H198" s="679"/>
      <c r="I198" s="680"/>
      <c r="J198" s="681"/>
      <c r="K198" s="678"/>
      <c r="L198" s="665"/>
      <c r="M198" s="665"/>
      <c r="N198" s="688"/>
      <c r="O198" s="685"/>
      <c r="P198" s="685"/>
      <c r="Q198" s="678"/>
      <c r="R198" s="678"/>
      <c r="S198" s="661"/>
      <c r="T198" s="661"/>
      <c r="U198" s="661"/>
      <c r="V198" s="662">
        <f t="shared" si="12"/>
        <v>0</v>
      </c>
      <c r="W198" s="663"/>
      <c r="X198" s="664">
        <f t="shared" si="13"/>
        <v>0</v>
      </c>
      <c r="Y198" s="683"/>
      <c r="Z198" s="665"/>
      <c r="AA198" s="684"/>
      <c r="AB198" s="685"/>
      <c r="AC198" s="665"/>
      <c r="AD198" s="686"/>
    </row>
    <row r="199" spans="1:30" s="687" customFormat="1" ht="12.75" customHeight="1">
      <c r="A199" s="677"/>
      <c r="B199" s="677"/>
      <c r="C199" s="678"/>
      <c r="D199" s="678"/>
      <c r="E199" s="678"/>
      <c r="F199" s="678"/>
      <c r="G199" s="679"/>
      <c r="H199" s="679"/>
      <c r="I199" s="680"/>
      <c r="J199" s="681"/>
      <c r="K199" s="678"/>
      <c r="L199" s="665"/>
      <c r="M199" s="665"/>
      <c r="N199" s="688"/>
      <c r="O199" s="685"/>
      <c r="P199" s="685"/>
      <c r="Q199" s="678"/>
      <c r="R199" s="678"/>
      <c r="S199" s="661"/>
      <c r="T199" s="661"/>
      <c r="U199" s="661"/>
      <c r="V199" s="662">
        <f t="shared" si="12"/>
        <v>0</v>
      </c>
      <c r="W199" s="663"/>
      <c r="X199" s="664">
        <f t="shared" si="13"/>
        <v>0</v>
      </c>
      <c r="Y199" s="683"/>
      <c r="Z199" s="665"/>
      <c r="AA199" s="684"/>
      <c r="AB199" s="685"/>
      <c r="AC199" s="665"/>
      <c r="AD199" s="686"/>
    </row>
    <row r="200" spans="1:30" s="687" customFormat="1" ht="12.75" customHeight="1">
      <c r="A200" s="677"/>
      <c r="B200" s="677"/>
      <c r="C200" s="678"/>
      <c r="D200" s="678"/>
      <c r="E200" s="678"/>
      <c r="F200" s="678"/>
      <c r="G200" s="679"/>
      <c r="H200" s="679"/>
      <c r="I200" s="680"/>
      <c r="J200" s="681"/>
      <c r="K200" s="678"/>
      <c r="L200" s="665"/>
      <c r="M200" s="665"/>
      <c r="N200" s="688"/>
      <c r="O200" s="685"/>
      <c r="P200" s="685"/>
      <c r="Q200" s="678"/>
      <c r="R200" s="678"/>
      <c r="S200" s="661"/>
      <c r="T200" s="661"/>
      <c r="U200" s="661"/>
      <c r="V200" s="662">
        <f t="shared" si="12"/>
        <v>0</v>
      </c>
      <c r="W200" s="663"/>
      <c r="X200" s="664">
        <f t="shared" si="13"/>
        <v>0</v>
      </c>
      <c r="Y200" s="683"/>
      <c r="Z200" s="665"/>
      <c r="AA200" s="684"/>
      <c r="AB200" s="685"/>
      <c r="AC200" s="665"/>
      <c r="AD200" s="686"/>
    </row>
    <row r="201" spans="1:30" s="687" customFormat="1" ht="12.75" customHeight="1">
      <c r="A201" s="677"/>
      <c r="B201" s="677"/>
      <c r="C201" s="678"/>
      <c r="D201" s="678"/>
      <c r="E201" s="678"/>
      <c r="F201" s="678"/>
      <c r="G201" s="679"/>
      <c r="H201" s="679"/>
      <c r="I201" s="680"/>
      <c r="J201" s="681"/>
      <c r="K201" s="678"/>
      <c r="L201" s="665"/>
      <c r="M201" s="665"/>
      <c r="N201" s="688"/>
      <c r="O201" s="685"/>
      <c r="P201" s="685"/>
      <c r="Q201" s="678"/>
      <c r="R201" s="678"/>
      <c r="S201" s="661"/>
      <c r="T201" s="661"/>
      <c r="U201" s="661"/>
      <c r="V201" s="662">
        <f t="shared" si="12"/>
        <v>0</v>
      </c>
      <c r="W201" s="663"/>
      <c r="X201" s="664">
        <f t="shared" si="13"/>
        <v>0</v>
      </c>
      <c r="Y201" s="683"/>
      <c r="Z201" s="665"/>
      <c r="AA201" s="684"/>
      <c r="AB201" s="685"/>
      <c r="AC201" s="665"/>
      <c r="AD201" s="686"/>
    </row>
    <row r="202" spans="1:30" s="687" customFormat="1" ht="12.75" customHeight="1">
      <c r="A202" s="677"/>
      <c r="B202" s="677"/>
      <c r="C202" s="678"/>
      <c r="D202" s="678"/>
      <c r="E202" s="678"/>
      <c r="F202" s="678"/>
      <c r="G202" s="679"/>
      <c r="H202" s="679"/>
      <c r="I202" s="680"/>
      <c r="J202" s="681"/>
      <c r="K202" s="678"/>
      <c r="L202" s="665"/>
      <c r="M202" s="665"/>
      <c r="N202" s="688"/>
      <c r="O202" s="685"/>
      <c r="P202" s="685"/>
      <c r="Q202" s="678"/>
      <c r="R202" s="678"/>
      <c r="S202" s="661"/>
      <c r="T202" s="661"/>
      <c r="U202" s="661"/>
      <c r="V202" s="662">
        <f t="shared" si="12"/>
        <v>0</v>
      </c>
      <c r="W202" s="663"/>
      <c r="X202" s="664">
        <f t="shared" si="13"/>
        <v>0</v>
      </c>
      <c r="Y202" s="683"/>
      <c r="Z202" s="665"/>
      <c r="AA202" s="684"/>
      <c r="AB202" s="685"/>
      <c r="AC202" s="665"/>
      <c r="AD202" s="686"/>
    </row>
    <row r="203" spans="1:30" s="687" customFormat="1" ht="12.75" customHeight="1">
      <c r="A203" s="677"/>
      <c r="B203" s="677"/>
      <c r="C203" s="678"/>
      <c r="D203" s="678"/>
      <c r="E203" s="678"/>
      <c r="F203" s="678"/>
      <c r="G203" s="679"/>
      <c r="H203" s="679"/>
      <c r="I203" s="680"/>
      <c r="J203" s="681"/>
      <c r="K203" s="678"/>
      <c r="L203" s="665"/>
      <c r="M203" s="665"/>
      <c r="N203" s="688"/>
      <c r="O203" s="685"/>
      <c r="P203" s="685"/>
      <c r="Q203" s="678"/>
      <c r="R203" s="678"/>
      <c r="S203" s="661"/>
      <c r="T203" s="661"/>
      <c r="U203" s="661"/>
      <c r="V203" s="662">
        <f t="shared" si="12"/>
        <v>0</v>
      </c>
      <c r="W203" s="663"/>
      <c r="X203" s="664">
        <f t="shared" si="13"/>
        <v>0</v>
      </c>
      <c r="Y203" s="683"/>
      <c r="Z203" s="665"/>
      <c r="AA203" s="684"/>
      <c r="AB203" s="685"/>
      <c r="AC203" s="665"/>
      <c r="AD203" s="686"/>
    </row>
    <row r="204" spans="1:30" s="687" customFormat="1" ht="12.75" customHeight="1">
      <c r="A204" s="677"/>
      <c r="B204" s="677"/>
      <c r="C204" s="678"/>
      <c r="D204" s="678"/>
      <c r="E204" s="678"/>
      <c r="F204" s="678"/>
      <c r="G204" s="679"/>
      <c r="H204" s="679"/>
      <c r="I204" s="680"/>
      <c r="J204" s="681"/>
      <c r="K204" s="678"/>
      <c r="L204" s="665"/>
      <c r="M204" s="665"/>
      <c r="N204" s="688"/>
      <c r="O204" s="685"/>
      <c r="P204" s="685"/>
      <c r="Q204" s="678"/>
      <c r="R204" s="678"/>
      <c r="S204" s="661"/>
      <c r="T204" s="661"/>
      <c r="U204" s="661"/>
      <c r="V204" s="662">
        <f t="shared" si="12"/>
        <v>0</v>
      </c>
      <c r="W204" s="663"/>
      <c r="X204" s="664">
        <f t="shared" si="13"/>
        <v>0</v>
      </c>
      <c r="Y204" s="683"/>
      <c r="Z204" s="665"/>
      <c r="AA204" s="684"/>
      <c r="AB204" s="685"/>
      <c r="AC204" s="665"/>
      <c r="AD204" s="686"/>
    </row>
    <row r="205" spans="1:30" s="687" customFormat="1" ht="12.75" customHeight="1">
      <c r="A205" s="677"/>
      <c r="B205" s="677"/>
      <c r="C205" s="678"/>
      <c r="D205" s="678"/>
      <c r="E205" s="678"/>
      <c r="F205" s="678"/>
      <c r="G205" s="679"/>
      <c r="H205" s="679"/>
      <c r="I205" s="680"/>
      <c r="J205" s="681"/>
      <c r="K205" s="678"/>
      <c r="L205" s="665"/>
      <c r="M205" s="665"/>
      <c r="N205" s="688"/>
      <c r="O205" s="685"/>
      <c r="P205" s="685"/>
      <c r="Q205" s="678"/>
      <c r="R205" s="678"/>
      <c r="S205" s="661"/>
      <c r="T205" s="661"/>
      <c r="U205" s="661"/>
      <c r="V205" s="662">
        <f t="shared" si="12"/>
        <v>0</v>
      </c>
      <c r="W205" s="663"/>
      <c r="X205" s="664">
        <f t="shared" si="13"/>
        <v>0</v>
      </c>
      <c r="Y205" s="683"/>
      <c r="Z205" s="665"/>
      <c r="AA205" s="684"/>
      <c r="AB205" s="685"/>
      <c r="AC205" s="665"/>
      <c r="AD205" s="686"/>
    </row>
    <row r="206" spans="1:30" s="687" customFormat="1" ht="12.75" customHeight="1">
      <c r="A206" s="677"/>
      <c r="B206" s="677"/>
      <c r="C206" s="678"/>
      <c r="D206" s="678"/>
      <c r="E206" s="678"/>
      <c r="F206" s="678"/>
      <c r="G206" s="679"/>
      <c r="H206" s="679"/>
      <c r="I206" s="680"/>
      <c r="J206" s="681"/>
      <c r="K206" s="678"/>
      <c r="L206" s="665"/>
      <c r="M206" s="665"/>
      <c r="N206" s="688"/>
      <c r="O206" s="685"/>
      <c r="P206" s="685"/>
      <c r="Q206" s="678"/>
      <c r="R206" s="678"/>
      <c r="S206" s="661"/>
      <c r="T206" s="661"/>
      <c r="U206" s="661"/>
      <c r="V206" s="662">
        <f t="shared" si="12"/>
        <v>0</v>
      </c>
      <c r="W206" s="663"/>
      <c r="X206" s="664">
        <f t="shared" si="13"/>
        <v>0</v>
      </c>
      <c r="Y206" s="683"/>
      <c r="Z206" s="665"/>
      <c r="AA206" s="684"/>
      <c r="AB206" s="685"/>
      <c r="AC206" s="665"/>
      <c r="AD206" s="686"/>
    </row>
    <row r="207" spans="1:30" s="687" customFormat="1" ht="12.75" customHeight="1">
      <c r="A207" s="677"/>
      <c r="B207" s="677"/>
      <c r="C207" s="678"/>
      <c r="D207" s="678"/>
      <c r="E207" s="678"/>
      <c r="F207" s="678"/>
      <c r="G207" s="679"/>
      <c r="H207" s="679"/>
      <c r="I207" s="680"/>
      <c r="J207" s="681"/>
      <c r="K207" s="678"/>
      <c r="L207" s="665"/>
      <c r="M207" s="665"/>
      <c r="N207" s="688"/>
      <c r="O207" s="685"/>
      <c r="P207" s="685"/>
      <c r="Q207" s="678"/>
      <c r="R207" s="678"/>
      <c r="S207" s="661"/>
      <c r="T207" s="661"/>
      <c r="U207" s="661"/>
      <c r="V207" s="662">
        <f t="shared" si="12"/>
        <v>0</v>
      </c>
      <c r="W207" s="663"/>
      <c r="X207" s="664">
        <f t="shared" si="13"/>
        <v>0</v>
      </c>
      <c r="Y207" s="683"/>
      <c r="Z207" s="665"/>
      <c r="AA207" s="684"/>
      <c r="AB207" s="685"/>
      <c r="AC207" s="665"/>
      <c r="AD207" s="686"/>
    </row>
    <row r="208" spans="1:30" s="687" customFormat="1" ht="12.75" customHeight="1">
      <c r="A208" s="677"/>
      <c r="B208" s="677"/>
      <c r="C208" s="678"/>
      <c r="D208" s="678"/>
      <c r="E208" s="678"/>
      <c r="F208" s="678"/>
      <c r="G208" s="679"/>
      <c r="H208" s="679"/>
      <c r="I208" s="680"/>
      <c r="J208" s="681"/>
      <c r="K208" s="678"/>
      <c r="L208" s="665"/>
      <c r="M208" s="665"/>
      <c r="N208" s="688"/>
      <c r="O208" s="685"/>
      <c r="P208" s="685"/>
      <c r="Q208" s="678"/>
      <c r="R208" s="678"/>
      <c r="S208" s="661"/>
      <c r="T208" s="661"/>
      <c r="U208" s="661"/>
      <c r="V208" s="662">
        <f t="shared" si="12"/>
        <v>0</v>
      </c>
      <c r="W208" s="663"/>
      <c r="X208" s="664">
        <f t="shared" si="13"/>
        <v>0</v>
      </c>
      <c r="Y208" s="683"/>
      <c r="Z208" s="665"/>
      <c r="AA208" s="684"/>
      <c r="AB208" s="685"/>
      <c r="AC208" s="665"/>
      <c r="AD208" s="686"/>
    </row>
    <row r="209" spans="1:30" s="687" customFormat="1" ht="12.75" customHeight="1">
      <c r="A209" s="677"/>
      <c r="B209" s="677"/>
      <c r="C209" s="678"/>
      <c r="D209" s="678"/>
      <c r="E209" s="678"/>
      <c r="F209" s="678"/>
      <c r="G209" s="679"/>
      <c r="H209" s="679"/>
      <c r="I209" s="680"/>
      <c r="J209" s="681"/>
      <c r="K209" s="678"/>
      <c r="L209" s="665"/>
      <c r="M209" s="665"/>
      <c r="N209" s="688"/>
      <c r="O209" s="685"/>
      <c r="P209" s="685"/>
      <c r="Q209" s="678"/>
      <c r="R209" s="678"/>
      <c r="S209" s="661"/>
      <c r="T209" s="661"/>
      <c r="U209" s="661"/>
      <c r="V209" s="662">
        <f t="shared" si="12"/>
        <v>0</v>
      </c>
      <c r="W209" s="663"/>
      <c r="X209" s="664">
        <f t="shared" si="13"/>
        <v>0</v>
      </c>
      <c r="Y209" s="683"/>
      <c r="Z209" s="665"/>
      <c r="AA209" s="684"/>
      <c r="AB209" s="685"/>
      <c r="AC209" s="665"/>
      <c r="AD209" s="686"/>
    </row>
    <row r="210" spans="1:30" s="687" customFormat="1" ht="12.75" customHeight="1">
      <c r="A210" s="677"/>
      <c r="B210" s="677"/>
      <c r="C210" s="678"/>
      <c r="D210" s="678"/>
      <c r="E210" s="678"/>
      <c r="F210" s="678"/>
      <c r="G210" s="679"/>
      <c r="H210" s="679"/>
      <c r="I210" s="680"/>
      <c r="J210" s="681"/>
      <c r="K210" s="678"/>
      <c r="L210" s="665"/>
      <c r="M210" s="665"/>
      <c r="N210" s="688"/>
      <c r="O210" s="685"/>
      <c r="P210" s="685"/>
      <c r="Q210" s="678"/>
      <c r="R210" s="678"/>
      <c r="S210" s="661"/>
      <c r="T210" s="661"/>
      <c r="U210" s="661"/>
      <c r="V210" s="662">
        <f t="shared" si="12"/>
        <v>0</v>
      </c>
      <c r="W210" s="663"/>
      <c r="X210" s="664">
        <f t="shared" si="13"/>
        <v>0</v>
      </c>
      <c r="Y210" s="683"/>
      <c r="Z210" s="665"/>
      <c r="AA210" s="684"/>
      <c r="AB210" s="685"/>
      <c r="AC210" s="665"/>
      <c r="AD210" s="686"/>
    </row>
    <row r="211" spans="1:30" s="687" customFormat="1" ht="12.75" customHeight="1">
      <c r="A211" s="677"/>
      <c r="B211" s="677"/>
      <c r="C211" s="678"/>
      <c r="D211" s="678"/>
      <c r="E211" s="678"/>
      <c r="F211" s="678"/>
      <c r="G211" s="679"/>
      <c r="H211" s="679"/>
      <c r="I211" s="680"/>
      <c r="J211" s="681"/>
      <c r="K211" s="678"/>
      <c r="L211" s="665"/>
      <c r="M211" s="665"/>
      <c r="N211" s="688"/>
      <c r="O211" s="685"/>
      <c r="P211" s="685"/>
      <c r="Q211" s="678"/>
      <c r="R211" s="678"/>
      <c r="S211" s="661"/>
      <c r="T211" s="661"/>
      <c r="U211" s="661"/>
      <c r="V211" s="662">
        <f t="shared" si="12"/>
        <v>0</v>
      </c>
      <c r="W211" s="663"/>
      <c r="X211" s="664">
        <f t="shared" si="13"/>
        <v>0</v>
      </c>
      <c r="Y211" s="683"/>
      <c r="Z211" s="665"/>
      <c r="AA211" s="684"/>
      <c r="AB211" s="685"/>
      <c r="AC211" s="665"/>
      <c r="AD211" s="686"/>
    </row>
    <row r="212" spans="1:30" s="687" customFormat="1" ht="12.75" customHeight="1">
      <c r="A212" s="677"/>
      <c r="B212" s="677"/>
      <c r="C212" s="678"/>
      <c r="D212" s="678"/>
      <c r="E212" s="678"/>
      <c r="F212" s="678"/>
      <c r="G212" s="679"/>
      <c r="H212" s="679"/>
      <c r="I212" s="680"/>
      <c r="J212" s="681"/>
      <c r="K212" s="678"/>
      <c r="L212" s="665"/>
      <c r="M212" s="665"/>
      <c r="N212" s="688"/>
      <c r="O212" s="685"/>
      <c r="P212" s="685"/>
      <c r="Q212" s="678"/>
      <c r="R212" s="678"/>
      <c r="S212" s="661"/>
      <c r="T212" s="661"/>
      <c r="U212" s="661"/>
      <c r="V212" s="662">
        <f t="shared" si="12"/>
        <v>0</v>
      </c>
      <c r="W212" s="663"/>
      <c r="X212" s="664">
        <f t="shared" si="13"/>
        <v>0</v>
      </c>
      <c r="Y212" s="683"/>
      <c r="Z212" s="665"/>
      <c r="AA212" s="684"/>
      <c r="AB212" s="685"/>
      <c r="AC212" s="665"/>
      <c r="AD212" s="686"/>
    </row>
    <row r="213" spans="1:30" s="687" customFormat="1" ht="12.75" customHeight="1">
      <c r="A213" s="677"/>
      <c r="B213" s="677"/>
      <c r="C213" s="678"/>
      <c r="D213" s="678"/>
      <c r="E213" s="678"/>
      <c r="F213" s="678"/>
      <c r="G213" s="679"/>
      <c r="H213" s="679"/>
      <c r="I213" s="680"/>
      <c r="J213" s="681"/>
      <c r="K213" s="678"/>
      <c r="L213" s="665"/>
      <c r="M213" s="665"/>
      <c r="N213" s="688"/>
      <c r="O213" s="685"/>
      <c r="P213" s="685"/>
      <c r="Q213" s="678"/>
      <c r="R213" s="678"/>
      <c r="S213" s="661"/>
      <c r="T213" s="661"/>
      <c r="U213" s="661"/>
      <c r="V213" s="662">
        <f t="shared" si="12"/>
        <v>0</v>
      </c>
      <c r="W213" s="663"/>
      <c r="X213" s="664">
        <f t="shared" si="13"/>
        <v>0</v>
      </c>
      <c r="Y213" s="683"/>
      <c r="Z213" s="665"/>
      <c r="AA213" s="684"/>
      <c r="AB213" s="685"/>
      <c r="AC213" s="665"/>
      <c r="AD213" s="686"/>
    </row>
    <row r="214" spans="1:30" s="687" customFormat="1" ht="12.75" customHeight="1">
      <c r="A214" s="677"/>
      <c r="B214" s="677"/>
      <c r="C214" s="678"/>
      <c r="D214" s="678"/>
      <c r="E214" s="678"/>
      <c r="F214" s="678"/>
      <c r="G214" s="679"/>
      <c r="H214" s="679"/>
      <c r="I214" s="680"/>
      <c r="J214" s="681"/>
      <c r="K214" s="678"/>
      <c r="L214" s="665"/>
      <c r="M214" s="665"/>
      <c r="N214" s="688"/>
      <c r="O214" s="685"/>
      <c r="P214" s="685"/>
      <c r="Q214" s="678"/>
      <c r="R214" s="678"/>
      <c r="S214" s="661"/>
      <c r="T214" s="661"/>
      <c r="U214" s="661"/>
      <c r="V214" s="662">
        <f t="shared" si="12"/>
        <v>0</v>
      </c>
      <c r="W214" s="663"/>
      <c r="X214" s="664">
        <f t="shared" si="13"/>
        <v>0</v>
      </c>
      <c r="Y214" s="683"/>
      <c r="Z214" s="665"/>
      <c r="AA214" s="684"/>
      <c r="AB214" s="685"/>
      <c r="AC214" s="665"/>
      <c r="AD214" s="686"/>
    </row>
    <row r="215" spans="1:30" s="687" customFormat="1" ht="12.75" customHeight="1">
      <c r="A215" s="677"/>
      <c r="B215" s="677"/>
      <c r="C215" s="678"/>
      <c r="D215" s="678"/>
      <c r="E215" s="678"/>
      <c r="F215" s="678"/>
      <c r="G215" s="679"/>
      <c r="H215" s="679"/>
      <c r="I215" s="680"/>
      <c r="J215" s="681"/>
      <c r="K215" s="678"/>
      <c r="L215" s="665"/>
      <c r="M215" s="665"/>
      <c r="N215" s="688"/>
      <c r="O215" s="685"/>
      <c r="P215" s="685"/>
      <c r="Q215" s="678"/>
      <c r="R215" s="678"/>
      <c r="S215" s="661"/>
      <c r="T215" s="661"/>
      <c r="U215" s="661"/>
      <c r="V215" s="662">
        <f t="shared" si="12"/>
        <v>0</v>
      </c>
      <c r="W215" s="663"/>
      <c r="X215" s="664">
        <f t="shared" si="13"/>
        <v>0</v>
      </c>
      <c r="Y215" s="683"/>
      <c r="Z215" s="665"/>
      <c r="AA215" s="684"/>
      <c r="AB215" s="685"/>
      <c r="AC215" s="665"/>
      <c r="AD215" s="686"/>
    </row>
    <row r="216" spans="1:30" s="687" customFormat="1" ht="12.75" customHeight="1">
      <c r="A216" s="677"/>
      <c r="B216" s="677"/>
      <c r="C216" s="678"/>
      <c r="D216" s="678"/>
      <c r="E216" s="678"/>
      <c r="F216" s="678"/>
      <c r="G216" s="679"/>
      <c r="H216" s="679"/>
      <c r="I216" s="680"/>
      <c r="J216" s="681"/>
      <c r="K216" s="678"/>
      <c r="L216" s="665"/>
      <c r="M216" s="665"/>
      <c r="N216" s="688"/>
      <c r="O216" s="685"/>
      <c r="P216" s="685"/>
      <c r="Q216" s="678"/>
      <c r="R216" s="678"/>
      <c r="S216" s="661"/>
      <c r="T216" s="661"/>
      <c r="U216" s="661"/>
      <c r="V216" s="662">
        <f t="shared" si="12"/>
        <v>0</v>
      </c>
      <c r="W216" s="663"/>
      <c r="X216" s="664">
        <f t="shared" si="13"/>
        <v>0</v>
      </c>
      <c r="Y216" s="683"/>
      <c r="Z216" s="665"/>
      <c r="AA216" s="684"/>
      <c r="AB216" s="685"/>
      <c r="AC216" s="665"/>
      <c r="AD216" s="686"/>
    </row>
    <row r="217" spans="1:30" s="687" customFormat="1" ht="12.75" customHeight="1">
      <c r="A217" s="677"/>
      <c r="B217" s="677"/>
      <c r="C217" s="678"/>
      <c r="D217" s="678"/>
      <c r="E217" s="678"/>
      <c r="F217" s="678"/>
      <c r="G217" s="679"/>
      <c r="H217" s="679"/>
      <c r="I217" s="680"/>
      <c r="J217" s="681"/>
      <c r="K217" s="678"/>
      <c r="L217" s="665"/>
      <c r="M217" s="665"/>
      <c r="N217" s="688"/>
      <c r="O217" s="685"/>
      <c r="P217" s="685"/>
      <c r="Q217" s="678"/>
      <c r="R217" s="678"/>
      <c r="S217" s="661"/>
      <c r="T217" s="661"/>
      <c r="U217" s="661"/>
      <c r="V217" s="662">
        <f t="shared" si="12"/>
        <v>0</v>
      </c>
      <c r="W217" s="663"/>
      <c r="X217" s="664">
        <f t="shared" si="13"/>
        <v>0</v>
      </c>
      <c r="Y217" s="683"/>
      <c r="Z217" s="665"/>
      <c r="AA217" s="684"/>
      <c r="AB217" s="685"/>
      <c r="AC217" s="665"/>
      <c r="AD217" s="686"/>
    </row>
    <row r="218" spans="1:30" s="687" customFormat="1" ht="12.75" customHeight="1">
      <c r="A218" s="677"/>
      <c r="B218" s="677"/>
      <c r="C218" s="678"/>
      <c r="D218" s="678"/>
      <c r="E218" s="678"/>
      <c r="F218" s="678"/>
      <c r="G218" s="679"/>
      <c r="H218" s="679"/>
      <c r="I218" s="680"/>
      <c r="J218" s="681"/>
      <c r="K218" s="678"/>
      <c r="L218" s="665"/>
      <c r="M218" s="665"/>
      <c r="N218" s="688"/>
      <c r="O218" s="685"/>
      <c r="P218" s="685"/>
      <c r="Q218" s="678"/>
      <c r="R218" s="678"/>
      <c r="S218" s="661"/>
      <c r="T218" s="661"/>
      <c r="U218" s="661"/>
      <c r="V218" s="662">
        <f t="shared" si="12"/>
        <v>0</v>
      </c>
      <c r="W218" s="663"/>
      <c r="X218" s="664">
        <f t="shared" si="13"/>
        <v>0</v>
      </c>
      <c r="Y218" s="683"/>
      <c r="Z218" s="665"/>
      <c r="AA218" s="684"/>
      <c r="AB218" s="685"/>
      <c r="AC218" s="665"/>
      <c r="AD218" s="686"/>
    </row>
    <row r="219" spans="1:30" s="687" customFormat="1" ht="12.75" customHeight="1">
      <c r="A219" s="677"/>
      <c r="B219" s="677"/>
      <c r="C219" s="678"/>
      <c r="D219" s="678"/>
      <c r="E219" s="678"/>
      <c r="F219" s="678"/>
      <c r="G219" s="679"/>
      <c r="H219" s="679"/>
      <c r="I219" s="680"/>
      <c r="J219" s="681"/>
      <c r="K219" s="678"/>
      <c r="L219" s="665"/>
      <c r="M219" s="665"/>
      <c r="N219" s="688"/>
      <c r="O219" s="685"/>
      <c r="P219" s="685"/>
      <c r="Q219" s="678"/>
      <c r="R219" s="678"/>
      <c r="S219" s="661"/>
      <c r="T219" s="661"/>
      <c r="U219" s="661"/>
      <c r="V219" s="662">
        <f t="shared" si="12"/>
        <v>0</v>
      </c>
      <c r="W219" s="663"/>
      <c r="X219" s="664">
        <f t="shared" si="13"/>
        <v>0</v>
      </c>
      <c r="Y219" s="683"/>
      <c r="Z219" s="665"/>
      <c r="AA219" s="684"/>
      <c r="AB219" s="685"/>
      <c r="AC219" s="665"/>
      <c r="AD219" s="686"/>
    </row>
    <row r="220" spans="1:30" s="687" customFormat="1" ht="12.75" customHeight="1">
      <c r="A220" s="677"/>
      <c r="B220" s="677"/>
      <c r="C220" s="678"/>
      <c r="D220" s="678"/>
      <c r="E220" s="678"/>
      <c r="F220" s="678"/>
      <c r="G220" s="679"/>
      <c r="H220" s="679"/>
      <c r="I220" s="680"/>
      <c r="J220" s="681"/>
      <c r="K220" s="678"/>
      <c r="L220" s="665"/>
      <c r="M220" s="665"/>
      <c r="N220" s="688"/>
      <c r="O220" s="685"/>
      <c r="P220" s="685"/>
      <c r="Q220" s="678"/>
      <c r="R220" s="678"/>
      <c r="S220" s="661"/>
      <c r="T220" s="661"/>
      <c r="U220" s="661"/>
      <c r="V220" s="662">
        <f t="shared" si="12"/>
        <v>0</v>
      </c>
      <c r="W220" s="663"/>
      <c r="X220" s="664">
        <f t="shared" si="13"/>
        <v>0</v>
      </c>
      <c r="Y220" s="683"/>
      <c r="Z220" s="665"/>
      <c r="AA220" s="684"/>
      <c r="AB220" s="685"/>
      <c r="AC220" s="665"/>
      <c r="AD220" s="686"/>
    </row>
    <row r="221" spans="1:30" s="687" customFormat="1" ht="12.75" customHeight="1">
      <c r="A221" s="677"/>
      <c r="B221" s="677"/>
      <c r="C221" s="678"/>
      <c r="D221" s="678"/>
      <c r="E221" s="678"/>
      <c r="F221" s="678"/>
      <c r="G221" s="679"/>
      <c r="H221" s="679"/>
      <c r="I221" s="680"/>
      <c r="J221" s="681"/>
      <c r="K221" s="678"/>
      <c r="L221" s="665"/>
      <c r="M221" s="665"/>
      <c r="N221" s="688"/>
      <c r="O221" s="685"/>
      <c r="P221" s="685"/>
      <c r="Q221" s="678"/>
      <c r="R221" s="678"/>
      <c r="S221" s="661"/>
      <c r="T221" s="661"/>
      <c r="U221" s="661"/>
      <c r="V221" s="662">
        <f t="shared" si="12"/>
        <v>0</v>
      </c>
      <c r="W221" s="663"/>
      <c r="X221" s="664">
        <f t="shared" si="13"/>
        <v>0</v>
      </c>
      <c r="Y221" s="683"/>
      <c r="Z221" s="665"/>
      <c r="AA221" s="684"/>
      <c r="AB221" s="685"/>
      <c r="AC221" s="665"/>
      <c r="AD221" s="686"/>
    </row>
    <row r="222" spans="1:30" s="687" customFormat="1" ht="12.75" customHeight="1">
      <c r="A222" s="677"/>
      <c r="B222" s="677"/>
      <c r="C222" s="678"/>
      <c r="D222" s="678"/>
      <c r="E222" s="678"/>
      <c r="F222" s="678"/>
      <c r="G222" s="679"/>
      <c r="H222" s="679"/>
      <c r="I222" s="680"/>
      <c r="J222" s="681"/>
      <c r="K222" s="678"/>
      <c r="L222" s="665"/>
      <c r="M222" s="665"/>
      <c r="N222" s="688"/>
      <c r="O222" s="685"/>
      <c r="P222" s="685"/>
      <c r="Q222" s="678"/>
      <c r="R222" s="678"/>
      <c r="S222" s="661"/>
      <c r="T222" s="661"/>
      <c r="U222" s="661"/>
      <c r="V222" s="662">
        <f t="shared" si="12"/>
        <v>0</v>
      </c>
      <c r="W222" s="663"/>
      <c r="X222" s="664">
        <f t="shared" si="13"/>
        <v>0</v>
      </c>
      <c r="Y222" s="683"/>
      <c r="Z222" s="665"/>
      <c r="AA222" s="684"/>
      <c r="AB222" s="685"/>
      <c r="AC222" s="665"/>
      <c r="AD222" s="686"/>
    </row>
    <row r="223" spans="1:30" s="687" customFormat="1" ht="12.75" customHeight="1">
      <c r="A223" s="677"/>
      <c r="B223" s="677"/>
      <c r="C223" s="678"/>
      <c r="D223" s="678"/>
      <c r="E223" s="678"/>
      <c r="F223" s="678"/>
      <c r="G223" s="679"/>
      <c r="H223" s="679"/>
      <c r="I223" s="680"/>
      <c r="J223" s="681"/>
      <c r="K223" s="678"/>
      <c r="L223" s="665"/>
      <c r="M223" s="665"/>
      <c r="N223" s="688"/>
      <c r="O223" s="685"/>
      <c r="P223" s="685"/>
      <c r="Q223" s="678"/>
      <c r="R223" s="678"/>
      <c r="S223" s="661"/>
      <c r="T223" s="661"/>
      <c r="U223" s="661"/>
      <c r="V223" s="662">
        <f t="shared" si="12"/>
        <v>0</v>
      </c>
      <c r="W223" s="663"/>
      <c r="X223" s="664">
        <f t="shared" si="13"/>
        <v>0</v>
      </c>
      <c r="Y223" s="683"/>
      <c r="Z223" s="665"/>
      <c r="AA223" s="684"/>
      <c r="AB223" s="685"/>
      <c r="AC223" s="665"/>
      <c r="AD223" s="686"/>
    </row>
    <row r="224" spans="1:30" s="687" customFormat="1" ht="12.75" customHeight="1">
      <c r="A224" s="677"/>
      <c r="B224" s="677"/>
      <c r="C224" s="678"/>
      <c r="D224" s="678"/>
      <c r="E224" s="678"/>
      <c r="F224" s="678"/>
      <c r="G224" s="679"/>
      <c r="H224" s="679"/>
      <c r="I224" s="680"/>
      <c r="J224" s="681"/>
      <c r="K224" s="678"/>
      <c r="L224" s="665"/>
      <c r="M224" s="665"/>
      <c r="N224" s="688"/>
      <c r="O224" s="685"/>
      <c r="P224" s="685"/>
      <c r="Q224" s="678"/>
      <c r="R224" s="678"/>
      <c r="S224" s="661"/>
      <c r="T224" s="661"/>
      <c r="U224" s="661"/>
      <c r="V224" s="662">
        <f t="shared" si="12"/>
        <v>0</v>
      </c>
      <c r="W224" s="663"/>
      <c r="X224" s="664">
        <f t="shared" si="13"/>
        <v>0</v>
      </c>
      <c r="Y224" s="683"/>
      <c r="Z224" s="665"/>
      <c r="AA224" s="684"/>
      <c r="AB224" s="685"/>
      <c r="AC224" s="665"/>
      <c r="AD224" s="686"/>
    </row>
    <row r="225" spans="1:30" s="687" customFormat="1" ht="12.75" customHeight="1">
      <c r="A225" s="677"/>
      <c r="B225" s="677"/>
      <c r="C225" s="678"/>
      <c r="D225" s="678"/>
      <c r="E225" s="678"/>
      <c r="F225" s="678"/>
      <c r="G225" s="679"/>
      <c r="H225" s="679"/>
      <c r="I225" s="680"/>
      <c r="J225" s="681"/>
      <c r="K225" s="678"/>
      <c r="L225" s="665"/>
      <c r="M225" s="665"/>
      <c r="N225" s="688"/>
      <c r="O225" s="685"/>
      <c r="P225" s="685"/>
      <c r="Q225" s="678"/>
      <c r="R225" s="678"/>
      <c r="S225" s="661"/>
      <c r="T225" s="661"/>
      <c r="U225" s="661"/>
      <c r="V225" s="662">
        <f t="shared" si="12"/>
        <v>0</v>
      </c>
      <c r="W225" s="663"/>
      <c r="X225" s="664">
        <f t="shared" si="13"/>
        <v>0</v>
      </c>
      <c r="Y225" s="683"/>
      <c r="Z225" s="665"/>
      <c r="AA225" s="684"/>
      <c r="AB225" s="685"/>
      <c r="AC225" s="665"/>
      <c r="AD225" s="686"/>
    </row>
    <row r="226" spans="1:30" s="687" customFormat="1" ht="12.75" customHeight="1">
      <c r="A226" s="677"/>
      <c r="B226" s="677"/>
      <c r="C226" s="678"/>
      <c r="D226" s="678"/>
      <c r="E226" s="678"/>
      <c r="F226" s="678"/>
      <c r="G226" s="679"/>
      <c r="H226" s="679"/>
      <c r="I226" s="680"/>
      <c r="J226" s="681"/>
      <c r="K226" s="678"/>
      <c r="L226" s="665"/>
      <c r="M226" s="665"/>
      <c r="N226" s="688"/>
      <c r="O226" s="685"/>
      <c r="P226" s="685"/>
      <c r="Q226" s="678"/>
      <c r="R226" s="678"/>
      <c r="S226" s="661"/>
      <c r="T226" s="661"/>
      <c r="U226" s="661"/>
      <c r="V226" s="662">
        <f t="shared" si="12"/>
        <v>0</v>
      </c>
      <c r="W226" s="663"/>
      <c r="X226" s="664">
        <f t="shared" si="13"/>
        <v>0</v>
      </c>
      <c r="Y226" s="683"/>
      <c r="Z226" s="665"/>
      <c r="AA226" s="684"/>
      <c r="AB226" s="685"/>
      <c r="AC226" s="665"/>
      <c r="AD226" s="686"/>
    </row>
    <row r="227" spans="1:30" s="687" customFormat="1" ht="12.75" customHeight="1">
      <c r="A227" s="677"/>
      <c r="B227" s="677"/>
      <c r="C227" s="678"/>
      <c r="D227" s="678"/>
      <c r="E227" s="678"/>
      <c r="F227" s="678"/>
      <c r="G227" s="679"/>
      <c r="H227" s="679"/>
      <c r="I227" s="680"/>
      <c r="J227" s="681"/>
      <c r="K227" s="678"/>
      <c r="L227" s="665"/>
      <c r="M227" s="665"/>
      <c r="N227" s="688"/>
      <c r="O227" s="685"/>
      <c r="P227" s="685"/>
      <c r="Q227" s="678"/>
      <c r="R227" s="678"/>
      <c r="S227" s="661"/>
      <c r="T227" s="661"/>
      <c r="U227" s="661"/>
      <c r="V227" s="662">
        <f t="shared" si="12"/>
        <v>0</v>
      </c>
      <c r="W227" s="663"/>
      <c r="X227" s="664">
        <f t="shared" si="13"/>
        <v>0</v>
      </c>
      <c r="Y227" s="683"/>
      <c r="Z227" s="665"/>
      <c r="AA227" s="684"/>
      <c r="AB227" s="685"/>
      <c r="AC227" s="665"/>
      <c r="AD227" s="686"/>
    </row>
    <row r="228" spans="1:30" s="687" customFormat="1" ht="12.75" customHeight="1">
      <c r="A228" s="677"/>
      <c r="B228" s="677"/>
      <c r="C228" s="678"/>
      <c r="D228" s="678"/>
      <c r="E228" s="678"/>
      <c r="F228" s="678"/>
      <c r="G228" s="679"/>
      <c r="H228" s="679"/>
      <c r="I228" s="680"/>
      <c r="J228" s="681"/>
      <c r="K228" s="678"/>
      <c r="L228" s="665"/>
      <c r="M228" s="665"/>
      <c r="N228" s="688"/>
      <c r="O228" s="685"/>
      <c r="P228" s="685"/>
      <c r="Q228" s="678"/>
      <c r="R228" s="678"/>
      <c r="S228" s="661"/>
      <c r="T228" s="661"/>
      <c r="U228" s="661"/>
      <c r="V228" s="662">
        <f t="shared" si="12"/>
        <v>0</v>
      </c>
      <c r="W228" s="663"/>
      <c r="X228" s="664">
        <f t="shared" si="13"/>
        <v>0</v>
      </c>
      <c r="Y228" s="683"/>
      <c r="Z228" s="665"/>
      <c r="AA228" s="684"/>
      <c r="AB228" s="685"/>
      <c r="AC228" s="665"/>
      <c r="AD228" s="686"/>
    </row>
    <row r="229" spans="1:30" s="687" customFormat="1" ht="12.75" customHeight="1">
      <c r="A229" s="677"/>
      <c r="B229" s="677"/>
      <c r="C229" s="678"/>
      <c r="D229" s="678"/>
      <c r="E229" s="678"/>
      <c r="F229" s="678"/>
      <c r="G229" s="679"/>
      <c r="H229" s="679"/>
      <c r="I229" s="680"/>
      <c r="J229" s="681"/>
      <c r="K229" s="678"/>
      <c r="L229" s="665"/>
      <c r="M229" s="665"/>
      <c r="N229" s="688"/>
      <c r="O229" s="685"/>
      <c r="P229" s="685"/>
      <c r="Q229" s="678"/>
      <c r="R229" s="678"/>
      <c r="S229" s="661"/>
      <c r="T229" s="661"/>
      <c r="U229" s="661"/>
      <c r="V229" s="662">
        <f t="shared" si="12"/>
        <v>0</v>
      </c>
      <c r="W229" s="663"/>
      <c r="X229" s="664">
        <f t="shared" si="13"/>
        <v>0</v>
      </c>
      <c r="Y229" s="683"/>
      <c r="Z229" s="665"/>
      <c r="AA229" s="684"/>
      <c r="AB229" s="685"/>
      <c r="AC229" s="665"/>
      <c r="AD229" s="686"/>
    </row>
    <row r="230" spans="1:30" s="687" customFormat="1" ht="12.75" customHeight="1">
      <c r="A230" s="677"/>
      <c r="B230" s="677"/>
      <c r="C230" s="678"/>
      <c r="D230" s="678"/>
      <c r="E230" s="678"/>
      <c r="F230" s="678"/>
      <c r="G230" s="679"/>
      <c r="H230" s="679"/>
      <c r="I230" s="680"/>
      <c r="J230" s="681"/>
      <c r="K230" s="678"/>
      <c r="L230" s="665"/>
      <c r="M230" s="665"/>
      <c r="N230" s="688"/>
      <c r="O230" s="685"/>
      <c r="P230" s="685"/>
      <c r="Q230" s="678"/>
      <c r="R230" s="678"/>
      <c r="S230" s="661"/>
      <c r="T230" s="661"/>
      <c r="U230" s="661"/>
      <c r="V230" s="662">
        <f t="shared" si="12"/>
        <v>0</v>
      </c>
      <c r="W230" s="663"/>
      <c r="X230" s="664">
        <f t="shared" si="13"/>
        <v>0</v>
      </c>
      <c r="Y230" s="683"/>
      <c r="Z230" s="665"/>
      <c r="AA230" s="684"/>
      <c r="AB230" s="685"/>
      <c r="AC230" s="665"/>
      <c r="AD230" s="686"/>
    </row>
    <row r="231" spans="1:30" s="687" customFormat="1" ht="12.75" customHeight="1">
      <c r="A231" s="677"/>
      <c r="B231" s="677"/>
      <c r="C231" s="678"/>
      <c r="D231" s="678"/>
      <c r="E231" s="678"/>
      <c r="F231" s="678"/>
      <c r="G231" s="679"/>
      <c r="H231" s="679"/>
      <c r="I231" s="680"/>
      <c r="J231" s="681"/>
      <c r="K231" s="678"/>
      <c r="L231" s="665"/>
      <c r="M231" s="665"/>
      <c r="N231" s="688"/>
      <c r="O231" s="685"/>
      <c r="P231" s="685"/>
      <c r="Q231" s="678"/>
      <c r="R231" s="678"/>
      <c r="S231" s="661"/>
      <c r="T231" s="661"/>
      <c r="U231" s="661"/>
      <c r="V231" s="662">
        <f t="shared" si="12"/>
        <v>0</v>
      </c>
      <c r="W231" s="663"/>
      <c r="X231" s="664">
        <f t="shared" si="13"/>
        <v>0</v>
      </c>
      <c r="Y231" s="683"/>
      <c r="Z231" s="665"/>
      <c r="AA231" s="684"/>
      <c r="AB231" s="685"/>
      <c r="AC231" s="665"/>
      <c r="AD231" s="686"/>
    </row>
    <row r="232" spans="1:30" s="687" customFormat="1" ht="12.75" customHeight="1">
      <c r="A232" s="677"/>
      <c r="B232" s="677"/>
      <c r="C232" s="678"/>
      <c r="D232" s="678"/>
      <c r="E232" s="678"/>
      <c r="F232" s="678"/>
      <c r="G232" s="679"/>
      <c r="H232" s="679"/>
      <c r="I232" s="680"/>
      <c r="J232" s="681"/>
      <c r="K232" s="678"/>
      <c r="L232" s="665"/>
      <c r="M232" s="665"/>
      <c r="N232" s="688"/>
      <c r="O232" s="685"/>
      <c r="P232" s="685"/>
      <c r="Q232" s="678"/>
      <c r="R232" s="678"/>
      <c r="S232" s="661"/>
      <c r="T232" s="661"/>
      <c r="U232" s="661"/>
      <c r="V232" s="662">
        <f t="shared" si="12"/>
        <v>0</v>
      </c>
      <c r="W232" s="663"/>
      <c r="X232" s="664">
        <f t="shared" si="13"/>
        <v>0</v>
      </c>
      <c r="Y232" s="683"/>
      <c r="Z232" s="665"/>
      <c r="AA232" s="684"/>
      <c r="AB232" s="685"/>
      <c r="AC232" s="665"/>
      <c r="AD232" s="686"/>
    </row>
    <row r="233" spans="1:30" s="687" customFormat="1" ht="12.75" customHeight="1">
      <c r="A233" s="677"/>
      <c r="B233" s="677"/>
      <c r="C233" s="678"/>
      <c r="D233" s="678"/>
      <c r="E233" s="678"/>
      <c r="F233" s="678"/>
      <c r="G233" s="679"/>
      <c r="H233" s="679"/>
      <c r="I233" s="680"/>
      <c r="J233" s="681"/>
      <c r="K233" s="678"/>
      <c r="L233" s="665"/>
      <c r="M233" s="665"/>
      <c r="N233" s="688"/>
      <c r="O233" s="685"/>
      <c r="P233" s="685"/>
      <c r="Q233" s="678"/>
      <c r="R233" s="678"/>
      <c r="S233" s="661"/>
      <c r="T233" s="661"/>
      <c r="U233" s="661"/>
      <c r="V233" s="662">
        <f t="shared" si="12"/>
        <v>0</v>
      </c>
      <c r="W233" s="663"/>
      <c r="X233" s="664">
        <f t="shared" si="13"/>
        <v>0</v>
      </c>
      <c r="Y233" s="683"/>
      <c r="Z233" s="665"/>
      <c r="AA233" s="684"/>
      <c r="AB233" s="685"/>
      <c r="AC233" s="665"/>
      <c r="AD233" s="686"/>
    </row>
    <row r="234" spans="1:30" s="687" customFormat="1" ht="12.75" customHeight="1">
      <c r="A234" s="677"/>
      <c r="B234" s="677"/>
      <c r="C234" s="678"/>
      <c r="D234" s="678"/>
      <c r="E234" s="678"/>
      <c r="F234" s="678"/>
      <c r="G234" s="679"/>
      <c r="H234" s="679"/>
      <c r="I234" s="680"/>
      <c r="J234" s="681"/>
      <c r="K234" s="678"/>
      <c r="L234" s="665"/>
      <c r="M234" s="665"/>
      <c r="N234" s="688"/>
      <c r="O234" s="685"/>
      <c r="P234" s="685"/>
      <c r="Q234" s="678"/>
      <c r="R234" s="678"/>
      <c r="S234" s="661"/>
      <c r="T234" s="661"/>
      <c r="U234" s="661"/>
      <c r="V234" s="662">
        <f t="shared" si="12"/>
        <v>0</v>
      </c>
      <c r="W234" s="663"/>
      <c r="X234" s="664">
        <f t="shared" si="13"/>
        <v>0</v>
      </c>
      <c r="Y234" s="683"/>
      <c r="Z234" s="665"/>
      <c r="AA234" s="684"/>
      <c r="AB234" s="685"/>
      <c r="AC234" s="665"/>
      <c r="AD234" s="686"/>
    </row>
    <row r="235" spans="1:30" s="687" customFormat="1" ht="12.75" customHeight="1">
      <c r="A235" s="677"/>
      <c r="B235" s="677"/>
      <c r="C235" s="678"/>
      <c r="D235" s="678"/>
      <c r="E235" s="678"/>
      <c r="F235" s="678"/>
      <c r="G235" s="679"/>
      <c r="H235" s="679"/>
      <c r="I235" s="680"/>
      <c r="J235" s="681"/>
      <c r="K235" s="678"/>
      <c r="L235" s="665"/>
      <c r="M235" s="665"/>
      <c r="N235" s="688"/>
      <c r="O235" s="685"/>
      <c r="P235" s="685"/>
      <c r="Q235" s="678"/>
      <c r="R235" s="678"/>
      <c r="S235" s="661"/>
      <c r="T235" s="661"/>
      <c r="U235" s="661"/>
      <c r="V235" s="662">
        <f t="shared" si="12"/>
        <v>0</v>
      </c>
      <c r="W235" s="663"/>
      <c r="X235" s="664">
        <f t="shared" si="13"/>
        <v>0</v>
      </c>
      <c r="Y235" s="683"/>
      <c r="Z235" s="665"/>
      <c r="AA235" s="684"/>
      <c r="AB235" s="685"/>
      <c r="AC235" s="665"/>
      <c r="AD235" s="686"/>
    </row>
    <row r="236" spans="1:30" s="687" customFormat="1" ht="12.75" customHeight="1">
      <c r="A236" s="677"/>
      <c r="B236" s="677"/>
      <c r="C236" s="678"/>
      <c r="D236" s="678"/>
      <c r="E236" s="678"/>
      <c r="F236" s="678"/>
      <c r="G236" s="679"/>
      <c r="H236" s="679"/>
      <c r="I236" s="680"/>
      <c r="J236" s="681"/>
      <c r="K236" s="678"/>
      <c r="L236" s="665"/>
      <c r="M236" s="665"/>
      <c r="N236" s="688"/>
      <c r="O236" s="685"/>
      <c r="P236" s="685"/>
      <c r="Q236" s="678"/>
      <c r="R236" s="678"/>
      <c r="S236" s="661"/>
      <c r="T236" s="661"/>
      <c r="U236" s="661"/>
      <c r="V236" s="662">
        <f t="shared" si="12"/>
        <v>0</v>
      </c>
      <c r="W236" s="663"/>
      <c r="X236" s="664">
        <f t="shared" si="13"/>
        <v>0</v>
      </c>
      <c r="Y236" s="683"/>
      <c r="Z236" s="665"/>
      <c r="AA236" s="684"/>
      <c r="AB236" s="685"/>
      <c r="AC236" s="665"/>
      <c r="AD236" s="686"/>
    </row>
    <row r="237" spans="1:30" s="687" customFormat="1" ht="12.75" customHeight="1">
      <c r="A237" s="677"/>
      <c r="B237" s="677"/>
      <c r="C237" s="678"/>
      <c r="D237" s="678"/>
      <c r="E237" s="678"/>
      <c r="F237" s="678"/>
      <c r="G237" s="679"/>
      <c r="H237" s="679"/>
      <c r="I237" s="680"/>
      <c r="J237" s="681"/>
      <c r="K237" s="678"/>
      <c r="L237" s="665"/>
      <c r="M237" s="665"/>
      <c r="N237" s="688"/>
      <c r="O237" s="685"/>
      <c r="P237" s="685"/>
      <c r="Q237" s="678"/>
      <c r="R237" s="678"/>
      <c r="S237" s="661"/>
      <c r="T237" s="661"/>
      <c r="U237" s="661"/>
      <c r="V237" s="662">
        <f t="shared" si="12"/>
        <v>0</v>
      </c>
      <c r="W237" s="663"/>
      <c r="X237" s="664">
        <f t="shared" si="13"/>
        <v>0</v>
      </c>
      <c r="Y237" s="683"/>
      <c r="Z237" s="665"/>
      <c r="AA237" s="684"/>
      <c r="AB237" s="685"/>
      <c r="AC237" s="665"/>
      <c r="AD237" s="686"/>
    </row>
    <row r="238" spans="1:30" s="687" customFormat="1" ht="12.75" customHeight="1">
      <c r="A238" s="677"/>
      <c r="B238" s="677"/>
      <c r="C238" s="678"/>
      <c r="D238" s="678"/>
      <c r="E238" s="678"/>
      <c r="F238" s="678"/>
      <c r="G238" s="679"/>
      <c r="H238" s="679"/>
      <c r="I238" s="680"/>
      <c r="J238" s="681"/>
      <c r="K238" s="678"/>
      <c r="L238" s="665"/>
      <c r="M238" s="665"/>
      <c r="N238" s="688"/>
      <c r="O238" s="685"/>
      <c r="P238" s="685"/>
      <c r="Q238" s="678"/>
      <c r="R238" s="678"/>
      <c r="S238" s="661"/>
      <c r="T238" s="661"/>
      <c r="U238" s="661"/>
      <c r="V238" s="662">
        <f t="shared" si="12"/>
        <v>0</v>
      </c>
      <c r="W238" s="663"/>
      <c r="X238" s="664">
        <f t="shared" si="13"/>
        <v>0</v>
      </c>
      <c r="Y238" s="683"/>
      <c r="Z238" s="665"/>
      <c r="AA238" s="684"/>
      <c r="AB238" s="685"/>
      <c r="AC238" s="665"/>
      <c r="AD238" s="686"/>
    </row>
    <row r="239" spans="1:30" s="687" customFormat="1" ht="12.75" customHeight="1">
      <c r="A239" s="677"/>
      <c r="B239" s="677"/>
      <c r="C239" s="678"/>
      <c r="D239" s="678"/>
      <c r="E239" s="678"/>
      <c r="F239" s="678"/>
      <c r="G239" s="679"/>
      <c r="H239" s="679"/>
      <c r="I239" s="680"/>
      <c r="J239" s="681"/>
      <c r="K239" s="678"/>
      <c r="L239" s="665"/>
      <c r="M239" s="665"/>
      <c r="N239" s="688"/>
      <c r="O239" s="685"/>
      <c r="P239" s="685"/>
      <c r="Q239" s="678"/>
      <c r="R239" s="678"/>
      <c r="S239" s="661"/>
      <c r="T239" s="661"/>
      <c r="U239" s="661"/>
      <c r="V239" s="662">
        <f t="shared" si="12"/>
        <v>0</v>
      </c>
      <c r="W239" s="663"/>
      <c r="X239" s="664">
        <f t="shared" si="13"/>
        <v>0</v>
      </c>
      <c r="Y239" s="683"/>
      <c r="Z239" s="665"/>
      <c r="AA239" s="684"/>
      <c r="AB239" s="685"/>
      <c r="AC239" s="665"/>
      <c r="AD239" s="686"/>
    </row>
    <row r="240" spans="1:30" s="687" customFormat="1" ht="12.75" customHeight="1">
      <c r="A240" s="677"/>
      <c r="B240" s="677"/>
      <c r="C240" s="678"/>
      <c r="D240" s="678"/>
      <c r="E240" s="678"/>
      <c r="F240" s="678"/>
      <c r="G240" s="679"/>
      <c r="H240" s="679"/>
      <c r="I240" s="680"/>
      <c r="J240" s="681"/>
      <c r="K240" s="678"/>
      <c r="L240" s="665"/>
      <c r="M240" s="665"/>
      <c r="N240" s="688"/>
      <c r="O240" s="685"/>
      <c r="P240" s="685"/>
      <c r="Q240" s="678"/>
      <c r="R240" s="678"/>
      <c r="S240" s="661"/>
      <c r="T240" s="661"/>
      <c r="U240" s="661"/>
      <c r="V240" s="662">
        <f t="shared" si="12"/>
        <v>0</v>
      </c>
      <c r="W240" s="663"/>
      <c r="X240" s="664">
        <f t="shared" si="13"/>
        <v>0</v>
      </c>
      <c r="Y240" s="683"/>
      <c r="Z240" s="665"/>
      <c r="AA240" s="684"/>
      <c r="AB240" s="685"/>
      <c r="AC240" s="665"/>
      <c r="AD240" s="686"/>
    </row>
    <row r="241" spans="1:30" s="687" customFormat="1" ht="12.75" customHeight="1">
      <c r="A241" s="677"/>
      <c r="B241" s="677"/>
      <c r="C241" s="678"/>
      <c r="D241" s="678"/>
      <c r="E241" s="678"/>
      <c r="F241" s="678"/>
      <c r="G241" s="679"/>
      <c r="H241" s="679"/>
      <c r="I241" s="680"/>
      <c r="J241" s="681"/>
      <c r="K241" s="678"/>
      <c r="L241" s="665"/>
      <c r="M241" s="665"/>
      <c r="N241" s="688"/>
      <c r="O241" s="685"/>
      <c r="P241" s="685"/>
      <c r="Q241" s="678"/>
      <c r="R241" s="678"/>
      <c r="S241" s="661"/>
      <c r="T241" s="661"/>
      <c r="U241" s="661"/>
      <c r="V241" s="662">
        <f t="shared" si="12"/>
        <v>0</v>
      </c>
      <c r="W241" s="663"/>
      <c r="X241" s="664">
        <f t="shared" si="13"/>
        <v>0</v>
      </c>
      <c r="Y241" s="683"/>
      <c r="Z241" s="665"/>
      <c r="AA241" s="684"/>
      <c r="AB241" s="685"/>
      <c r="AC241" s="665"/>
      <c r="AD241" s="686"/>
    </row>
    <row r="242" spans="1:30" s="687" customFormat="1" ht="12.75" customHeight="1">
      <c r="A242" s="677"/>
      <c r="B242" s="677"/>
      <c r="C242" s="678"/>
      <c r="D242" s="678"/>
      <c r="E242" s="678"/>
      <c r="F242" s="678"/>
      <c r="G242" s="679"/>
      <c r="H242" s="679"/>
      <c r="I242" s="680"/>
      <c r="J242" s="681"/>
      <c r="K242" s="678"/>
      <c r="L242" s="665"/>
      <c r="M242" s="665"/>
      <c r="N242" s="688"/>
      <c r="O242" s="685"/>
      <c r="P242" s="685"/>
      <c r="Q242" s="678"/>
      <c r="R242" s="678"/>
      <c r="S242" s="661"/>
      <c r="T242" s="661"/>
      <c r="U242" s="661"/>
      <c r="V242" s="662">
        <f t="shared" si="12"/>
        <v>0</v>
      </c>
      <c r="W242" s="663"/>
      <c r="X242" s="664">
        <f t="shared" si="13"/>
        <v>0</v>
      </c>
      <c r="Y242" s="683"/>
      <c r="Z242" s="665"/>
      <c r="AA242" s="684"/>
      <c r="AB242" s="685"/>
      <c r="AC242" s="665"/>
      <c r="AD242" s="686"/>
    </row>
    <row r="243" spans="1:30" s="687" customFormat="1" ht="12.75" customHeight="1">
      <c r="A243" s="677"/>
      <c r="B243" s="677"/>
      <c r="C243" s="678"/>
      <c r="D243" s="678"/>
      <c r="E243" s="678"/>
      <c r="F243" s="678"/>
      <c r="G243" s="679"/>
      <c r="H243" s="679"/>
      <c r="I243" s="680"/>
      <c r="J243" s="681"/>
      <c r="K243" s="678"/>
      <c r="L243" s="665"/>
      <c r="M243" s="665"/>
      <c r="N243" s="688"/>
      <c r="O243" s="685"/>
      <c r="P243" s="685"/>
      <c r="Q243" s="678"/>
      <c r="R243" s="678"/>
      <c r="S243" s="661"/>
      <c r="T243" s="661"/>
      <c r="U243" s="661"/>
      <c r="V243" s="662">
        <f t="shared" si="12"/>
        <v>0</v>
      </c>
      <c r="W243" s="663"/>
      <c r="X243" s="664">
        <f t="shared" si="13"/>
        <v>0</v>
      </c>
      <c r="Y243" s="683"/>
      <c r="Z243" s="665"/>
      <c r="AA243" s="684"/>
      <c r="AB243" s="685"/>
      <c r="AC243" s="665"/>
      <c r="AD243" s="686"/>
    </row>
    <row r="244" spans="1:30" s="687" customFormat="1" ht="12.75" customHeight="1">
      <c r="A244" s="677"/>
      <c r="B244" s="677"/>
      <c r="C244" s="678"/>
      <c r="D244" s="678"/>
      <c r="E244" s="678"/>
      <c r="F244" s="678"/>
      <c r="G244" s="679"/>
      <c r="H244" s="679"/>
      <c r="I244" s="680"/>
      <c r="J244" s="681"/>
      <c r="K244" s="678"/>
      <c r="L244" s="665"/>
      <c r="M244" s="665"/>
      <c r="N244" s="688"/>
      <c r="O244" s="685"/>
      <c r="P244" s="685"/>
      <c r="Q244" s="678"/>
      <c r="R244" s="678"/>
      <c r="S244" s="661"/>
      <c r="T244" s="661"/>
      <c r="U244" s="661"/>
      <c r="V244" s="662">
        <f t="shared" si="12"/>
        <v>0</v>
      </c>
      <c r="W244" s="663"/>
      <c r="X244" s="664">
        <f t="shared" si="13"/>
        <v>0</v>
      </c>
      <c r="Y244" s="683"/>
      <c r="Z244" s="665"/>
      <c r="AA244" s="684"/>
      <c r="AB244" s="685"/>
      <c r="AC244" s="665"/>
      <c r="AD244" s="686"/>
    </row>
    <row r="245" spans="1:30" s="687" customFormat="1" ht="12.75" customHeight="1">
      <c r="A245" s="677"/>
      <c r="B245" s="677"/>
      <c r="C245" s="678"/>
      <c r="D245" s="678"/>
      <c r="E245" s="678"/>
      <c r="F245" s="678"/>
      <c r="G245" s="679"/>
      <c r="H245" s="679"/>
      <c r="I245" s="680"/>
      <c r="J245" s="681"/>
      <c r="K245" s="678"/>
      <c r="L245" s="665"/>
      <c r="M245" s="665"/>
      <c r="N245" s="688"/>
      <c r="O245" s="685"/>
      <c r="P245" s="685"/>
      <c r="Q245" s="678"/>
      <c r="R245" s="678"/>
      <c r="S245" s="661"/>
      <c r="T245" s="661"/>
      <c r="U245" s="661"/>
      <c r="V245" s="662">
        <f t="shared" si="12"/>
        <v>0</v>
      </c>
      <c r="W245" s="663"/>
      <c r="X245" s="664">
        <f t="shared" si="13"/>
        <v>0</v>
      </c>
      <c r="Y245" s="683"/>
      <c r="Z245" s="665"/>
      <c r="AA245" s="684"/>
      <c r="AB245" s="685"/>
      <c r="AC245" s="665"/>
      <c r="AD245" s="686"/>
    </row>
    <row r="246" spans="1:30" s="687" customFormat="1" ht="12.75" customHeight="1">
      <c r="A246" s="677"/>
      <c r="B246" s="677"/>
      <c r="C246" s="678"/>
      <c r="D246" s="678"/>
      <c r="E246" s="678"/>
      <c r="F246" s="678"/>
      <c r="G246" s="679"/>
      <c r="H246" s="679"/>
      <c r="I246" s="680"/>
      <c r="J246" s="681"/>
      <c r="K246" s="678"/>
      <c r="L246" s="665"/>
      <c r="M246" s="665"/>
      <c r="N246" s="688"/>
      <c r="O246" s="685"/>
      <c r="P246" s="685"/>
      <c r="Q246" s="678"/>
      <c r="R246" s="678"/>
      <c r="S246" s="661"/>
      <c r="T246" s="661"/>
      <c r="U246" s="661"/>
      <c r="V246" s="662">
        <f t="shared" si="12"/>
        <v>0</v>
      </c>
      <c r="W246" s="663"/>
      <c r="X246" s="664">
        <f t="shared" si="13"/>
        <v>0</v>
      </c>
      <c r="Y246" s="683"/>
      <c r="Z246" s="665"/>
      <c r="AA246" s="684"/>
      <c r="AB246" s="685"/>
      <c r="AC246" s="665"/>
      <c r="AD246" s="686"/>
    </row>
    <row r="247" spans="1:30" s="687" customFormat="1" ht="12.75" customHeight="1">
      <c r="A247" s="677"/>
      <c r="B247" s="677"/>
      <c r="C247" s="678"/>
      <c r="D247" s="678"/>
      <c r="E247" s="678"/>
      <c r="F247" s="678"/>
      <c r="G247" s="679"/>
      <c r="H247" s="679"/>
      <c r="I247" s="680"/>
      <c r="J247" s="681"/>
      <c r="K247" s="678"/>
      <c r="L247" s="665"/>
      <c r="M247" s="665"/>
      <c r="N247" s="688"/>
      <c r="O247" s="685"/>
      <c r="P247" s="685"/>
      <c r="Q247" s="678"/>
      <c r="R247" s="678"/>
      <c r="S247" s="661"/>
      <c r="T247" s="661"/>
      <c r="U247" s="661"/>
      <c r="V247" s="662">
        <f t="shared" si="12"/>
        <v>0</v>
      </c>
      <c r="W247" s="663"/>
      <c r="X247" s="664">
        <f t="shared" si="13"/>
        <v>0</v>
      </c>
      <c r="Y247" s="683"/>
      <c r="Z247" s="665"/>
      <c r="AA247" s="684"/>
      <c r="AB247" s="685"/>
      <c r="AC247" s="665"/>
      <c r="AD247" s="686"/>
    </row>
    <row r="248" spans="1:30" s="687" customFormat="1" ht="12.75" customHeight="1">
      <c r="A248" s="677"/>
      <c r="B248" s="677"/>
      <c r="C248" s="678"/>
      <c r="D248" s="678"/>
      <c r="E248" s="678"/>
      <c r="F248" s="678"/>
      <c r="G248" s="679"/>
      <c r="H248" s="679"/>
      <c r="I248" s="680"/>
      <c r="J248" s="681"/>
      <c r="K248" s="678"/>
      <c r="L248" s="665"/>
      <c r="M248" s="665"/>
      <c r="N248" s="688"/>
      <c r="O248" s="685"/>
      <c r="P248" s="685"/>
      <c r="Q248" s="678"/>
      <c r="R248" s="678"/>
      <c r="S248" s="661"/>
      <c r="T248" s="661"/>
      <c r="U248" s="661"/>
      <c r="V248" s="662">
        <f t="shared" si="12"/>
        <v>0</v>
      </c>
      <c r="W248" s="663"/>
      <c r="X248" s="664">
        <f t="shared" si="13"/>
        <v>0</v>
      </c>
      <c r="Y248" s="683"/>
      <c r="Z248" s="665"/>
      <c r="AA248" s="684"/>
      <c r="AB248" s="685"/>
      <c r="AC248" s="665"/>
      <c r="AD248" s="686"/>
    </row>
    <row r="249" spans="1:30" s="687" customFormat="1" ht="12.75" customHeight="1">
      <c r="A249" s="677"/>
      <c r="B249" s="677"/>
      <c r="C249" s="678"/>
      <c r="D249" s="678"/>
      <c r="E249" s="678"/>
      <c r="F249" s="678"/>
      <c r="G249" s="679"/>
      <c r="H249" s="679"/>
      <c r="I249" s="680"/>
      <c r="J249" s="681"/>
      <c r="K249" s="678"/>
      <c r="L249" s="665"/>
      <c r="M249" s="665"/>
      <c r="N249" s="688"/>
      <c r="O249" s="685"/>
      <c r="P249" s="685"/>
      <c r="Q249" s="678"/>
      <c r="R249" s="678"/>
      <c r="S249" s="661"/>
      <c r="T249" s="661"/>
      <c r="U249" s="661"/>
      <c r="V249" s="662">
        <f t="shared" si="12"/>
        <v>0</v>
      </c>
      <c r="W249" s="663"/>
      <c r="X249" s="664">
        <f t="shared" si="13"/>
        <v>0</v>
      </c>
      <c r="Y249" s="683"/>
      <c r="Z249" s="665"/>
      <c r="AA249" s="684"/>
      <c r="AB249" s="685"/>
      <c r="AC249" s="665"/>
      <c r="AD249" s="686"/>
    </row>
    <row r="250" spans="1:30" s="687" customFormat="1" ht="12.75" customHeight="1">
      <c r="A250" s="677"/>
      <c r="B250" s="677"/>
      <c r="C250" s="678"/>
      <c r="D250" s="678"/>
      <c r="E250" s="678"/>
      <c r="F250" s="678"/>
      <c r="G250" s="679"/>
      <c r="H250" s="679"/>
      <c r="I250" s="680"/>
      <c r="J250" s="681"/>
      <c r="K250" s="678"/>
      <c r="L250" s="665"/>
      <c r="M250" s="665"/>
      <c r="N250" s="688"/>
      <c r="O250" s="685"/>
      <c r="P250" s="685"/>
      <c r="Q250" s="678"/>
      <c r="R250" s="678"/>
      <c r="S250" s="661"/>
      <c r="T250" s="661"/>
      <c r="U250" s="661"/>
      <c r="V250" s="662">
        <f t="shared" si="12"/>
        <v>0</v>
      </c>
      <c r="W250" s="663"/>
      <c r="X250" s="664">
        <f t="shared" si="13"/>
        <v>0</v>
      </c>
      <c r="Y250" s="683"/>
      <c r="Z250" s="665"/>
      <c r="AA250" s="684"/>
      <c r="AB250" s="685"/>
      <c r="AC250" s="665"/>
      <c r="AD250" s="686"/>
    </row>
    <row r="251" spans="1:30" s="687" customFormat="1" ht="12.75" customHeight="1">
      <c r="A251" s="677"/>
      <c r="B251" s="677"/>
      <c r="C251" s="678"/>
      <c r="D251" s="678"/>
      <c r="E251" s="678"/>
      <c r="F251" s="678"/>
      <c r="G251" s="679"/>
      <c r="H251" s="679"/>
      <c r="I251" s="680"/>
      <c r="J251" s="681"/>
      <c r="K251" s="678"/>
      <c r="L251" s="665"/>
      <c r="M251" s="665"/>
      <c r="N251" s="688"/>
      <c r="O251" s="685"/>
      <c r="P251" s="685"/>
      <c r="Q251" s="678"/>
      <c r="R251" s="678"/>
      <c r="S251" s="661"/>
      <c r="T251" s="661"/>
      <c r="U251" s="661"/>
      <c r="V251" s="662">
        <f t="shared" ref="V251:V314" si="14">SUM(S251:U251)</f>
        <v>0</v>
      </c>
      <c r="W251" s="663"/>
      <c r="X251" s="664">
        <f t="shared" si="13"/>
        <v>0</v>
      </c>
      <c r="Y251" s="683"/>
      <c r="Z251" s="665"/>
      <c r="AA251" s="684"/>
      <c r="AB251" s="685"/>
      <c r="AC251" s="665"/>
      <c r="AD251" s="686"/>
    </row>
    <row r="252" spans="1:30" s="687" customFormat="1" ht="12.75" customHeight="1">
      <c r="A252" s="677"/>
      <c r="B252" s="677"/>
      <c r="C252" s="678"/>
      <c r="D252" s="678"/>
      <c r="E252" s="678"/>
      <c r="F252" s="678"/>
      <c r="G252" s="679"/>
      <c r="H252" s="679"/>
      <c r="I252" s="680"/>
      <c r="J252" s="681"/>
      <c r="K252" s="678"/>
      <c r="L252" s="665"/>
      <c r="M252" s="665"/>
      <c r="N252" s="688"/>
      <c r="O252" s="685"/>
      <c r="P252" s="685"/>
      <c r="Q252" s="678"/>
      <c r="R252" s="678"/>
      <c r="S252" s="661"/>
      <c r="T252" s="661"/>
      <c r="U252" s="661"/>
      <c r="V252" s="662">
        <f t="shared" si="14"/>
        <v>0</v>
      </c>
      <c r="W252" s="663"/>
      <c r="X252" s="664">
        <f t="shared" ref="X252:X315" si="15">V252*W252</f>
        <v>0</v>
      </c>
      <c r="Y252" s="683"/>
      <c r="Z252" s="665"/>
      <c r="AA252" s="684"/>
      <c r="AB252" s="685"/>
      <c r="AC252" s="665"/>
      <c r="AD252" s="686"/>
    </row>
    <row r="253" spans="1:30" s="687" customFormat="1" ht="12.75" customHeight="1">
      <c r="A253" s="677"/>
      <c r="B253" s="677"/>
      <c r="C253" s="678"/>
      <c r="D253" s="678"/>
      <c r="E253" s="678"/>
      <c r="F253" s="678"/>
      <c r="G253" s="679"/>
      <c r="H253" s="679"/>
      <c r="I253" s="680"/>
      <c r="J253" s="681"/>
      <c r="K253" s="678"/>
      <c r="L253" s="665"/>
      <c r="M253" s="665"/>
      <c r="N253" s="688"/>
      <c r="O253" s="685"/>
      <c r="P253" s="685"/>
      <c r="Q253" s="678"/>
      <c r="R253" s="678"/>
      <c r="S253" s="661"/>
      <c r="T253" s="661"/>
      <c r="U253" s="661"/>
      <c r="V253" s="662">
        <f t="shared" si="14"/>
        <v>0</v>
      </c>
      <c r="W253" s="663"/>
      <c r="X253" s="664">
        <f t="shared" si="15"/>
        <v>0</v>
      </c>
      <c r="Y253" s="683"/>
      <c r="Z253" s="665"/>
      <c r="AA253" s="684"/>
      <c r="AB253" s="685"/>
      <c r="AC253" s="665"/>
      <c r="AD253" s="686"/>
    </row>
    <row r="254" spans="1:30" s="687" customFormat="1" ht="12.75" customHeight="1">
      <c r="A254" s="677"/>
      <c r="B254" s="677"/>
      <c r="C254" s="678"/>
      <c r="D254" s="678"/>
      <c r="E254" s="678"/>
      <c r="F254" s="678"/>
      <c r="G254" s="679"/>
      <c r="H254" s="679"/>
      <c r="I254" s="680"/>
      <c r="J254" s="681"/>
      <c r="K254" s="678"/>
      <c r="L254" s="665"/>
      <c r="M254" s="665"/>
      <c r="N254" s="688"/>
      <c r="O254" s="685"/>
      <c r="P254" s="685"/>
      <c r="Q254" s="678"/>
      <c r="R254" s="678"/>
      <c r="S254" s="661"/>
      <c r="T254" s="661"/>
      <c r="U254" s="661"/>
      <c r="V254" s="662">
        <f t="shared" si="14"/>
        <v>0</v>
      </c>
      <c r="W254" s="663"/>
      <c r="X254" s="664">
        <f t="shared" si="15"/>
        <v>0</v>
      </c>
      <c r="Y254" s="683"/>
      <c r="Z254" s="665"/>
      <c r="AA254" s="684"/>
      <c r="AB254" s="685"/>
      <c r="AC254" s="665"/>
      <c r="AD254" s="686"/>
    </row>
    <row r="255" spans="1:30" s="687" customFormat="1" ht="12.75" customHeight="1">
      <c r="A255" s="677"/>
      <c r="B255" s="677"/>
      <c r="C255" s="678"/>
      <c r="D255" s="678"/>
      <c r="E255" s="678"/>
      <c r="F255" s="678"/>
      <c r="G255" s="679"/>
      <c r="H255" s="679"/>
      <c r="I255" s="680"/>
      <c r="J255" s="681"/>
      <c r="K255" s="678"/>
      <c r="L255" s="665"/>
      <c r="M255" s="665"/>
      <c r="N255" s="688"/>
      <c r="O255" s="685"/>
      <c r="P255" s="685"/>
      <c r="Q255" s="678"/>
      <c r="R255" s="678"/>
      <c r="S255" s="661"/>
      <c r="T255" s="661"/>
      <c r="U255" s="661"/>
      <c r="V255" s="662">
        <f t="shared" si="14"/>
        <v>0</v>
      </c>
      <c r="W255" s="663"/>
      <c r="X255" s="664">
        <f t="shared" si="15"/>
        <v>0</v>
      </c>
      <c r="Y255" s="683"/>
      <c r="Z255" s="665"/>
      <c r="AA255" s="684"/>
      <c r="AB255" s="685"/>
      <c r="AC255" s="665"/>
      <c r="AD255" s="686"/>
    </row>
    <row r="256" spans="1:30" s="687" customFormat="1" ht="12.75" customHeight="1">
      <c r="A256" s="677"/>
      <c r="B256" s="677"/>
      <c r="C256" s="678"/>
      <c r="D256" s="678"/>
      <c r="E256" s="678"/>
      <c r="F256" s="678"/>
      <c r="G256" s="679"/>
      <c r="H256" s="679"/>
      <c r="I256" s="680"/>
      <c r="J256" s="681"/>
      <c r="K256" s="678"/>
      <c r="L256" s="665"/>
      <c r="M256" s="665"/>
      <c r="N256" s="688"/>
      <c r="O256" s="685"/>
      <c r="P256" s="685"/>
      <c r="Q256" s="678"/>
      <c r="R256" s="678"/>
      <c r="S256" s="661"/>
      <c r="T256" s="661"/>
      <c r="U256" s="661"/>
      <c r="V256" s="662">
        <f t="shared" si="14"/>
        <v>0</v>
      </c>
      <c r="W256" s="663"/>
      <c r="X256" s="664">
        <f t="shared" si="15"/>
        <v>0</v>
      </c>
      <c r="Y256" s="683"/>
      <c r="Z256" s="665"/>
      <c r="AA256" s="684"/>
      <c r="AB256" s="685"/>
      <c r="AC256" s="665"/>
      <c r="AD256" s="686"/>
    </row>
    <row r="257" spans="1:30" s="687" customFormat="1" ht="12.75" customHeight="1">
      <c r="A257" s="677"/>
      <c r="B257" s="677"/>
      <c r="C257" s="678"/>
      <c r="D257" s="678"/>
      <c r="E257" s="678"/>
      <c r="F257" s="678"/>
      <c r="G257" s="679"/>
      <c r="H257" s="679"/>
      <c r="I257" s="680"/>
      <c r="J257" s="681"/>
      <c r="K257" s="678"/>
      <c r="L257" s="665"/>
      <c r="M257" s="665"/>
      <c r="N257" s="688"/>
      <c r="O257" s="685"/>
      <c r="P257" s="685"/>
      <c r="Q257" s="678"/>
      <c r="R257" s="678"/>
      <c r="S257" s="661"/>
      <c r="T257" s="661"/>
      <c r="U257" s="661"/>
      <c r="V257" s="662">
        <f t="shared" si="14"/>
        <v>0</v>
      </c>
      <c r="W257" s="663"/>
      <c r="X257" s="664">
        <f t="shared" si="15"/>
        <v>0</v>
      </c>
      <c r="Y257" s="683"/>
      <c r="Z257" s="665"/>
      <c r="AA257" s="684"/>
      <c r="AB257" s="685"/>
      <c r="AC257" s="665"/>
      <c r="AD257" s="686"/>
    </row>
    <row r="258" spans="1:30" s="687" customFormat="1" ht="12.75" customHeight="1">
      <c r="A258" s="677"/>
      <c r="B258" s="677"/>
      <c r="C258" s="678"/>
      <c r="D258" s="678"/>
      <c r="E258" s="678"/>
      <c r="F258" s="678"/>
      <c r="G258" s="679"/>
      <c r="H258" s="679"/>
      <c r="I258" s="680"/>
      <c r="J258" s="681"/>
      <c r="K258" s="678"/>
      <c r="L258" s="665"/>
      <c r="M258" s="665"/>
      <c r="N258" s="688"/>
      <c r="O258" s="685"/>
      <c r="P258" s="685"/>
      <c r="Q258" s="678"/>
      <c r="R258" s="678"/>
      <c r="S258" s="661"/>
      <c r="T258" s="661"/>
      <c r="U258" s="661"/>
      <c r="V258" s="662">
        <f t="shared" si="14"/>
        <v>0</v>
      </c>
      <c r="W258" s="663"/>
      <c r="X258" s="664">
        <f t="shared" si="15"/>
        <v>0</v>
      </c>
      <c r="Y258" s="683"/>
      <c r="Z258" s="665"/>
      <c r="AA258" s="684"/>
      <c r="AB258" s="685"/>
      <c r="AC258" s="665"/>
      <c r="AD258" s="686"/>
    </row>
    <row r="259" spans="1:30" s="687" customFormat="1" ht="12.75" customHeight="1">
      <c r="A259" s="677"/>
      <c r="B259" s="677"/>
      <c r="C259" s="678"/>
      <c r="D259" s="678"/>
      <c r="E259" s="678"/>
      <c r="F259" s="678"/>
      <c r="G259" s="679"/>
      <c r="H259" s="679"/>
      <c r="I259" s="680"/>
      <c r="J259" s="681"/>
      <c r="K259" s="678"/>
      <c r="L259" s="665"/>
      <c r="M259" s="665"/>
      <c r="N259" s="688"/>
      <c r="O259" s="685"/>
      <c r="P259" s="685"/>
      <c r="Q259" s="678"/>
      <c r="R259" s="678"/>
      <c r="S259" s="661"/>
      <c r="T259" s="661"/>
      <c r="U259" s="661"/>
      <c r="V259" s="662">
        <f t="shared" si="14"/>
        <v>0</v>
      </c>
      <c r="W259" s="663"/>
      <c r="X259" s="664">
        <f t="shared" si="15"/>
        <v>0</v>
      </c>
      <c r="Y259" s="683"/>
      <c r="Z259" s="665"/>
      <c r="AA259" s="684"/>
      <c r="AB259" s="685"/>
      <c r="AC259" s="665"/>
      <c r="AD259" s="686"/>
    </row>
    <row r="260" spans="1:30" s="687" customFormat="1" ht="12.75" customHeight="1">
      <c r="A260" s="677"/>
      <c r="B260" s="677"/>
      <c r="C260" s="678"/>
      <c r="D260" s="678"/>
      <c r="E260" s="678"/>
      <c r="F260" s="678"/>
      <c r="G260" s="679"/>
      <c r="H260" s="679"/>
      <c r="I260" s="680"/>
      <c r="J260" s="681"/>
      <c r="K260" s="678"/>
      <c r="L260" s="665"/>
      <c r="M260" s="665"/>
      <c r="N260" s="688"/>
      <c r="O260" s="685"/>
      <c r="P260" s="685"/>
      <c r="Q260" s="678"/>
      <c r="R260" s="678"/>
      <c r="S260" s="661"/>
      <c r="T260" s="661"/>
      <c r="U260" s="661"/>
      <c r="V260" s="662">
        <f t="shared" si="14"/>
        <v>0</v>
      </c>
      <c r="W260" s="663"/>
      <c r="X260" s="664">
        <f t="shared" si="15"/>
        <v>0</v>
      </c>
      <c r="Y260" s="683"/>
      <c r="Z260" s="665"/>
      <c r="AA260" s="684"/>
      <c r="AB260" s="685"/>
      <c r="AC260" s="665"/>
      <c r="AD260" s="686"/>
    </row>
    <row r="261" spans="1:30" s="687" customFormat="1" ht="12.75" customHeight="1">
      <c r="A261" s="677"/>
      <c r="B261" s="677"/>
      <c r="C261" s="678"/>
      <c r="D261" s="678"/>
      <c r="E261" s="678"/>
      <c r="F261" s="678"/>
      <c r="G261" s="679"/>
      <c r="H261" s="679"/>
      <c r="I261" s="680"/>
      <c r="J261" s="681"/>
      <c r="K261" s="678"/>
      <c r="L261" s="665"/>
      <c r="M261" s="665"/>
      <c r="N261" s="688"/>
      <c r="O261" s="685"/>
      <c r="P261" s="685"/>
      <c r="Q261" s="678"/>
      <c r="R261" s="678"/>
      <c r="S261" s="661"/>
      <c r="T261" s="661"/>
      <c r="U261" s="661"/>
      <c r="V261" s="662">
        <f t="shared" si="14"/>
        <v>0</v>
      </c>
      <c r="W261" s="663"/>
      <c r="X261" s="664">
        <f t="shared" si="15"/>
        <v>0</v>
      </c>
      <c r="Y261" s="683"/>
      <c r="Z261" s="665"/>
      <c r="AA261" s="684"/>
      <c r="AB261" s="685"/>
      <c r="AC261" s="665"/>
      <c r="AD261" s="686"/>
    </row>
    <row r="262" spans="1:30" s="687" customFormat="1" ht="12.75" customHeight="1">
      <c r="A262" s="677"/>
      <c r="B262" s="677"/>
      <c r="C262" s="678"/>
      <c r="D262" s="678"/>
      <c r="E262" s="678"/>
      <c r="F262" s="678"/>
      <c r="G262" s="679"/>
      <c r="H262" s="679"/>
      <c r="I262" s="680"/>
      <c r="J262" s="681"/>
      <c r="K262" s="678"/>
      <c r="L262" s="665"/>
      <c r="M262" s="665"/>
      <c r="N262" s="688"/>
      <c r="O262" s="685"/>
      <c r="P262" s="685"/>
      <c r="Q262" s="678"/>
      <c r="R262" s="678"/>
      <c r="S262" s="661"/>
      <c r="T262" s="661"/>
      <c r="U262" s="661"/>
      <c r="V262" s="662">
        <f t="shared" si="14"/>
        <v>0</v>
      </c>
      <c r="W262" s="663"/>
      <c r="X262" s="664">
        <f t="shared" si="15"/>
        <v>0</v>
      </c>
      <c r="Y262" s="683"/>
      <c r="Z262" s="665"/>
      <c r="AA262" s="684"/>
      <c r="AB262" s="685"/>
      <c r="AC262" s="665"/>
      <c r="AD262" s="686"/>
    </row>
    <row r="263" spans="1:30" s="687" customFormat="1" ht="12.75" customHeight="1">
      <c r="A263" s="677"/>
      <c r="B263" s="677"/>
      <c r="C263" s="678"/>
      <c r="D263" s="678"/>
      <c r="E263" s="678"/>
      <c r="F263" s="678"/>
      <c r="G263" s="679"/>
      <c r="H263" s="679"/>
      <c r="I263" s="680"/>
      <c r="J263" s="681"/>
      <c r="K263" s="678"/>
      <c r="L263" s="665"/>
      <c r="M263" s="665"/>
      <c r="N263" s="688"/>
      <c r="O263" s="685"/>
      <c r="P263" s="685"/>
      <c r="Q263" s="678"/>
      <c r="R263" s="678"/>
      <c r="S263" s="661"/>
      <c r="T263" s="661"/>
      <c r="U263" s="661"/>
      <c r="V263" s="662">
        <f t="shared" si="14"/>
        <v>0</v>
      </c>
      <c r="W263" s="663"/>
      <c r="X263" s="664">
        <f t="shared" si="15"/>
        <v>0</v>
      </c>
      <c r="Y263" s="683"/>
      <c r="Z263" s="665"/>
      <c r="AA263" s="684"/>
      <c r="AB263" s="685"/>
      <c r="AC263" s="665"/>
      <c r="AD263" s="686"/>
    </row>
    <row r="264" spans="1:30" s="687" customFormat="1" ht="12.75" customHeight="1">
      <c r="A264" s="677"/>
      <c r="B264" s="677"/>
      <c r="C264" s="678"/>
      <c r="D264" s="678"/>
      <c r="E264" s="678"/>
      <c r="F264" s="678"/>
      <c r="G264" s="679"/>
      <c r="H264" s="679"/>
      <c r="I264" s="680"/>
      <c r="J264" s="681"/>
      <c r="K264" s="678"/>
      <c r="L264" s="665"/>
      <c r="M264" s="665"/>
      <c r="N264" s="688"/>
      <c r="O264" s="685"/>
      <c r="P264" s="685"/>
      <c r="Q264" s="678"/>
      <c r="R264" s="678"/>
      <c r="S264" s="661"/>
      <c r="T264" s="661"/>
      <c r="U264" s="661"/>
      <c r="V264" s="662">
        <f t="shared" si="14"/>
        <v>0</v>
      </c>
      <c r="W264" s="663"/>
      <c r="X264" s="664">
        <f t="shared" si="15"/>
        <v>0</v>
      </c>
      <c r="Y264" s="683"/>
      <c r="Z264" s="665"/>
      <c r="AA264" s="684"/>
      <c r="AB264" s="685"/>
      <c r="AC264" s="665"/>
      <c r="AD264" s="686"/>
    </row>
    <row r="265" spans="1:30" s="687" customFormat="1" ht="12.75" customHeight="1">
      <c r="A265" s="677"/>
      <c r="B265" s="677"/>
      <c r="C265" s="678"/>
      <c r="D265" s="678"/>
      <c r="E265" s="678"/>
      <c r="F265" s="678"/>
      <c r="G265" s="679"/>
      <c r="H265" s="679"/>
      <c r="I265" s="680"/>
      <c r="J265" s="681"/>
      <c r="K265" s="678"/>
      <c r="L265" s="665"/>
      <c r="M265" s="665"/>
      <c r="N265" s="688"/>
      <c r="O265" s="685"/>
      <c r="P265" s="685"/>
      <c r="Q265" s="678"/>
      <c r="R265" s="678"/>
      <c r="S265" s="661"/>
      <c r="T265" s="661"/>
      <c r="U265" s="661"/>
      <c r="V265" s="662">
        <f t="shared" si="14"/>
        <v>0</v>
      </c>
      <c r="W265" s="663"/>
      <c r="X265" s="664">
        <f t="shared" si="15"/>
        <v>0</v>
      </c>
      <c r="Y265" s="683"/>
      <c r="Z265" s="665"/>
      <c r="AA265" s="684"/>
      <c r="AB265" s="685"/>
      <c r="AC265" s="665"/>
      <c r="AD265" s="686"/>
    </row>
    <row r="266" spans="1:30" s="687" customFormat="1" ht="12.75" customHeight="1">
      <c r="A266" s="677"/>
      <c r="B266" s="677"/>
      <c r="C266" s="678"/>
      <c r="D266" s="678"/>
      <c r="E266" s="678"/>
      <c r="F266" s="678"/>
      <c r="G266" s="679"/>
      <c r="H266" s="679"/>
      <c r="I266" s="680"/>
      <c r="J266" s="681"/>
      <c r="K266" s="678"/>
      <c r="L266" s="665"/>
      <c r="M266" s="665"/>
      <c r="N266" s="688"/>
      <c r="O266" s="685"/>
      <c r="P266" s="685"/>
      <c r="Q266" s="678"/>
      <c r="R266" s="678"/>
      <c r="S266" s="661"/>
      <c r="T266" s="661"/>
      <c r="U266" s="661"/>
      <c r="V266" s="662">
        <f t="shared" si="14"/>
        <v>0</v>
      </c>
      <c r="W266" s="663"/>
      <c r="X266" s="664">
        <f t="shared" si="15"/>
        <v>0</v>
      </c>
      <c r="Y266" s="683"/>
      <c r="Z266" s="665"/>
      <c r="AA266" s="684"/>
      <c r="AB266" s="685"/>
      <c r="AC266" s="665"/>
      <c r="AD266" s="686"/>
    </row>
    <row r="267" spans="1:30" s="687" customFormat="1" ht="12.75" customHeight="1">
      <c r="A267" s="677"/>
      <c r="B267" s="677"/>
      <c r="C267" s="678"/>
      <c r="D267" s="678"/>
      <c r="E267" s="678"/>
      <c r="F267" s="678"/>
      <c r="G267" s="679"/>
      <c r="H267" s="679"/>
      <c r="I267" s="680"/>
      <c r="J267" s="681"/>
      <c r="K267" s="678"/>
      <c r="L267" s="665"/>
      <c r="M267" s="665"/>
      <c r="N267" s="688"/>
      <c r="O267" s="685"/>
      <c r="P267" s="685"/>
      <c r="Q267" s="678"/>
      <c r="R267" s="678"/>
      <c r="S267" s="661"/>
      <c r="T267" s="661"/>
      <c r="U267" s="661"/>
      <c r="V267" s="662">
        <f t="shared" si="14"/>
        <v>0</v>
      </c>
      <c r="W267" s="663"/>
      <c r="X267" s="664">
        <f t="shared" si="15"/>
        <v>0</v>
      </c>
      <c r="Y267" s="683"/>
      <c r="Z267" s="665"/>
      <c r="AA267" s="684"/>
      <c r="AB267" s="685"/>
      <c r="AC267" s="665"/>
      <c r="AD267" s="686"/>
    </row>
    <row r="268" spans="1:30" s="687" customFormat="1" ht="12.75" customHeight="1">
      <c r="A268" s="677"/>
      <c r="B268" s="677"/>
      <c r="C268" s="678"/>
      <c r="D268" s="678"/>
      <c r="E268" s="678"/>
      <c r="F268" s="678"/>
      <c r="G268" s="679"/>
      <c r="H268" s="679"/>
      <c r="I268" s="680"/>
      <c r="J268" s="681"/>
      <c r="K268" s="678"/>
      <c r="L268" s="665"/>
      <c r="M268" s="665"/>
      <c r="N268" s="688"/>
      <c r="O268" s="685"/>
      <c r="P268" s="685"/>
      <c r="Q268" s="678"/>
      <c r="R268" s="678"/>
      <c r="S268" s="661"/>
      <c r="T268" s="661"/>
      <c r="U268" s="661"/>
      <c r="V268" s="662">
        <f t="shared" si="14"/>
        <v>0</v>
      </c>
      <c r="W268" s="663"/>
      <c r="X268" s="664">
        <f t="shared" si="15"/>
        <v>0</v>
      </c>
      <c r="Y268" s="683"/>
      <c r="Z268" s="665"/>
      <c r="AA268" s="684"/>
      <c r="AB268" s="685"/>
      <c r="AC268" s="665"/>
      <c r="AD268" s="686"/>
    </row>
    <row r="269" spans="1:30" s="687" customFormat="1" ht="12.75" customHeight="1">
      <c r="A269" s="677"/>
      <c r="B269" s="677"/>
      <c r="C269" s="678"/>
      <c r="D269" s="678"/>
      <c r="E269" s="678"/>
      <c r="F269" s="678"/>
      <c r="G269" s="679"/>
      <c r="H269" s="679"/>
      <c r="I269" s="680"/>
      <c r="J269" s="681"/>
      <c r="K269" s="678"/>
      <c r="L269" s="665"/>
      <c r="M269" s="665"/>
      <c r="N269" s="688"/>
      <c r="O269" s="685"/>
      <c r="P269" s="685"/>
      <c r="Q269" s="678"/>
      <c r="R269" s="678"/>
      <c r="S269" s="661"/>
      <c r="T269" s="661"/>
      <c r="U269" s="661"/>
      <c r="V269" s="662">
        <f t="shared" si="14"/>
        <v>0</v>
      </c>
      <c r="W269" s="663"/>
      <c r="X269" s="664">
        <f t="shared" si="15"/>
        <v>0</v>
      </c>
      <c r="Y269" s="683"/>
      <c r="Z269" s="665"/>
      <c r="AA269" s="684"/>
      <c r="AB269" s="685"/>
      <c r="AC269" s="665"/>
      <c r="AD269" s="686"/>
    </row>
    <row r="270" spans="1:30" s="687" customFormat="1" ht="12.75" customHeight="1">
      <c r="A270" s="677"/>
      <c r="B270" s="677"/>
      <c r="C270" s="678"/>
      <c r="D270" s="678"/>
      <c r="E270" s="678"/>
      <c r="F270" s="678"/>
      <c r="G270" s="679"/>
      <c r="H270" s="679"/>
      <c r="I270" s="680"/>
      <c r="J270" s="681"/>
      <c r="K270" s="678"/>
      <c r="L270" s="665"/>
      <c r="M270" s="665"/>
      <c r="N270" s="688"/>
      <c r="O270" s="685"/>
      <c r="P270" s="685"/>
      <c r="Q270" s="678"/>
      <c r="R270" s="678"/>
      <c r="S270" s="661"/>
      <c r="T270" s="661"/>
      <c r="U270" s="661"/>
      <c r="V270" s="662">
        <f t="shared" si="14"/>
        <v>0</v>
      </c>
      <c r="W270" s="663"/>
      <c r="X270" s="664">
        <f t="shared" si="15"/>
        <v>0</v>
      </c>
      <c r="Y270" s="683"/>
      <c r="Z270" s="665"/>
      <c r="AA270" s="684"/>
      <c r="AB270" s="685"/>
      <c r="AC270" s="665"/>
      <c r="AD270" s="686"/>
    </row>
    <row r="271" spans="1:30" s="687" customFormat="1" ht="12.75" customHeight="1">
      <c r="A271" s="677"/>
      <c r="B271" s="677"/>
      <c r="C271" s="678"/>
      <c r="D271" s="678"/>
      <c r="E271" s="678"/>
      <c r="F271" s="678"/>
      <c r="G271" s="679"/>
      <c r="H271" s="679"/>
      <c r="I271" s="680"/>
      <c r="J271" s="681"/>
      <c r="K271" s="678"/>
      <c r="L271" s="665"/>
      <c r="M271" s="665"/>
      <c r="N271" s="688"/>
      <c r="O271" s="685"/>
      <c r="P271" s="685"/>
      <c r="Q271" s="678"/>
      <c r="R271" s="678"/>
      <c r="S271" s="661"/>
      <c r="T271" s="661"/>
      <c r="U271" s="661"/>
      <c r="V271" s="662">
        <f t="shared" si="14"/>
        <v>0</v>
      </c>
      <c r="W271" s="663"/>
      <c r="X271" s="664">
        <f t="shared" si="15"/>
        <v>0</v>
      </c>
      <c r="Y271" s="683"/>
      <c r="Z271" s="665"/>
      <c r="AA271" s="684"/>
      <c r="AB271" s="685"/>
      <c r="AC271" s="665"/>
      <c r="AD271" s="686"/>
    </row>
    <row r="272" spans="1:30" s="687" customFormat="1" ht="12.75" customHeight="1">
      <c r="A272" s="677"/>
      <c r="B272" s="677"/>
      <c r="C272" s="678"/>
      <c r="D272" s="678"/>
      <c r="E272" s="678"/>
      <c r="F272" s="678"/>
      <c r="G272" s="679"/>
      <c r="H272" s="679"/>
      <c r="I272" s="680"/>
      <c r="J272" s="681"/>
      <c r="K272" s="678"/>
      <c r="L272" s="665"/>
      <c r="M272" s="665"/>
      <c r="N272" s="688"/>
      <c r="O272" s="685"/>
      <c r="P272" s="685"/>
      <c r="Q272" s="678"/>
      <c r="R272" s="678"/>
      <c r="S272" s="661"/>
      <c r="T272" s="661"/>
      <c r="U272" s="661"/>
      <c r="V272" s="662">
        <f t="shared" si="14"/>
        <v>0</v>
      </c>
      <c r="W272" s="663"/>
      <c r="X272" s="664">
        <f t="shared" si="15"/>
        <v>0</v>
      </c>
      <c r="Y272" s="683"/>
      <c r="Z272" s="665"/>
      <c r="AA272" s="684"/>
      <c r="AB272" s="685"/>
      <c r="AC272" s="665"/>
      <c r="AD272" s="686"/>
    </row>
    <row r="273" spans="1:30" s="687" customFormat="1" ht="12.75" customHeight="1">
      <c r="A273" s="677"/>
      <c r="B273" s="677"/>
      <c r="C273" s="678"/>
      <c r="D273" s="678"/>
      <c r="E273" s="678"/>
      <c r="F273" s="678"/>
      <c r="G273" s="679"/>
      <c r="H273" s="679"/>
      <c r="I273" s="680"/>
      <c r="J273" s="681"/>
      <c r="K273" s="678"/>
      <c r="L273" s="665"/>
      <c r="M273" s="665"/>
      <c r="N273" s="688"/>
      <c r="O273" s="685"/>
      <c r="P273" s="685"/>
      <c r="Q273" s="678"/>
      <c r="R273" s="678"/>
      <c r="S273" s="661"/>
      <c r="T273" s="661"/>
      <c r="U273" s="661"/>
      <c r="V273" s="662">
        <f t="shared" si="14"/>
        <v>0</v>
      </c>
      <c r="W273" s="663"/>
      <c r="X273" s="664">
        <f t="shared" si="15"/>
        <v>0</v>
      </c>
      <c r="Y273" s="683"/>
      <c r="Z273" s="665"/>
      <c r="AA273" s="684"/>
      <c r="AB273" s="685"/>
      <c r="AC273" s="665"/>
      <c r="AD273" s="686"/>
    </row>
    <row r="274" spans="1:30" s="687" customFormat="1" ht="12.75" customHeight="1">
      <c r="A274" s="677"/>
      <c r="B274" s="677"/>
      <c r="C274" s="678"/>
      <c r="D274" s="678"/>
      <c r="E274" s="678"/>
      <c r="F274" s="678"/>
      <c r="G274" s="679"/>
      <c r="H274" s="679"/>
      <c r="I274" s="680"/>
      <c r="J274" s="681"/>
      <c r="K274" s="678"/>
      <c r="L274" s="665"/>
      <c r="M274" s="665"/>
      <c r="N274" s="688"/>
      <c r="O274" s="685"/>
      <c r="P274" s="685"/>
      <c r="Q274" s="678"/>
      <c r="R274" s="678"/>
      <c r="S274" s="661"/>
      <c r="T274" s="661"/>
      <c r="U274" s="661"/>
      <c r="V274" s="662">
        <f t="shared" si="14"/>
        <v>0</v>
      </c>
      <c r="W274" s="663"/>
      <c r="X274" s="664">
        <f t="shared" si="15"/>
        <v>0</v>
      </c>
      <c r="Y274" s="683"/>
      <c r="Z274" s="665"/>
      <c r="AA274" s="684"/>
      <c r="AB274" s="685"/>
      <c r="AC274" s="665"/>
      <c r="AD274" s="686"/>
    </row>
    <row r="275" spans="1:30" s="687" customFormat="1" ht="12.75" customHeight="1">
      <c r="A275" s="677"/>
      <c r="B275" s="677"/>
      <c r="C275" s="678"/>
      <c r="D275" s="678"/>
      <c r="E275" s="678"/>
      <c r="F275" s="678"/>
      <c r="G275" s="679"/>
      <c r="H275" s="679"/>
      <c r="I275" s="680"/>
      <c r="J275" s="681"/>
      <c r="K275" s="678"/>
      <c r="L275" s="665"/>
      <c r="M275" s="665"/>
      <c r="N275" s="688"/>
      <c r="O275" s="685"/>
      <c r="P275" s="685"/>
      <c r="Q275" s="678"/>
      <c r="R275" s="678"/>
      <c r="S275" s="661"/>
      <c r="T275" s="661"/>
      <c r="U275" s="661"/>
      <c r="V275" s="662">
        <f t="shared" si="14"/>
        <v>0</v>
      </c>
      <c r="W275" s="663"/>
      <c r="X275" s="664">
        <f t="shared" si="15"/>
        <v>0</v>
      </c>
      <c r="Y275" s="683"/>
      <c r="Z275" s="665"/>
      <c r="AA275" s="684"/>
      <c r="AB275" s="685"/>
      <c r="AC275" s="665"/>
      <c r="AD275" s="686"/>
    </row>
    <row r="276" spans="1:30" s="687" customFormat="1" ht="12.75" customHeight="1">
      <c r="A276" s="677"/>
      <c r="B276" s="677"/>
      <c r="C276" s="678"/>
      <c r="D276" s="678"/>
      <c r="E276" s="678"/>
      <c r="F276" s="678"/>
      <c r="G276" s="679"/>
      <c r="H276" s="679"/>
      <c r="I276" s="680"/>
      <c r="J276" s="681"/>
      <c r="K276" s="678"/>
      <c r="L276" s="665"/>
      <c r="M276" s="665"/>
      <c r="N276" s="688"/>
      <c r="O276" s="685"/>
      <c r="P276" s="685"/>
      <c r="Q276" s="678"/>
      <c r="R276" s="678"/>
      <c r="S276" s="661"/>
      <c r="T276" s="661"/>
      <c r="U276" s="661"/>
      <c r="V276" s="662">
        <f t="shared" si="14"/>
        <v>0</v>
      </c>
      <c r="W276" s="663"/>
      <c r="X276" s="664">
        <f t="shared" si="15"/>
        <v>0</v>
      </c>
      <c r="Y276" s="683"/>
      <c r="Z276" s="665"/>
      <c r="AA276" s="684"/>
      <c r="AB276" s="685"/>
      <c r="AC276" s="665"/>
      <c r="AD276" s="686"/>
    </row>
    <row r="277" spans="1:30" s="687" customFormat="1" ht="12.75" customHeight="1">
      <c r="A277" s="677"/>
      <c r="B277" s="677"/>
      <c r="C277" s="678"/>
      <c r="D277" s="678"/>
      <c r="E277" s="678"/>
      <c r="F277" s="678"/>
      <c r="G277" s="679"/>
      <c r="H277" s="679"/>
      <c r="I277" s="680"/>
      <c r="J277" s="681"/>
      <c r="K277" s="678"/>
      <c r="L277" s="665"/>
      <c r="M277" s="665"/>
      <c r="N277" s="688"/>
      <c r="O277" s="685"/>
      <c r="P277" s="685"/>
      <c r="Q277" s="678"/>
      <c r="R277" s="678"/>
      <c r="S277" s="661"/>
      <c r="T277" s="661"/>
      <c r="U277" s="661"/>
      <c r="V277" s="662">
        <f t="shared" si="14"/>
        <v>0</v>
      </c>
      <c r="W277" s="663"/>
      <c r="X277" s="664">
        <f t="shared" si="15"/>
        <v>0</v>
      </c>
      <c r="Y277" s="683"/>
      <c r="Z277" s="665"/>
      <c r="AA277" s="684"/>
      <c r="AB277" s="685"/>
      <c r="AC277" s="665"/>
      <c r="AD277" s="686"/>
    </row>
    <row r="278" spans="1:30" s="687" customFormat="1" ht="12.75" customHeight="1">
      <c r="A278" s="677"/>
      <c r="B278" s="677"/>
      <c r="C278" s="678"/>
      <c r="D278" s="678"/>
      <c r="E278" s="678"/>
      <c r="F278" s="678"/>
      <c r="G278" s="679"/>
      <c r="H278" s="679"/>
      <c r="I278" s="680"/>
      <c r="J278" s="681"/>
      <c r="K278" s="678"/>
      <c r="L278" s="665"/>
      <c r="M278" s="665"/>
      <c r="N278" s="688"/>
      <c r="O278" s="685"/>
      <c r="P278" s="685"/>
      <c r="Q278" s="678"/>
      <c r="R278" s="678"/>
      <c r="S278" s="661"/>
      <c r="T278" s="661"/>
      <c r="U278" s="661"/>
      <c r="V278" s="662">
        <f t="shared" si="14"/>
        <v>0</v>
      </c>
      <c r="W278" s="663"/>
      <c r="X278" s="664">
        <f t="shared" si="15"/>
        <v>0</v>
      </c>
      <c r="Y278" s="683"/>
      <c r="Z278" s="665"/>
      <c r="AA278" s="684"/>
      <c r="AB278" s="685"/>
      <c r="AC278" s="665"/>
      <c r="AD278" s="686"/>
    </row>
    <row r="279" spans="1:30" s="687" customFormat="1" ht="12.75" customHeight="1">
      <c r="A279" s="677"/>
      <c r="B279" s="677"/>
      <c r="C279" s="678"/>
      <c r="D279" s="678"/>
      <c r="E279" s="678"/>
      <c r="F279" s="678"/>
      <c r="G279" s="679"/>
      <c r="H279" s="679"/>
      <c r="I279" s="680"/>
      <c r="J279" s="681"/>
      <c r="K279" s="678"/>
      <c r="L279" s="665"/>
      <c r="M279" s="665"/>
      <c r="N279" s="688"/>
      <c r="O279" s="685"/>
      <c r="P279" s="685"/>
      <c r="Q279" s="678"/>
      <c r="R279" s="678"/>
      <c r="S279" s="661"/>
      <c r="T279" s="661"/>
      <c r="U279" s="661"/>
      <c r="V279" s="662">
        <f t="shared" si="14"/>
        <v>0</v>
      </c>
      <c r="W279" s="663"/>
      <c r="X279" s="664">
        <f t="shared" si="15"/>
        <v>0</v>
      </c>
      <c r="Y279" s="683"/>
      <c r="Z279" s="665"/>
      <c r="AA279" s="684"/>
      <c r="AB279" s="685"/>
      <c r="AC279" s="665"/>
      <c r="AD279" s="686"/>
    </row>
    <row r="280" spans="1:30" s="687" customFormat="1" ht="12.75" customHeight="1">
      <c r="A280" s="677"/>
      <c r="B280" s="677"/>
      <c r="C280" s="678"/>
      <c r="D280" s="678"/>
      <c r="E280" s="678"/>
      <c r="F280" s="678"/>
      <c r="G280" s="679"/>
      <c r="H280" s="679"/>
      <c r="I280" s="680"/>
      <c r="J280" s="681"/>
      <c r="K280" s="678"/>
      <c r="L280" s="665"/>
      <c r="M280" s="665"/>
      <c r="N280" s="688"/>
      <c r="O280" s="685"/>
      <c r="P280" s="685"/>
      <c r="Q280" s="678"/>
      <c r="R280" s="678"/>
      <c r="S280" s="661"/>
      <c r="T280" s="661"/>
      <c r="U280" s="661"/>
      <c r="V280" s="662">
        <f t="shared" si="14"/>
        <v>0</v>
      </c>
      <c r="W280" s="663"/>
      <c r="X280" s="664">
        <f t="shared" si="15"/>
        <v>0</v>
      </c>
      <c r="Y280" s="683"/>
      <c r="Z280" s="665"/>
      <c r="AA280" s="684"/>
      <c r="AB280" s="685"/>
      <c r="AC280" s="665"/>
      <c r="AD280" s="686"/>
    </row>
    <row r="281" spans="1:30" s="687" customFormat="1" ht="12.75" customHeight="1">
      <c r="A281" s="677"/>
      <c r="B281" s="677"/>
      <c r="C281" s="678"/>
      <c r="D281" s="678"/>
      <c r="E281" s="678"/>
      <c r="F281" s="678"/>
      <c r="G281" s="679"/>
      <c r="H281" s="679"/>
      <c r="I281" s="680"/>
      <c r="J281" s="681"/>
      <c r="K281" s="678"/>
      <c r="L281" s="665"/>
      <c r="M281" s="665"/>
      <c r="N281" s="688"/>
      <c r="O281" s="685"/>
      <c r="P281" s="685"/>
      <c r="Q281" s="678"/>
      <c r="R281" s="678"/>
      <c r="S281" s="661"/>
      <c r="T281" s="661"/>
      <c r="U281" s="661"/>
      <c r="V281" s="662">
        <f t="shared" si="14"/>
        <v>0</v>
      </c>
      <c r="W281" s="663"/>
      <c r="X281" s="664">
        <f t="shared" si="15"/>
        <v>0</v>
      </c>
      <c r="Y281" s="683"/>
      <c r="Z281" s="665"/>
      <c r="AA281" s="684"/>
      <c r="AB281" s="685"/>
      <c r="AC281" s="665"/>
      <c r="AD281" s="686"/>
    </row>
    <row r="282" spans="1:30" s="687" customFormat="1" ht="12.75" customHeight="1">
      <c r="A282" s="677"/>
      <c r="B282" s="677"/>
      <c r="C282" s="678"/>
      <c r="D282" s="678"/>
      <c r="E282" s="678"/>
      <c r="F282" s="678"/>
      <c r="G282" s="679"/>
      <c r="H282" s="679"/>
      <c r="I282" s="680"/>
      <c r="J282" s="681"/>
      <c r="K282" s="678"/>
      <c r="L282" s="665"/>
      <c r="M282" s="665"/>
      <c r="N282" s="688"/>
      <c r="O282" s="685"/>
      <c r="P282" s="685"/>
      <c r="Q282" s="678"/>
      <c r="R282" s="678"/>
      <c r="S282" s="661"/>
      <c r="T282" s="661"/>
      <c r="U282" s="661"/>
      <c r="V282" s="662">
        <f t="shared" si="14"/>
        <v>0</v>
      </c>
      <c r="W282" s="663"/>
      <c r="X282" s="664">
        <f t="shared" si="15"/>
        <v>0</v>
      </c>
      <c r="Y282" s="683"/>
      <c r="Z282" s="665"/>
      <c r="AA282" s="684"/>
      <c r="AB282" s="685"/>
      <c r="AC282" s="665"/>
      <c r="AD282" s="686"/>
    </row>
    <row r="283" spans="1:30" s="687" customFormat="1" ht="12.75" customHeight="1">
      <c r="A283" s="677"/>
      <c r="B283" s="677"/>
      <c r="C283" s="678"/>
      <c r="D283" s="678"/>
      <c r="E283" s="678"/>
      <c r="F283" s="678"/>
      <c r="G283" s="679"/>
      <c r="H283" s="679"/>
      <c r="I283" s="680"/>
      <c r="J283" s="681"/>
      <c r="K283" s="678"/>
      <c r="L283" s="665"/>
      <c r="M283" s="665"/>
      <c r="N283" s="688"/>
      <c r="O283" s="685"/>
      <c r="P283" s="685"/>
      <c r="Q283" s="678"/>
      <c r="R283" s="678"/>
      <c r="S283" s="661"/>
      <c r="T283" s="661"/>
      <c r="U283" s="661"/>
      <c r="V283" s="662">
        <f t="shared" si="14"/>
        <v>0</v>
      </c>
      <c r="W283" s="663"/>
      <c r="X283" s="664">
        <f t="shared" si="15"/>
        <v>0</v>
      </c>
      <c r="Y283" s="683"/>
      <c r="Z283" s="665"/>
      <c r="AA283" s="684"/>
      <c r="AB283" s="685"/>
      <c r="AC283" s="665"/>
      <c r="AD283" s="686"/>
    </row>
    <row r="284" spans="1:30" s="687" customFormat="1" ht="12.75" customHeight="1">
      <c r="A284" s="677"/>
      <c r="B284" s="677"/>
      <c r="C284" s="678"/>
      <c r="D284" s="678"/>
      <c r="E284" s="678"/>
      <c r="F284" s="678"/>
      <c r="G284" s="679"/>
      <c r="H284" s="679"/>
      <c r="I284" s="680"/>
      <c r="J284" s="681"/>
      <c r="K284" s="678"/>
      <c r="L284" s="665"/>
      <c r="M284" s="665"/>
      <c r="N284" s="688"/>
      <c r="O284" s="685"/>
      <c r="P284" s="685"/>
      <c r="Q284" s="678"/>
      <c r="R284" s="678"/>
      <c r="S284" s="661"/>
      <c r="T284" s="661"/>
      <c r="U284" s="661"/>
      <c r="V284" s="662">
        <f t="shared" si="14"/>
        <v>0</v>
      </c>
      <c r="W284" s="663"/>
      <c r="X284" s="664">
        <f t="shared" si="15"/>
        <v>0</v>
      </c>
      <c r="Y284" s="683"/>
      <c r="Z284" s="665"/>
      <c r="AA284" s="684"/>
      <c r="AB284" s="685"/>
      <c r="AC284" s="665"/>
      <c r="AD284" s="686"/>
    </row>
    <row r="285" spans="1:30" s="687" customFormat="1" ht="12.75" customHeight="1">
      <c r="A285" s="677"/>
      <c r="B285" s="677"/>
      <c r="C285" s="678"/>
      <c r="D285" s="678"/>
      <c r="E285" s="678"/>
      <c r="F285" s="678"/>
      <c r="G285" s="679"/>
      <c r="H285" s="679"/>
      <c r="I285" s="680"/>
      <c r="J285" s="681"/>
      <c r="K285" s="678"/>
      <c r="L285" s="665"/>
      <c r="M285" s="665"/>
      <c r="N285" s="688"/>
      <c r="O285" s="685"/>
      <c r="P285" s="685"/>
      <c r="Q285" s="678"/>
      <c r="R285" s="678"/>
      <c r="S285" s="661"/>
      <c r="T285" s="661"/>
      <c r="U285" s="661"/>
      <c r="V285" s="662">
        <f t="shared" si="14"/>
        <v>0</v>
      </c>
      <c r="W285" s="663"/>
      <c r="X285" s="664">
        <f t="shared" si="15"/>
        <v>0</v>
      </c>
      <c r="Y285" s="683"/>
      <c r="Z285" s="665"/>
      <c r="AA285" s="684"/>
      <c r="AB285" s="685"/>
      <c r="AC285" s="665"/>
      <c r="AD285" s="686"/>
    </row>
    <row r="286" spans="1:30" s="687" customFormat="1" ht="12.75" customHeight="1">
      <c r="A286" s="677"/>
      <c r="B286" s="677"/>
      <c r="C286" s="678"/>
      <c r="D286" s="678"/>
      <c r="E286" s="678"/>
      <c r="F286" s="678"/>
      <c r="G286" s="679"/>
      <c r="H286" s="679"/>
      <c r="I286" s="680"/>
      <c r="J286" s="681"/>
      <c r="K286" s="678"/>
      <c r="L286" s="665"/>
      <c r="M286" s="665"/>
      <c r="N286" s="688"/>
      <c r="O286" s="685"/>
      <c r="P286" s="685"/>
      <c r="Q286" s="678"/>
      <c r="R286" s="678"/>
      <c r="S286" s="661"/>
      <c r="T286" s="661"/>
      <c r="U286" s="661"/>
      <c r="V286" s="662">
        <f t="shared" si="14"/>
        <v>0</v>
      </c>
      <c r="W286" s="663"/>
      <c r="X286" s="664">
        <f t="shared" si="15"/>
        <v>0</v>
      </c>
      <c r="Y286" s="683"/>
      <c r="Z286" s="665"/>
      <c r="AA286" s="684"/>
      <c r="AB286" s="685"/>
      <c r="AC286" s="665"/>
      <c r="AD286" s="686"/>
    </row>
    <row r="287" spans="1:30" s="687" customFormat="1" ht="12.75" customHeight="1">
      <c r="A287" s="677"/>
      <c r="B287" s="677"/>
      <c r="C287" s="678"/>
      <c r="D287" s="678"/>
      <c r="E287" s="678"/>
      <c r="F287" s="678"/>
      <c r="G287" s="679"/>
      <c r="H287" s="679"/>
      <c r="I287" s="680"/>
      <c r="J287" s="681"/>
      <c r="K287" s="678"/>
      <c r="L287" s="665"/>
      <c r="M287" s="665"/>
      <c r="N287" s="688"/>
      <c r="O287" s="685"/>
      <c r="P287" s="685"/>
      <c r="Q287" s="678"/>
      <c r="R287" s="678"/>
      <c r="S287" s="661"/>
      <c r="T287" s="661"/>
      <c r="U287" s="661"/>
      <c r="V287" s="662">
        <f t="shared" si="14"/>
        <v>0</v>
      </c>
      <c r="W287" s="663"/>
      <c r="X287" s="664">
        <f t="shared" si="15"/>
        <v>0</v>
      </c>
      <c r="Y287" s="683"/>
      <c r="Z287" s="665"/>
      <c r="AA287" s="684"/>
      <c r="AB287" s="685"/>
      <c r="AC287" s="665"/>
      <c r="AD287" s="686"/>
    </row>
    <row r="288" spans="1:30" s="687" customFormat="1" ht="12.75" customHeight="1">
      <c r="A288" s="677"/>
      <c r="B288" s="677"/>
      <c r="C288" s="678"/>
      <c r="D288" s="678"/>
      <c r="E288" s="678"/>
      <c r="F288" s="678"/>
      <c r="G288" s="679"/>
      <c r="H288" s="679"/>
      <c r="I288" s="680"/>
      <c r="J288" s="681"/>
      <c r="K288" s="678"/>
      <c r="L288" s="665"/>
      <c r="M288" s="665"/>
      <c r="N288" s="688"/>
      <c r="O288" s="685"/>
      <c r="P288" s="685"/>
      <c r="Q288" s="678"/>
      <c r="R288" s="678"/>
      <c r="S288" s="661"/>
      <c r="T288" s="661"/>
      <c r="U288" s="661"/>
      <c r="V288" s="662">
        <f t="shared" si="14"/>
        <v>0</v>
      </c>
      <c r="W288" s="663"/>
      <c r="X288" s="664">
        <f t="shared" si="15"/>
        <v>0</v>
      </c>
      <c r="Y288" s="683"/>
      <c r="Z288" s="665"/>
      <c r="AA288" s="684"/>
      <c r="AB288" s="685"/>
      <c r="AC288" s="665"/>
      <c r="AD288" s="686"/>
    </row>
    <row r="289" spans="1:30" s="687" customFormat="1" ht="12.75" customHeight="1">
      <c r="A289" s="677"/>
      <c r="B289" s="677"/>
      <c r="C289" s="678"/>
      <c r="D289" s="678"/>
      <c r="E289" s="678"/>
      <c r="F289" s="678"/>
      <c r="G289" s="679"/>
      <c r="H289" s="679"/>
      <c r="I289" s="680"/>
      <c r="J289" s="681"/>
      <c r="K289" s="678"/>
      <c r="L289" s="665"/>
      <c r="M289" s="665"/>
      <c r="N289" s="688"/>
      <c r="O289" s="685"/>
      <c r="P289" s="685"/>
      <c r="Q289" s="678"/>
      <c r="R289" s="678"/>
      <c r="S289" s="661"/>
      <c r="T289" s="661"/>
      <c r="U289" s="661"/>
      <c r="V289" s="662">
        <f t="shared" si="14"/>
        <v>0</v>
      </c>
      <c r="W289" s="663"/>
      <c r="X289" s="664">
        <f t="shared" si="15"/>
        <v>0</v>
      </c>
      <c r="Y289" s="683"/>
      <c r="Z289" s="665"/>
      <c r="AA289" s="684"/>
      <c r="AB289" s="685"/>
      <c r="AC289" s="665"/>
      <c r="AD289" s="686"/>
    </row>
    <row r="290" spans="1:30" s="687" customFormat="1" ht="12.75" customHeight="1">
      <c r="A290" s="677"/>
      <c r="B290" s="677"/>
      <c r="C290" s="678"/>
      <c r="D290" s="678"/>
      <c r="E290" s="678"/>
      <c r="F290" s="678"/>
      <c r="G290" s="679"/>
      <c r="H290" s="679"/>
      <c r="I290" s="680"/>
      <c r="J290" s="681"/>
      <c r="K290" s="678"/>
      <c r="L290" s="665"/>
      <c r="M290" s="665"/>
      <c r="N290" s="688"/>
      <c r="O290" s="685"/>
      <c r="P290" s="685"/>
      <c r="Q290" s="678"/>
      <c r="R290" s="678"/>
      <c r="S290" s="661"/>
      <c r="T290" s="661"/>
      <c r="U290" s="661"/>
      <c r="V290" s="662">
        <f t="shared" si="14"/>
        <v>0</v>
      </c>
      <c r="W290" s="663"/>
      <c r="X290" s="664">
        <f t="shared" si="15"/>
        <v>0</v>
      </c>
      <c r="Y290" s="683"/>
      <c r="Z290" s="665"/>
      <c r="AA290" s="684"/>
      <c r="AB290" s="685"/>
      <c r="AC290" s="665"/>
      <c r="AD290" s="686"/>
    </row>
    <row r="291" spans="1:30" s="687" customFormat="1" ht="12.75" customHeight="1">
      <c r="A291" s="677"/>
      <c r="B291" s="677"/>
      <c r="C291" s="678"/>
      <c r="D291" s="678"/>
      <c r="E291" s="678"/>
      <c r="F291" s="678"/>
      <c r="G291" s="679"/>
      <c r="H291" s="679"/>
      <c r="I291" s="680"/>
      <c r="J291" s="681"/>
      <c r="K291" s="678"/>
      <c r="L291" s="665"/>
      <c r="M291" s="665"/>
      <c r="N291" s="688"/>
      <c r="O291" s="685"/>
      <c r="P291" s="685"/>
      <c r="Q291" s="678"/>
      <c r="R291" s="678"/>
      <c r="S291" s="661"/>
      <c r="T291" s="661"/>
      <c r="U291" s="661"/>
      <c r="V291" s="662">
        <f t="shared" si="14"/>
        <v>0</v>
      </c>
      <c r="W291" s="663"/>
      <c r="X291" s="664">
        <f t="shared" si="15"/>
        <v>0</v>
      </c>
      <c r="Y291" s="683"/>
      <c r="Z291" s="665"/>
      <c r="AA291" s="684"/>
      <c r="AB291" s="685"/>
      <c r="AC291" s="665"/>
      <c r="AD291" s="686"/>
    </row>
    <row r="292" spans="1:30" s="687" customFormat="1" ht="12.75" customHeight="1">
      <c r="A292" s="677"/>
      <c r="B292" s="677"/>
      <c r="C292" s="678"/>
      <c r="D292" s="678"/>
      <c r="E292" s="678"/>
      <c r="F292" s="678"/>
      <c r="G292" s="679"/>
      <c r="H292" s="679"/>
      <c r="I292" s="680"/>
      <c r="J292" s="681"/>
      <c r="K292" s="678"/>
      <c r="L292" s="665"/>
      <c r="M292" s="665"/>
      <c r="N292" s="688"/>
      <c r="O292" s="685"/>
      <c r="P292" s="685"/>
      <c r="Q292" s="678"/>
      <c r="R292" s="678"/>
      <c r="S292" s="661"/>
      <c r="T292" s="661"/>
      <c r="U292" s="661"/>
      <c r="V292" s="662">
        <f t="shared" si="14"/>
        <v>0</v>
      </c>
      <c r="W292" s="663"/>
      <c r="X292" s="664">
        <f t="shared" si="15"/>
        <v>0</v>
      </c>
      <c r="Y292" s="683"/>
      <c r="Z292" s="665"/>
      <c r="AA292" s="684"/>
      <c r="AB292" s="685"/>
      <c r="AC292" s="665"/>
      <c r="AD292" s="686"/>
    </row>
    <row r="293" spans="1:30" s="687" customFormat="1" ht="12.75" customHeight="1">
      <c r="A293" s="677"/>
      <c r="B293" s="677"/>
      <c r="C293" s="678"/>
      <c r="D293" s="678"/>
      <c r="E293" s="678"/>
      <c r="F293" s="678"/>
      <c r="G293" s="679"/>
      <c r="H293" s="679"/>
      <c r="I293" s="680"/>
      <c r="J293" s="681"/>
      <c r="K293" s="678"/>
      <c r="L293" s="665"/>
      <c r="M293" s="665"/>
      <c r="N293" s="688"/>
      <c r="O293" s="685"/>
      <c r="P293" s="685"/>
      <c r="Q293" s="678"/>
      <c r="R293" s="678"/>
      <c r="S293" s="661"/>
      <c r="T293" s="661"/>
      <c r="U293" s="661"/>
      <c r="V293" s="662">
        <f t="shared" si="14"/>
        <v>0</v>
      </c>
      <c r="W293" s="663"/>
      <c r="X293" s="664">
        <f t="shared" si="15"/>
        <v>0</v>
      </c>
      <c r="Y293" s="683"/>
      <c r="Z293" s="665"/>
      <c r="AA293" s="684"/>
      <c r="AB293" s="685"/>
      <c r="AC293" s="665"/>
      <c r="AD293" s="686"/>
    </row>
    <row r="294" spans="1:30" s="687" customFormat="1" ht="12.75" customHeight="1">
      <c r="A294" s="677"/>
      <c r="B294" s="677"/>
      <c r="C294" s="678"/>
      <c r="D294" s="678"/>
      <c r="E294" s="678"/>
      <c r="F294" s="678"/>
      <c r="G294" s="679"/>
      <c r="H294" s="679"/>
      <c r="I294" s="680"/>
      <c r="J294" s="681"/>
      <c r="K294" s="678"/>
      <c r="L294" s="665"/>
      <c r="M294" s="665"/>
      <c r="N294" s="688"/>
      <c r="O294" s="685"/>
      <c r="P294" s="685"/>
      <c r="Q294" s="678"/>
      <c r="R294" s="678"/>
      <c r="S294" s="661"/>
      <c r="T294" s="661"/>
      <c r="U294" s="661"/>
      <c r="V294" s="662">
        <f t="shared" si="14"/>
        <v>0</v>
      </c>
      <c r="W294" s="663"/>
      <c r="X294" s="664">
        <f t="shared" si="15"/>
        <v>0</v>
      </c>
      <c r="Y294" s="683"/>
      <c r="Z294" s="665"/>
      <c r="AA294" s="684"/>
      <c r="AB294" s="685"/>
      <c r="AC294" s="665"/>
      <c r="AD294" s="686"/>
    </row>
    <row r="295" spans="1:30" s="687" customFormat="1" ht="12.75" customHeight="1">
      <c r="A295" s="677"/>
      <c r="B295" s="677"/>
      <c r="C295" s="678"/>
      <c r="D295" s="678"/>
      <c r="E295" s="678"/>
      <c r="F295" s="678"/>
      <c r="G295" s="679"/>
      <c r="H295" s="679"/>
      <c r="I295" s="680"/>
      <c r="J295" s="681"/>
      <c r="K295" s="678"/>
      <c r="L295" s="665"/>
      <c r="M295" s="665"/>
      <c r="N295" s="688"/>
      <c r="O295" s="685"/>
      <c r="P295" s="685"/>
      <c r="Q295" s="678"/>
      <c r="R295" s="678"/>
      <c r="S295" s="661"/>
      <c r="T295" s="661"/>
      <c r="U295" s="661"/>
      <c r="V295" s="662">
        <f t="shared" si="14"/>
        <v>0</v>
      </c>
      <c r="W295" s="663"/>
      <c r="X295" s="664">
        <f t="shared" si="15"/>
        <v>0</v>
      </c>
      <c r="Y295" s="683"/>
      <c r="Z295" s="665"/>
      <c r="AA295" s="684"/>
      <c r="AB295" s="685"/>
      <c r="AC295" s="665"/>
      <c r="AD295" s="686"/>
    </row>
    <row r="296" spans="1:30" s="687" customFormat="1" ht="12.75" customHeight="1">
      <c r="A296" s="677"/>
      <c r="B296" s="677"/>
      <c r="C296" s="678"/>
      <c r="D296" s="678"/>
      <c r="E296" s="678"/>
      <c r="F296" s="678"/>
      <c r="G296" s="679"/>
      <c r="H296" s="679"/>
      <c r="I296" s="680"/>
      <c r="J296" s="681"/>
      <c r="K296" s="678"/>
      <c r="L296" s="665"/>
      <c r="M296" s="665"/>
      <c r="N296" s="688"/>
      <c r="O296" s="685"/>
      <c r="P296" s="685"/>
      <c r="Q296" s="678"/>
      <c r="R296" s="678"/>
      <c r="S296" s="661"/>
      <c r="T296" s="661"/>
      <c r="U296" s="661"/>
      <c r="V296" s="662">
        <f t="shared" si="14"/>
        <v>0</v>
      </c>
      <c r="W296" s="663"/>
      <c r="X296" s="664">
        <f t="shared" si="15"/>
        <v>0</v>
      </c>
      <c r="Y296" s="683"/>
      <c r="Z296" s="665"/>
      <c r="AA296" s="684"/>
      <c r="AB296" s="685"/>
      <c r="AC296" s="665"/>
      <c r="AD296" s="686"/>
    </row>
    <row r="297" spans="1:30" s="687" customFormat="1" ht="12.75" customHeight="1">
      <c r="A297" s="677"/>
      <c r="B297" s="677"/>
      <c r="C297" s="678"/>
      <c r="D297" s="678"/>
      <c r="E297" s="678"/>
      <c r="F297" s="678"/>
      <c r="G297" s="679"/>
      <c r="H297" s="679"/>
      <c r="I297" s="680"/>
      <c r="J297" s="681"/>
      <c r="K297" s="678"/>
      <c r="L297" s="665"/>
      <c r="M297" s="665"/>
      <c r="N297" s="688"/>
      <c r="O297" s="685"/>
      <c r="P297" s="685"/>
      <c r="Q297" s="678"/>
      <c r="R297" s="678"/>
      <c r="S297" s="661"/>
      <c r="T297" s="661"/>
      <c r="U297" s="661"/>
      <c r="V297" s="662">
        <f t="shared" si="14"/>
        <v>0</v>
      </c>
      <c r="W297" s="663"/>
      <c r="X297" s="664">
        <f t="shared" si="15"/>
        <v>0</v>
      </c>
      <c r="Y297" s="683"/>
      <c r="Z297" s="665"/>
      <c r="AA297" s="684"/>
      <c r="AB297" s="685"/>
      <c r="AC297" s="665"/>
      <c r="AD297" s="686"/>
    </row>
    <row r="298" spans="1:30" s="687" customFormat="1" ht="12.75" customHeight="1">
      <c r="A298" s="677"/>
      <c r="B298" s="677"/>
      <c r="C298" s="678"/>
      <c r="D298" s="678"/>
      <c r="E298" s="678"/>
      <c r="F298" s="678"/>
      <c r="G298" s="679"/>
      <c r="H298" s="679"/>
      <c r="I298" s="680"/>
      <c r="J298" s="681"/>
      <c r="K298" s="678"/>
      <c r="L298" s="665"/>
      <c r="M298" s="665"/>
      <c r="N298" s="688"/>
      <c r="O298" s="685"/>
      <c r="P298" s="685"/>
      <c r="Q298" s="678"/>
      <c r="R298" s="678"/>
      <c r="S298" s="661"/>
      <c r="T298" s="661"/>
      <c r="U298" s="661"/>
      <c r="V298" s="662">
        <f t="shared" si="14"/>
        <v>0</v>
      </c>
      <c r="W298" s="663"/>
      <c r="X298" s="664">
        <f t="shared" si="15"/>
        <v>0</v>
      </c>
      <c r="Y298" s="683"/>
      <c r="Z298" s="665"/>
      <c r="AA298" s="684"/>
      <c r="AB298" s="685"/>
      <c r="AC298" s="665"/>
      <c r="AD298" s="686"/>
    </row>
    <row r="299" spans="1:30" s="687" customFormat="1" ht="12.75" customHeight="1">
      <c r="A299" s="677"/>
      <c r="B299" s="677"/>
      <c r="C299" s="678"/>
      <c r="D299" s="678"/>
      <c r="E299" s="678"/>
      <c r="F299" s="678"/>
      <c r="G299" s="679"/>
      <c r="H299" s="679"/>
      <c r="I299" s="680"/>
      <c r="J299" s="681"/>
      <c r="K299" s="678"/>
      <c r="L299" s="665"/>
      <c r="M299" s="665"/>
      <c r="N299" s="688"/>
      <c r="O299" s="685"/>
      <c r="P299" s="685"/>
      <c r="Q299" s="678"/>
      <c r="R299" s="678"/>
      <c r="S299" s="661"/>
      <c r="T299" s="661"/>
      <c r="U299" s="661"/>
      <c r="V299" s="662">
        <f t="shared" si="14"/>
        <v>0</v>
      </c>
      <c r="W299" s="663"/>
      <c r="X299" s="664">
        <f t="shared" si="15"/>
        <v>0</v>
      </c>
      <c r="Y299" s="683"/>
      <c r="Z299" s="665"/>
      <c r="AA299" s="684"/>
      <c r="AB299" s="685"/>
      <c r="AC299" s="665"/>
      <c r="AD299" s="686"/>
    </row>
    <row r="300" spans="1:30" s="687" customFormat="1" ht="12.75" customHeight="1">
      <c r="A300" s="677"/>
      <c r="B300" s="677"/>
      <c r="C300" s="678"/>
      <c r="D300" s="678"/>
      <c r="E300" s="678"/>
      <c r="F300" s="678"/>
      <c r="G300" s="679"/>
      <c r="H300" s="679"/>
      <c r="I300" s="680"/>
      <c r="J300" s="681"/>
      <c r="K300" s="678"/>
      <c r="L300" s="665"/>
      <c r="M300" s="665"/>
      <c r="N300" s="688"/>
      <c r="O300" s="685"/>
      <c r="P300" s="685"/>
      <c r="Q300" s="678"/>
      <c r="R300" s="678"/>
      <c r="S300" s="661"/>
      <c r="T300" s="661"/>
      <c r="U300" s="661"/>
      <c r="V300" s="662">
        <f t="shared" si="14"/>
        <v>0</v>
      </c>
      <c r="W300" s="663"/>
      <c r="X300" s="664">
        <f t="shared" si="15"/>
        <v>0</v>
      </c>
      <c r="Y300" s="683"/>
      <c r="Z300" s="665"/>
      <c r="AA300" s="684"/>
      <c r="AB300" s="685"/>
      <c r="AC300" s="665"/>
      <c r="AD300" s="686"/>
    </row>
    <row r="301" spans="1:30" s="687" customFormat="1" ht="12.75" customHeight="1">
      <c r="A301" s="677"/>
      <c r="B301" s="677"/>
      <c r="C301" s="678"/>
      <c r="D301" s="678"/>
      <c r="E301" s="678"/>
      <c r="F301" s="678"/>
      <c r="G301" s="679"/>
      <c r="H301" s="679"/>
      <c r="I301" s="680"/>
      <c r="J301" s="681"/>
      <c r="K301" s="678"/>
      <c r="L301" s="665"/>
      <c r="M301" s="665"/>
      <c r="N301" s="688"/>
      <c r="O301" s="685"/>
      <c r="P301" s="685"/>
      <c r="Q301" s="678"/>
      <c r="R301" s="678"/>
      <c r="S301" s="661"/>
      <c r="T301" s="661"/>
      <c r="U301" s="661"/>
      <c r="V301" s="662">
        <f t="shared" si="14"/>
        <v>0</v>
      </c>
      <c r="W301" s="663"/>
      <c r="X301" s="664">
        <f t="shared" si="15"/>
        <v>0</v>
      </c>
      <c r="Y301" s="683"/>
      <c r="Z301" s="665"/>
      <c r="AA301" s="684"/>
      <c r="AB301" s="685"/>
      <c r="AC301" s="665"/>
      <c r="AD301" s="686"/>
    </row>
    <row r="302" spans="1:30" s="687" customFormat="1" ht="12.75" customHeight="1">
      <c r="A302" s="677"/>
      <c r="B302" s="677"/>
      <c r="C302" s="678"/>
      <c r="D302" s="678"/>
      <c r="E302" s="678"/>
      <c r="F302" s="678"/>
      <c r="G302" s="679"/>
      <c r="H302" s="679"/>
      <c r="I302" s="680"/>
      <c r="J302" s="681"/>
      <c r="K302" s="678"/>
      <c r="L302" s="665"/>
      <c r="M302" s="665"/>
      <c r="N302" s="688"/>
      <c r="O302" s="685"/>
      <c r="P302" s="685"/>
      <c r="Q302" s="678"/>
      <c r="R302" s="678"/>
      <c r="S302" s="661"/>
      <c r="T302" s="661"/>
      <c r="U302" s="661"/>
      <c r="V302" s="662">
        <f t="shared" si="14"/>
        <v>0</v>
      </c>
      <c r="W302" s="663"/>
      <c r="X302" s="664">
        <f t="shared" si="15"/>
        <v>0</v>
      </c>
      <c r="Y302" s="683"/>
      <c r="Z302" s="665"/>
      <c r="AA302" s="684"/>
      <c r="AB302" s="685"/>
      <c r="AC302" s="665"/>
      <c r="AD302" s="686"/>
    </row>
    <row r="303" spans="1:30" s="687" customFormat="1" ht="12.75" customHeight="1">
      <c r="A303" s="677"/>
      <c r="B303" s="677"/>
      <c r="C303" s="678"/>
      <c r="D303" s="678"/>
      <c r="E303" s="678"/>
      <c r="F303" s="678"/>
      <c r="G303" s="679"/>
      <c r="H303" s="679"/>
      <c r="I303" s="680"/>
      <c r="J303" s="681"/>
      <c r="K303" s="678"/>
      <c r="L303" s="665"/>
      <c r="M303" s="665"/>
      <c r="N303" s="688"/>
      <c r="O303" s="685"/>
      <c r="P303" s="685"/>
      <c r="Q303" s="678"/>
      <c r="R303" s="678"/>
      <c r="S303" s="661"/>
      <c r="T303" s="661"/>
      <c r="U303" s="661"/>
      <c r="V303" s="662">
        <f t="shared" si="14"/>
        <v>0</v>
      </c>
      <c r="W303" s="663"/>
      <c r="X303" s="664">
        <f t="shared" si="15"/>
        <v>0</v>
      </c>
      <c r="Y303" s="683"/>
      <c r="Z303" s="665"/>
      <c r="AA303" s="684"/>
      <c r="AB303" s="685"/>
      <c r="AC303" s="665"/>
      <c r="AD303" s="686"/>
    </row>
    <row r="304" spans="1:30" s="687" customFormat="1" ht="12.75" customHeight="1">
      <c r="A304" s="677"/>
      <c r="B304" s="677"/>
      <c r="C304" s="678"/>
      <c r="D304" s="678"/>
      <c r="E304" s="678"/>
      <c r="F304" s="678"/>
      <c r="G304" s="679"/>
      <c r="H304" s="679"/>
      <c r="I304" s="680"/>
      <c r="J304" s="681"/>
      <c r="K304" s="678"/>
      <c r="L304" s="665"/>
      <c r="M304" s="665"/>
      <c r="N304" s="688"/>
      <c r="O304" s="685"/>
      <c r="P304" s="685"/>
      <c r="Q304" s="678"/>
      <c r="R304" s="678"/>
      <c r="S304" s="661"/>
      <c r="T304" s="661"/>
      <c r="U304" s="661"/>
      <c r="V304" s="662">
        <f t="shared" si="14"/>
        <v>0</v>
      </c>
      <c r="W304" s="663"/>
      <c r="X304" s="664">
        <f t="shared" si="15"/>
        <v>0</v>
      </c>
      <c r="Y304" s="683"/>
      <c r="Z304" s="665"/>
      <c r="AA304" s="684"/>
      <c r="AB304" s="685"/>
      <c r="AC304" s="665"/>
      <c r="AD304" s="686"/>
    </row>
    <row r="305" spans="1:30" s="687" customFormat="1" ht="12.75" customHeight="1">
      <c r="A305" s="677"/>
      <c r="B305" s="677"/>
      <c r="C305" s="678"/>
      <c r="D305" s="678"/>
      <c r="E305" s="678"/>
      <c r="F305" s="678"/>
      <c r="G305" s="679"/>
      <c r="H305" s="679"/>
      <c r="I305" s="680"/>
      <c r="J305" s="681"/>
      <c r="K305" s="678"/>
      <c r="L305" s="665"/>
      <c r="M305" s="665"/>
      <c r="N305" s="688"/>
      <c r="O305" s="685"/>
      <c r="P305" s="685"/>
      <c r="Q305" s="678"/>
      <c r="R305" s="678"/>
      <c r="S305" s="661"/>
      <c r="T305" s="661"/>
      <c r="U305" s="661"/>
      <c r="V305" s="662">
        <f t="shared" si="14"/>
        <v>0</v>
      </c>
      <c r="W305" s="663"/>
      <c r="X305" s="664">
        <f t="shared" si="15"/>
        <v>0</v>
      </c>
      <c r="Y305" s="683"/>
      <c r="Z305" s="665"/>
      <c r="AA305" s="684"/>
      <c r="AB305" s="685"/>
      <c r="AC305" s="665"/>
      <c r="AD305" s="686"/>
    </row>
    <row r="306" spans="1:30" s="687" customFormat="1" ht="12.75" customHeight="1">
      <c r="A306" s="677"/>
      <c r="B306" s="677"/>
      <c r="C306" s="678"/>
      <c r="D306" s="678"/>
      <c r="E306" s="678"/>
      <c r="F306" s="678"/>
      <c r="G306" s="679"/>
      <c r="H306" s="679"/>
      <c r="I306" s="680"/>
      <c r="J306" s="681"/>
      <c r="K306" s="678"/>
      <c r="L306" s="665"/>
      <c r="M306" s="665"/>
      <c r="N306" s="688"/>
      <c r="O306" s="685"/>
      <c r="P306" s="685"/>
      <c r="Q306" s="678"/>
      <c r="R306" s="678"/>
      <c r="S306" s="661"/>
      <c r="T306" s="661"/>
      <c r="U306" s="661"/>
      <c r="V306" s="662">
        <f t="shared" si="14"/>
        <v>0</v>
      </c>
      <c r="W306" s="663"/>
      <c r="X306" s="664">
        <f t="shared" si="15"/>
        <v>0</v>
      </c>
      <c r="Y306" s="683"/>
      <c r="Z306" s="665"/>
      <c r="AA306" s="684"/>
      <c r="AB306" s="685"/>
      <c r="AC306" s="665"/>
      <c r="AD306" s="686"/>
    </row>
    <row r="307" spans="1:30" s="687" customFormat="1" ht="12.75" customHeight="1">
      <c r="A307" s="677"/>
      <c r="B307" s="677"/>
      <c r="C307" s="678"/>
      <c r="D307" s="678"/>
      <c r="E307" s="678"/>
      <c r="F307" s="678"/>
      <c r="G307" s="679"/>
      <c r="H307" s="679"/>
      <c r="I307" s="680"/>
      <c r="J307" s="681"/>
      <c r="K307" s="678"/>
      <c r="L307" s="665"/>
      <c r="M307" s="665"/>
      <c r="N307" s="688"/>
      <c r="O307" s="685"/>
      <c r="P307" s="685"/>
      <c r="Q307" s="678"/>
      <c r="R307" s="678"/>
      <c r="S307" s="661"/>
      <c r="T307" s="661"/>
      <c r="U307" s="661"/>
      <c r="V307" s="662">
        <f t="shared" si="14"/>
        <v>0</v>
      </c>
      <c r="W307" s="663"/>
      <c r="X307" s="664">
        <f t="shared" si="15"/>
        <v>0</v>
      </c>
      <c r="Y307" s="683"/>
      <c r="Z307" s="665"/>
      <c r="AA307" s="684"/>
      <c r="AB307" s="685"/>
      <c r="AC307" s="665"/>
      <c r="AD307" s="686"/>
    </row>
    <row r="308" spans="1:30" s="687" customFormat="1" ht="12.75" customHeight="1">
      <c r="A308" s="677"/>
      <c r="B308" s="677"/>
      <c r="C308" s="678"/>
      <c r="D308" s="678"/>
      <c r="E308" s="678"/>
      <c r="F308" s="678"/>
      <c r="G308" s="679"/>
      <c r="H308" s="679"/>
      <c r="I308" s="680"/>
      <c r="J308" s="681"/>
      <c r="K308" s="678"/>
      <c r="L308" s="665"/>
      <c r="M308" s="665"/>
      <c r="N308" s="688"/>
      <c r="O308" s="685"/>
      <c r="P308" s="685"/>
      <c r="Q308" s="678"/>
      <c r="R308" s="678"/>
      <c r="S308" s="661"/>
      <c r="T308" s="661"/>
      <c r="U308" s="661"/>
      <c r="V308" s="662">
        <f t="shared" si="14"/>
        <v>0</v>
      </c>
      <c r="W308" s="663"/>
      <c r="X308" s="664">
        <f t="shared" si="15"/>
        <v>0</v>
      </c>
      <c r="Y308" s="683"/>
      <c r="Z308" s="665"/>
      <c r="AA308" s="684"/>
      <c r="AB308" s="685"/>
      <c r="AC308" s="665"/>
      <c r="AD308" s="686"/>
    </row>
    <row r="309" spans="1:30" s="687" customFormat="1" ht="12.75" customHeight="1">
      <c r="A309" s="677"/>
      <c r="B309" s="677"/>
      <c r="C309" s="678"/>
      <c r="D309" s="678"/>
      <c r="E309" s="678"/>
      <c r="F309" s="678"/>
      <c r="G309" s="679"/>
      <c r="H309" s="679"/>
      <c r="I309" s="680"/>
      <c r="J309" s="681"/>
      <c r="K309" s="678"/>
      <c r="L309" s="665"/>
      <c r="M309" s="665"/>
      <c r="N309" s="688"/>
      <c r="O309" s="685"/>
      <c r="P309" s="685"/>
      <c r="Q309" s="678"/>
      <c r="R309" s="678"/>
      <c r="S309" s="661"/>
      <c r="T309" s="661"/>
      <c r="U309" s="661"/>
      <c r="V309" s="662">
        <f t="shared" si="14"/>
        <v>0</v>
      </c>
      <c r="W309" s="663"/>
      <c r="X309" s="664">
        <f t="shared" si="15"/>
        <v>0</v>
      </c>
      <c r="Y309" s="683"/>
      <c r="Z309" s="665"/>
      <c r="AA309" s="684"/>
      <c r="AB309" s="685"/>
      <c r="AC309" s="665"/>
      <c r="AD309" s="686"/>
    </row>
    <row r="310" spans="1:30" s="687" customFormat="1" ht="12.75" customHeight="1">
      <c r="A310" s="677"/>
      <c r="B310" s="677"/>
      <c r="C310" s="678"/>
      <c r="D310" s="678"/>
      <c r="E310" s="678"/>
      <c r="F310" s="678"/>
      <c r="G310" s="679"/>
      <c r="H310" s="679"/>
      <c r="I310" s="680"/>
      <c r="J310" s="681"/>
      <c r="K310" s="678"/>
      <c r="L310" s="665"/>
      <c r="M310" s="665"/>
      <c r="N310" s="688"/>
      <c r="O310" s="685"/>
      <c r="P310" s="685"/>
      <c r="Q310" s="678"/>
      <c r="R310" s="678"/>
      <c r="S310" s="661"/>
      <c r="T310" s="661"/>
      <c r="U310" s="661"/>
      <c r="V310" s="662">
        <f t="shared" si="14"/>
        <v>0</v>
      </c>
      <c r="W310" s="663"/>
      <c r="X310" s="664">
        <f t="shared" si="15"/>
        <v>0</v>
      </c>
      <c r="Y310" s="683"/>
      <c r="Z310" s="665"/>
      <c r="AA310" s="684"/>
      <c r="AB310" s="685"/>
      <c r="AC310" s="665"/>
      <c r="AD310" s="686"/>
    </row>
    <row r="311" spans="1:30" s="687" customFormat="1" ht="12.75" customHeight="1">
      <c r="A311" s="677"/>
      <c r="B311" s="677"/>
      <c r="C311" s="678"/>
      <c r="D311" s="678"/>
      <c r="E311" s="678"/>
      <c r="F311" s="678"/>
      <c r="G311" s="679"/>
      <c r="H311" s="679"/>
      <c r="I311" s="680"/>
      <c r="J311" s="681"/>
      <c r="K311" s="678"/>
      <c r="L311" s="665"/>
      <c r="M311" s="665"/>
      <c r="N311" s="688"/>
      <c r="O311" s="685"/>
      <c r="P311" s="685"/>
      <c r="Q311" s="678"/>
      <c r="R311" s="678"/>
      <c r="S311" s="661"/>
      <c r="T311" s="661"/>
      <c r="U311" s="661"/>
      <c r="V311" s="662">
        <f t="shared" si="14"/>
        <v>0</v>
      </c>
      <c r="W311" s="663"/>
      <c r="X311" s="664">
        <f t="shared" si="15"/>
        <v>0</v>
      </c>
      <c r="Y311" s="683"/>
      <c r="Z311" s="665"/>
      <c r="AA311" s="684"/>
      <c r="AB311" s="685"/>
      <c r="AC311" s="665"/>
      <c r="AD311" s="686"/>
    </row>
    <row r="312" spans="1:30" s="687" customFormat="1" ht="12.75" customHeight="1">
      <c r="A312" s="677"/>
      <c r="B312" s="677"/>
      <c r="C312" s="678"/>
      <c r="D312" s="678"/>
      <c r="E312" s="678"/>
      <c r="F312" s="678"/>
      <c r="G312" s="679"/>
      <c r="H312" s="679"/>
      <c r="I312" s="680"/>
      <c r="J312" s="681"/>
      <c r="K312" s="678"/>
      <c r="L312" s="665"/>
      <c r="M312" s="665"/>
      <c r="N312" s="688"/>
      <c r="O312" s="685"/>
      <c r="P312" s="685"/>
      <c r="Q312" s="678"/>
      <c r="R312" s="678"/>
      <c r="S312" s="661"/>
      <c r="T312" s="661"/>
      <c r="U312" s="661"/>
      <c r="V312" s="662">
        <f t="shared" si="14"/>
        <v>0</v>
      </c>
      <c r="W312" s="663"/>
      <c r="X312" s="664">
        <f t="shared" si="15"/>
        <v>0</v>
      </c>
      <c r="Y312" s="683"/>
      <c r="Z312" s="665"/>
      <c r="AA312" s="684"/>
      <c r="AB312" s="685"/>
      <c r="AC312" s="665"/>
      <c r="AD312" s="686"/>
    </row>
    <row r="313" spans="1:30" s="687" customFormat="1" ht="12.75" customHeight="1">
      <c r="A313" s="677"/>
      <c r="B313" s="677"/>
      <c r="C313" s="678"/>
      <c r="D313" s="678"/>
      <c r="E313" s="678"/>
      <c r="F313" s="678"/>
      <c r="G313" s="679"/>
      <c r="H313" s="679"/>
      <c r="I313" s="680"/>
      <c r="J313" s="681"/>
      <c r="K313" s="678"/>
      <c r="L313" s="665"/>
      <c r="M313" s="665"/>
      <c r="N313" s="688"/>
      <c r="O313" s="685"/>
      <c r="P313" s="685"/>
      <c r="Q313" s="678"/>
      <c r="R313" s="678"/>
      <c r="S313" s="661"/>
      <c r="T313" s="661"/>
      <c r="U313" s="661"/>
      <c r="V313" s="662">
        <f t="shared" si="14"/>
        <v>0</v>
      </c>
      <c r="W313" s="663"/>
      <c r="X313" s="664">
        <f t="shared" si="15"/>
        <v>0</v>
      </c>
      <c r="Y313" s="683"/>
      <c r="Z313" s="665"/>
      <c r="AA313" s="684"/>
      <c r="AB313" s="685"/>
      <c r="AC313" s="665"/>
      <c r="AD313" s="686"/>
    </row>
    <row r="314" spans="1:30" s="687" customFormat="1" ht="12.75" customHeight="1">
      <c r="A314" s="677"/>
      <c r="B314" s="677"/>
      <c r="C314" s="678"/>
      <c r="D314" s="678"/>
      <c r="E314" s="678"/>
      <c r="F314" s="678"/>
      <c r="G314" s="679"/>
      <c r="H314" s="679"/>
      <c r="I314" s="680"/>
      <c r="J314" s="681"/>
      <c r="K314" s="678"/>
      <c r="L314" s="665"/>
      <c r="M314" s="665"/>
      <c r="N314" s="688"/>
      <c r="O314" s="685"/>
      <c r="P314" s="685"/>
      <c r="Q314" s="678"/>
      <c r="R314" s="678"/>
      <c r="S314" s="661"/>
      <c r="T314" s="661"/>
      <c r="U314" s="661"/>
      <c r="V314" s="662">
        <f t="shared" si="14"/>
        <v>0</v>
      </c>
      <c r="W314" s="663"/>
      <c r="X314" s="664">
        <f t="shared" si="15"/>
        <v>0</v>
      </c>
      <c r="Y314" s="683"/>
      <c r="Z314" s="665"/>
      <c r="AA314" s="684"/>
      <c r="AB314" s="685"/>
      <c r="AC314" s="665"/>
      <c r="AD314" s="686"/>
    </row>
    <row r="315" spans="1:30" s="687" customFormat="1" ht="12.75" customHeight="1">
      <c r="A315" s="677"/>
      <c r="B315" s="677"/>
      <c r="C315" s="678"/>
      <c r="D315" s="678"/>
      <c r="E315" s="678"/>
      <c r="F315" s="678"/>
      <c r="G315" s="679"/>
      <c r="H315" s="679"/>
      <c r="I315" s="680"/>
      <c r="J315" s="681"/>
      <c r="K315" s="678"/>
      <c r="L315" s="665"/>
      <c r="M315" s="665"/>
      <c r="N315" s="688"/>
      <c r="O315" s="685"/>
      <c r="P315" s="685"/>
      <c r="Q315" s="678"/>
      <c r="R315" s="678"/>
      <c r="S315" s="661"/>
      <c r="T315" s="661"/>
      <c r="U315" s="661"/>
      <c r="V315" s="662">
        <f t="shared" ref="V315:V378" si="16">SUM(S315:U315)</f>
        <v>0</v>
      </c>
      <c r="W315" s="663"/>
      <c r="X315" s="664">
        <f t="shared" si="15"/>
        <v>0</v>
      </c>
      <c r="Y315" s="683"/>
      <c r="Z315" s="665"/>
      <c r="AA315" s="684"/>
      <c r="AB315" s="685"/>
      <c r="AC315" s="665"/>
      <c r="AD315" s="686"/>
    </row>
    <row r="316" spans="1:30" s="687" customFormat="1" ht="12.75" customHeight="1">
      <c r="A316" s="677"/>
      <c r="B316" s="677"/>
      <c r="C316" s="678"/>
      <c r="D316" s="678"/>
      <c r="E316" s="678"/>
      <c r="F316" s="678"/>
      <c r="G316" s="679"/>
      <c r="H316" s="679"/>
      <c r="I316" s="680"/>
      <c r="J316" s="681"/>
      <c r="K316" s="678"/>
      <c r="L316" s="665"/>
      <c r="M316" s="665"/>
      <c r="N316" s="688"/>
      <c r="O316" s="685"/>
      <c r="P316" s="685"/>
      <c r="Q316" s="678"/>
      <c r="R316" s="678"/>
      <c r="S316" s="661"/>
      <c r="T316" s="661"/>
      <c r="U316" s="661"/>
      <c r="V316" s="662">
        <f t="shared" si="16"/>
        <v>0</v>
      </c>
      <c r="W316" s="663"/>
      <c r="X316" s="664">
        <f t="shared" ref="X316:X379" si="17">V316*W316</f>
        <v>0</v>
      </c>
      <c r="Y316" s="683"/>
      <c r="Z316" s="665"/>
      <c r="AA316" s="684"/>
      <c r="AB316" s="685"/>
      <c r="AC316" s="665"/>
      <c r="AD316" s="686"/>
    </row>
    <row r="317" spans="1:30" s="687" customFormat="1" ht="12.75" customHeight="1">
      <c r="A317" s="677"/>
      <c r="B317" s="677"/>
      <c r="C317" s="678"/>
      <c r="D317" s="678"/>
      <c r="E317" s="678"/>
      <c r="F317" s="678"/>
      <c r="G317" s="679"/>
      <c r="H317" s="679"/>
      <c r="I317" s="680"/>
      <c r="J317" s="681"/>
      <c r="K317" s="678"/>
      <c r="L317" s="665"/>
      <c r="M317" s="665"/>
      <c r="N317" s="688"/>
      <c r="O317" s="685"/>
      <c r="P317" s="685"/>
      <c r="Q317" s="678"/>
      <c r="R317" s="678"/>
      <c r="S317" s="661"/>
      <c r="T317" s="661"/>
      <c r="U317" s="661"/>
      <c r="V317" s="662">
        <f t="shared" si="16"/>
        <v>0</v>
      </c>
      <c r="W317" s="663"/>
      <c r="X317" s="664">
        <f t="shared" si="17"/>
        <v>0</v>
      </c>
      <c r="Y317" s="683"/>
      <c r="Z317" s="665"/>
      <c r="AA317" s="684"/>
      <c r="AB317" s="685"/>
      <c r="AC317" s="665"/>
      <c r="AD317" s="686"/>
    </row>
    <row r="318" spans="1:30" s="687" customFormat="1" ht="12.75" customHeight="1">
      <c r="A318" s="677"/>
      <c r="B318" s="677"/>
      <c r="C318" s="678"/>
      <c r="D318" s="678"/>
      <c r="E318" s="678"/>
      <c r="F318" s="678"/>
      <c r="G318" s="679"/>
      <c r="H318" s="679"/>
      <c r="I318" s="680"/>
      <c r="J318" s="681"/>
      <c r="K318" s="678"/>
      <c r="L318" s="665"/>
      <c r="M318" s="665"/>
      <c r="N318" s="688"/>
      <c r="O318" s="685"/>
      <c r="P318" s="685"/>
      <c r="Q318" s="678"/>
      <c r="R318" s="678"/>
      <c r="S318" s="661"/>
      <c r="T318" s="661"/>
      <c r="U318" s="661"/>
      <c r="V318" s="662">
        <f t="shared" si="16"/>
        <v>0</v>
      </c>
      <c r="W318" s="663"/>
      <c r="X318" s="664">
        <f t="shared" si="17"/>
        <v>0</v>
      </c>
      <c r="Y318" s="683"/>
      <c r="Z318" s="665"/>
      <c r="AA318" s="684"/>
      <c r="AB318" s="685"/>
      <c r="AC318" s="665"/>
      <c r="AD318" s="686"/>
    </row>
    <row r="319" spans="1:30" s="687" customFormat="1" ht="12.75" customHeight="1">
      <c r="A319" s="677"/>
      <c r="B319" s="677"/>
      <c r="C319" s="678"/>
      <c r="D319" s="678"/>
      <c r="E319" s="678"/>
      <c r="F319" s="678"/>
      <c r="G319" s="679"/>
      <c r="H319" s="679"/>
      <c r="I319" s="680"/>
      <c r="J319" s="681"/>
      <c r="K319" s="678"/>
      <c r="L319" s="665"/>
      <c r="M319" s="665"/>
      <c r="N319" s="688"/>
      <c r="O319" s="685"/>
      <c r="P319" s="685"/>
      <c r="Q319" s="678"/>
      <c r="R319" s="678"/>
      <c r="S319" s="661"/>
      <c r="T319" s="661"/>
      <c r="U319" s="661"/>
      <c r="V319" s="662">
        <f t="shared" si="16"/>
        <v>0</v>
      </c>
      <c r="W319" s="663"/>
      <c r="X319" s="664">
        <f t="shared" si="17"/>
        <v>0</v>
      </c>
      <c r="Y319" s="683"/>
      <c r="Z319" s="665"/>
      <c r="AA319" s="684"/>
      <c r="AB319" s="685"/>
      <c r="AC319" s="665"/>
      <c r="AD319" s="686"/>
    </row>
    <row r="320" spans="1:30" s="687" customFormat="1" ht="12.75" customHeight="1">
      <c r="A320" s="677"/>
      <c r="B320" s="677"/>
      <c r="C320" s="678"/>
      <c r="D320" s="678"/>
      <c r="E320" s="678"/>
      <c r="F320" s="678"/>
      <c r="G320" s="679"/>
      <c r="H320" s="679"/>
      <c r="I320" s="680"/>
      <c r="J320" s="681"/>
      <c r="K320" s="678"/>
      <c r="L320" s="665"/>
      <c r="M320" s="665"/>
      <c r="N320" s="688"/>
      <c r="O320" s="685"/>
      <c r="P320" s="685"/>
      <c r="Q320" s="678"/>
      <c r="R320" s="678"/>
      <c r="S320" s="661"/>
      <c r="T320" s="661"/>
      <c r="U320" s="661"/>
      <c r="V320" s="662">
        <f t="shared" si="16"/>
        <v>0</v>
      </c>
      <c r="W320" s="663"/>
      <c r="X320" s="664">
        <f t="shared" si="17"/>
        <v>0</v>
      </c>
      <c r="Y320" s="683"/>
      <c r="Z320" s="665"/>
      <c r="AA320" s="684"/>
      <c r="AB320" s="685"/>
      <c r="AC320" s="665"/>
      <c r="AD320" s="686"/>
    </row>
    <row r="321" spans="1:30" s="687" customFormat="1" ht="12.75" customHeight="1">
      <c r="A321" s="677"/>
      <c r="B321" s="677"/>
      <c r="C321" s="678"/>
      <c r="D321" s="678"/>
      <c r="E321" s="678"/>
      <c r="F321" s="678"/>
      <c r="G321" s="679"/>
      <c r="H321" s="679"/>
      <c r="I321" s="680"/>
      <c r="J321" s="681"/>
      <c r="K321" s="678"/>
      <c r="L321" s="665"/>
      <c r="M321" s="665"/>
      <c r="N321" s="688"/>
      <c r="O321" s="685"/>
      <c r="P321" s="685"/>
      <c r="Q321" s="678"/>
      <c r="R321" s="678"/>
      <c r="S321" s="661"/>
      <c r="T321" s="661"/>
      <c r="U321" s="661"/>
      <c r="V321" s="662">
        <f t="shared" si="16"/>
        <v>0</v>
      </c>
      <c r="W321" s="663"/>
      <c r="X321" s="664">
        <f t="shared" si="17"/>
        <v>0</v>
      </c>
      <c r="Y321" s="683"/>
      <c r="Z321" s="665"/>
      <c r="AA321" s="684"/>
      <c r="AB321" s="685"/>
      <c r="AC321" s="665"/>
      <c r="AD321" s="686"/>
    </row>
    <row r="322" spans="1:30" s="687" customFormat="1" ht="12.75" customHeight="1">
      <c r="A322" s="677"/>
      <c r="B322" s="677"/>
      <c r="C322" s="678"/>
      <c r="D322" s="678"/>
      <c r="E322" s="678"/>
      <c r="F322" s="678"/>
      <c r="G322" s="679"/>
      <c r="H322" s="679"/>
      <c r="I322" s="680"/>
      <c r="J322" s="681"/>
      <c r="K322" s="678"/>
      <c r="L322" s="665"/>
      <c r="M322" s="665"/>
      <c r="N322" s="688"/>
      <c r="O322" s="685"/>
      <c r="P322" s="685"/>
      <c r="Q322" s="678"/>
      <c r="R322" s="678"/>
      <c r="S322" s="661"/>
      <c r="T322" s="661"/>
      <c r="U322" s="661"/>
      <c r="V322" s="662">
        <f t="shared" si="16"/>
        <v>0</v>
      </c>
      <c r="W322" s="663"/>
      <c r="X322" s="664">
        <f t="shared" si="17"/>
        <v>0</v>
      </c>
      <c r="Y322" s="683"/>
      <c r="Z322" s="665"/>
      <c r="AA322" s="684"/>
      <c r="AB322" s="685"/>
      <c r="AC322" s="665"/>
      <c r="AD322" s="686"/>
    </row>
    <row r="323" spans="1:30" s="687" customFormat="1" ht="12.75" customHeight="1">
      <c r="A323" s="677"/>
      <c r="B323" s="677"/>
      <c r="C323" s="678"/>
      <c r="D323" s="678"/>
      <c r="E323" s="678"/>
      <c r="F323" s="678"/>
      <c r="G323" s="679"/>
      <c r="H323" s="679"/>
      <c r="I323" s="680"/>
      <c r="J323" s="681"/>
      <c r="K323" s="678"/>
      <c r="L323" s="665"/>
      <c r="M323" s="665"/>
      <c r="N323" s="688"/>
      <c r="O323" s="685"/>
      <c r="P323" s="685"/>
      <c r="Q323" s="678"/>
      <c r="R323" s="678"/>
      <c r="S323" s="661"/>
      <c r="T323" s="661"/>
      <c r="U323" s="661"/>
      <c r="V323" s="662">
        <f t="shared" si="16"/>
        <v>0</v>
      </c>
      <c r="W323" s="663"/>
      <c r="X323" s="664">
        <f t="shared" si="17"/>
        <v>0</v>
      </c>
      <c r="Y323" s="683"/>
      <c r="Z323" s="665"/>
      <c r="AA323" s="684"/>
      <c r="AB323" s="685"/>
      <c r="AC323" s="665"/>
      <c r="AD323" s="686"/>
    </row>
    <row r="324" spans="1:30" s="687" customFormat="1" ht="12.75" customHeight="1">
      <c r="A324" s="677"/>
      <c r="B324" s="677"/>
      <c r="C324" s="678"/>
      <c r="D324" s="678"/>
      <c r="E324" s="678"/>
      <c r="F324" s="678"/>
      <c r="G324" s="679"/>
      <c r="H324" s="679"/>
      <c r="I324" s="680"/>
      <c r="J324" s="681"/>
      <c r="K324" s="678"/>
      <c r="L324" s="665"/>
      <c r="M324" s="665"/>
      <c r="N324" s="688"/>
      <c r="O324" s="685"/>
      <c r="P324" s="685"/>
      <c r="Q324" s="678"/>
      <c r="R324" s="678"/>
      <c r="S324" s="661"/>
      <c r="T324" s="661"/>
      <c r="U324" s="661"/>
      <c r="V324" s="662">
        <f t="shared" si="16"/>
        <v>0</v>
      </c>
      <c r="W324" s="663"/>
      <c r="X324" s="664">
        <f t="shared" si="17"/>
        <v>0</v>
      </c>
      <c r="Y324" s="683"/>
      <c r="Z324" s="665"/>
      <c r="AA324" s="684"/>
      <c r="AB324" s="685"/>
      <c r="AC324" s="665"/>
      <c r="AD324" s="686"/>
    </row>
    <row r="325" spans="1:30" s="687" customFormat="1" ht="12.75" customHeight="1">
      <c r="A325" s="677"/>
      <c r="B325" s="677"/>
      <c r="C325" s="678"/>
      <c r="D325" s="678"/>
      <c r="E325" s="678"/>
      <c r="F325" s="678"/>
      <c r="G325" s="679"/>
      <c r="H325" s="679"/>
      <c r="I325" s="680"/>
      <c r="J325" s="681"/>
      <c r="K325" s="678"/>
      <c r="L325" s="665"/>
      <c r="M325" s="665"/>
      <c r="N325" s="688"/>
      <c r="O325" s="685"/>
      <c r="P325" s="685"/>
      <c r="Q325" s="678"/>
      <c r="R325" s="678"/>
      <c r="S325" s="661"/>
      <c r="T325" s="661"/>
      <c r="U325" s="661"/>
      <c r="V325" s="662">
        <f t="shared" si="16"/>
        <v>0</v>
      </c>
      <c r="W325" s="663"/>
      <c r="X325" s="664">
        <f t="shared" si="17"/>
        <v>0</v>
      </c>
      <c r="Y325" s="683"/>
      <c r="Z325" s="665"/>
      <c r="AA325" s="684"/>
      <c r="AB325" s="685"/>
      <c r="AC325" s="665"/>
      <c r="AD325" s="686"/>
    </row>
    <row r="326" spans="1:30" s="687" customFormat="1" ht="12.75" customHeight="1">
      <c r="A326" s="677"/>
      <c r="B326" s="677"/>
      <c r="C326" s="678"/>
      <c r="D326" s="678"/>
      <c r="E326" s="678"/>
      <c r="F326" s="678"/>
      <c r="G326" s="679"/>
      <c r="H326" s="679"/>
      <c r="I326" s="680"/>
      <c r="J326" s="681"/>
      <c r="K326" s="678"/>
      <c r="L326" s="665"/>
      <c r="M326" s="665"/>
      <c r="N326" s="688"/>
      <c r="O326" s="685"/>
      <c r="P326" s="685"/>
      <c r="Q326" s="678"/>
      <c r="R326" s="678"/>
      <c r="S326" s="661"/>
      <c r="T326" s="661"/>
      <c r="U326" s="661"/>
      <c r="V326" s="662">
        <f t="shared" si="16"/>
        <v>0</v>
      </c>
      <c r="W326" s="663"/>
      <c r="X326" s="664">
        <f t="shared" si="17"/>
        <v>0</v>
      </c>
      <c r="Y326" s="683"/>
      <c r="Z326" s="665"/>
      <c r="AA326" s="684"/>
      <c r="AB326" s="685"/>
      <c r="AC326" s="665"/>
      <c r="AD326" s="686"/>
    </row>
    <row r="327" spans="1:30" s="687" customFormat="1" ht="12.75" customHeight="1">
      <c r="A327" s="677"/>
      <c r="B327" s="677"/>
      <c r="C327" s="678"/>
      <c r="D327" s="678"/>
      <c r="E327" s="678"/>
      <c r="F327" s="678"/>
      <c r="G327" s="679"/>
      <c r="H327" s="679"/>
      <c r="I327" s="680"/>
      <c r="J327" s="681"/>
      <c r="K327" s="678"/>
      <c r="L327" s="665"/>
      <c r="M327" s="665"/>
      <c r="N327" s="688"/>
      <c r="O327" s="685"/>
      <c r="P327" s="685"/>
      <c r="Q327" s="678"/>
      <c r="R327" s="678"/>
      <c r="S327" s="661"/>
      <c r="T327" s="661"/>
      <c r="U327" s="661"/>
      <c r="V327" s="662">
        <f t="shared" si="16"/>
        <v>0</v>
      </c>
      <c r="W327" s="663"/>
      <c r="X327" s="664">
        <f t="shared" si="17"/>
        <v>0</v>
      </c>
      <c r="Y327" s="683"/>
      <c r="Z327" s="665"/>
      <c r="AA327" s="684"/>
      <c r="AB327" s="685"/>
      <c r="AC327" s="665"/>
      <c r="AD327" s="686"/>
    </row>
    <row r="328" spans="1:30" s="687" customFormat="1" ht="12.75" customHeight="1">
      <c r="A328" s="677"/>
      <c r="B328" s="677"/>
      <c r="C328" s="678"/>
      <c r="D328" s="678"/>
      <c r="E328" s="678"/>
      <c r="F328" s="678"/>
      <c r="G328" s="679"/>
      <c r="H328" s="679"/>
      <c r="I328" s="680"/>
      <c r="J328" s="681"/>
      <c r="K328" s="678"/>
      <c r="L328" s="665"/>
      <c r="M328" s="665"/>
      <c r="N328" s="688"/>
      <c r="O328" s="685"/>
      <c r="P328" s="685"/>
      <c r="Q328" s="678"/>
      <c r="R328" s="678"/>
      <c r="S328" s="661"/>
      <c r="T328" s="661"/>
      <c r="U328" s="661"/>
      <c r="V328" s="662">
        <f t="shared" si="16"/>
        <v>0</v>
      </c>
      <c r="W328" s="663"/>
      <c r="X328" s="664">
        <f t="shared" si="17"/>
        <v>0</v>
      </c>
      <c r="Y328" s="683"/>
      <c r="Z328" s="665"/>
      <c r="AA328" s="684"/>
      <c r="AB328" s="685"/>
      <c r="AC328" s="665"/>
      <c r="AD328" s="686"/>
    </row>
    <row r="329" spans="1:30" s="687" customFormat="1" ht="12.75" customHeight="1">
      <c r="A329" s="677"/>
      <c r="B329" s="677"/>
      <c r="C329" s="678"/>
      <c r="D329" s="678"/>
      <c r="E329" s="678"/>
      <c r="F329" s="678"/>
      <c r="G329" s="679"/>
      <c r="H329" s="679"/>
      <c r="I329" s="680"/>
      <c r="J329" s="681"/>
      <c r="K329" s="678"/>
      <c r="L329" s="665"/>
      <c r="M329" s="665"/>
      <c r="N329" s="688"/>
      <c r="O329" s="685"/>
      <c r="P329" s="685"/>
      <c r="Q329" s="678"/>
      <c r="R329" s="678"/>
      <c r="S329" s="661"/>
      <c r="T329" s="661"/>
      <c r="U329" s="661"/>
      <c r="V329" s="662">
        <f t="shared" si="16"/>
        <v>0</v>
      </c>
      <c r="W329" s="663"/>
      <c r="X329" s="664">
        <f t="shared" si="17"/>
        <v>0</v>
      </c>
      <c r="Y329" s="683"/>
      <c r="Z329" s="665"/>
      <c r="AA329" s="684"/>
      <c r="AB329" s="685"/>
      <c r="AC329" s="665"/>
      <c r="AD329" s="686"/>
    </row>
    <row r="330" spans="1:30" s="687" customFormat="1" ht="12.75" customHeight="1">
      <c r="A330" s="677"/>
      <c r="B330" s="677"/>
      <c r="C330" s="678"/>
      <c r="D330" s="678"/>
      <c r="E330" s="678"/>
      <c r="F330" s="678"/>
      <c r="G330" s="679"/>
      <c r="H330" s="679"/>
      <c r="I330" s="680"/>
      <c r="J330" s="681"/>
      <c r="K330" s="678"/>
      <c r="L330" s="665"/>
      <c r="M330" s="665"/>
      <c r="N330" s="688"/>
      <c r="O330" s="685"/>
      <c r="P330" s="685"/>
      <c r="Q330" s="678"/>
      <c r="R330" s="678"/>
      <c r="S330" s="661"/>
      <c r="T330" s="661"/>
      <c r="U330" s="661"/>
      <c r="V330" s="662">
        <f t="shared" si="16"/>
        <v>0</v>
      </c>
      <c r="W330" s="663"/>
      <c r="X330" s="664">
        <f t="shared" si="17"/>
        <v>0</v>
      </c>
      <c r="Y330" s="683"/>
      <c r="Z330" s="665"/>
      <c r="AA330" s="684"/>
      <c r="AB330" s="685"/>
      <c r="AC330" s="665"/>
      <c r="AD330" s="686"/>
    </row>
    <row r="331" spans="1:30" s="687" customFormat="1" ht="12.75" customHeight="1">
      <c r="A331" s="677"/>
      <c r="B331" s="677"/>
      <c r="C331" s="678"/>
      <c r="D331" s="678"/>
      <c r="E331" s="678"/>
      <c r="F331" s="678"/>
      <c r="G331" s="679"/>
      <c r="H331" s="679"/>
      <c r="I331" s="680"/>
      <c r="J331" s="681"/>
      <c r="K331" s="678"/>
      <c r="L331" s="665"/>
      <c r="M331" s="665"/>
      <c r="N331" s="688"/>
      <c r="O331" s="685"/>
      <c r="P331" s="685"/>
      <c r="Q331" s="678"/>
      <c r="R331" s="678"/>
      <c r="S331" s="661"/>
      <c r="T331" s="661"/>
      <c r="U331" s="661"/>
      <c r="V331" s="662">
        <f t="shared" si="16"/>
        <v>0</v>
      </c>
      <c r="W331" s="663"/>
      <c r="X331" s="664">
        <f t="shared" si="17"/>
        <v>0</v>
      </c>
      <c r="Y331" s="683"/>
      <c r="Z331" s="665"/>
      <c r="AA331" s="684"/>
      <c r="AB331" s="685"/>
      <c r="AC331" s="665"/>
      <c r="AD331" s="686"/>
    </row>
    <row r="332" spans="1:30" s="687" customFormat="1" ht="12.75" customHeight="1">
      <c r="A332" s="677"/>
      <c r="B332" s="677"/>
      <c r="C332" s="678"/>
      <c r="D332" s="678"/>
      <c r="E332" s="678"/>
      <c r="F332" s="678"/>
      <c r="G332" s="679"/>
      <c r="H332" s="679"/>
      <c r="I332" s="680"/>
      <c r="J332" s="681"/>
      <c r="K332" s="678"/>
      <c r="L332" s="665"/>
      <c r="M332" s="665"/>
      <c r="N332" s="688"/>
      <c r="O332" s="685"/>
      <c r="P332" s="685"/>
      <c r="Q332" s="678"/>
      <c r="R332" s="678"/>
      <c r="S332" s="661"/>
      <c r="T332" s="661"/>
      <c r="U332" s="661"/>
      <c r="V332" s="662">
        <f t="shared" si="16"/>
        <v>0</v>
      </c>
      <c r="W332" s="663"/>
      <c r="X332" s="664">
        <f t="shared" si="17"/>
        <v>0</v>
      </c>
      <c r="Y332" s="683"/>
      <c r="Z332" s="665"/>
      <c r="AA332" s="684"/>
      <c r="AB332" s="685"/>
      <c r="AC332" s="665"/>
      <c r="AD332" s="686"/>
    </row>
    <row r="333" spans="1:30" s="687" customFormat="1" ht="12.75" customHeight="1">
      <c r="A333" s="677"/>
      <c r="B333" s="677"/>
      <c r="C333" s="678"/>
      <c r="D333" s="678"/>
      <c r="E333" s="678"/>
      <c r="F333" s="678"/>
      <c r="G333" s="679"/>
      <c r="H333" s="679"/>
      <c r="I333" s="680"/>
      <c r="J333" s="681"/>
      <c r="K333" s="678"/>
      <c r="L333" s="665"/>
      <c r="M333" s="665"/>
      <c r="N333" s="688"/>
      <c r="O333" s="685"/>
      <c r="P333" s="685"/>
      <c r="Q333" s="678"/>
      <c r="R333" s="678"/>
      <c r="S333" s="661"/>
      <c r="T333" s="661"/>
      <c r="U333" s="661"/>
      <c r="V333" s="662">
        <f t="shared" si="16"/>
        <v>0</v>
      </c>
      <c r="W333" s="663"/>
      <c r="X333" s="664">
        <f t="shared" si="17"/>
        <v>0</v>
      </c>
      <c r="Y333" s="683"/>
      <c r="Z333" s="665"/>
      <c r="AA333" s="684"/>
      <c r="AB333" s="685"/>
      <c r="AC333" s="665"/>
      <c r="AD333" s="686"/>
    </row>
    <row r="334" spans="1:30" s="687" customFormat="1" ht="12.75" customHeight="1">
      <c r="A334" s="677"/>
      <c r="B334" s="677"/>
      <c r="C334" s="678"/>
      <c r="D334" s="678"/>
      <c r="E334" s="678"/>
      <c r="F334" s="678"/>
      <c r="G334" s="679"/>
      <c r="H334" s="679"/>
      <c r="I334" s="680"/>
      <c r="J334" s="681"/>
      <c r="K334" s="678"/>
      <c r="L334" s="665"/>
      <c r="M334" s="665"/>
      <c r="N334" s="688"/>
      <c r="O334" s="685"/>
      <c r="P334" s="685"/>
      <c r="Q334" s="678"/>
      <c r="R334" s="678"/>
      <c r="S334" s="661"/>
      <c r="T334" s="661"/>
      <c r="U334" s="661"/>
      <c r="V334" s="662">
        <f t="shared" si="16"/>
        <v>0</v>
      </c>
      <c r="W334" s="663"/>
      <c r="X334" s="664">
        <f t="shared" si="17"/>
        <v>0</v>
      </c>
      <c r="Y334" s="683"/>
      <c r="Z334" s="665"/>
      <c r="AA334" s="684"/>
      <c r="AB334" s="685"/>
      <c r="AC334" s="665"/>
      <c r="AD334" s="686"/>
    </row>
    <row r="335" spans="1:30" s="687" customFormat="1" ht="12.75" customHeight="1">
      <c r="A335" s="677"/>
      <c r="B335" s="677"/>
      <c r="C335" s="678"/>
      <c r="D335" s="678"/>
      <c r="E335" s="678"/>
      <c r="F335" s="678"/>
      <c r="G335" s="679"/>
      <c r="H335" s="679"/>
      <c r="I335" s="680"/>
      <c r="J335" s="681"/>
      <c r="K335" s="678"/>
      <c r="L335" s="665"/>
      <c r="M335" s="665"/>
      <c r="N335" s="688"/>
      <c r="O335" s="685"/>
      <c r="P335" s="685"/>
      <c r="Q335" s="678"/>
      <c r="R335" s="678"/>
      <c r="S335" s="661"/>
      <c r="T335" s="661"/>
      <c r="U335" s="661"/>
      <c r="V335" s="662">
        <f t="shared" si="16"/>
        <v>0</v>
      </c>
      <c r="W335" s="663"/>
      <c r="X335" s="664">
        <f t="shared" si="17"/>
        <v>0</v>
      </c>
      <c r="Y335" s="683"/>
      <c r="Z335" s="665"/>
      <c r="AA335" s="684"/>
      <c r="AB335" s="685"/>
      <c r="AC335" s="665"/>
      <c r="AD335" s="686"/>
    </row>
    <row r="336" spans="1:30" s="687" customFormat="1" ht="12.75" customHeight="1">
      <c r="A336" s="677"/>
      <c r="B336" s="677"/>
      <c r="C336" s="678"/>
      <c r="D336" s="678"/>
      <c r="E336" s="678"/>
      <c r="F336" s="678"/>
      <c r="G336" s="679"/>
      <c r="H336" s="679"/>
      <c r="I336" s="680"/>
      <c r="J336" s="681"/>
      <c r="K336" s="678"/>
      <c r="L336" s="665"/>
      <c r="M336" s="665"/>
      <c r="N336" s="688"/>
      <c r="O336" s="685"/>
      <c r="P336" s="685"/>
      <c r="Q336" s="678"/>
      <c r="R336" s="678"/>
      <c r="S336" s="661"/>
      <c r="T336" s="661"/>
      <c r="U336" s="661"/>
      <c r="V336" s="662">
        <f t="shared" si="16"/>
        <v>0</v>
      </c>
      <c r="W336" s="663"/>
      <c r="X336" s="664">
        <f t="shared" si="17"/>
        <v>0</v>
      </c>
      <c r="Y336" s="683"/>
      <c r="Z336" s="665"/>
      <c r="AA336" s="684"/>
      <c r="AB336" s="685"/>
      <c r="AC336" s="665"/>
      <c r="AD336" s="686"/>
    </row>
    <row r="337" spans="1:30" s="687" customFormat="1" ht="12.75" customHeight="1">
      <c r="A337" s="677"/>
      <c r="B337" s="677"/>
      <c r="C337" s="678"/>
      <c r="D337" s="678"/>
      <c r="E337" s="678"/>
      <c r="F337" s="678"/>
      <c r="G337" s="679"/>
      <c r="H337" s="679"/>
      <c r="I337" s="680"/>
      <c r="J337" s="681"/>
      <c r="K337" s="678"/>
      <c r="L337" s="665"/>
      <c r="M337" s="665"/>
      <c r="N337" s="688"/>
      <c r="O337" s="685"/>
      <c r="P337" s="685"/>
      <c r="Q337" s="678"/>
      <c r="R337" s="678"/>
      <c r="S337" s="661"/>
      <c r="T337" s="661"/>
      <c r="U337" s="661"/>
      <c r="V337" s="662">
        <f t="shared" si="16"/>
        <v>0</v>
      </c>
      <c r="W337" s="663"/>
      <c r="X337" s="664">
        <f t="shared" si="17"/>
        <v>0</v>
      </c>
      <c r="Y337" s="683"/>
      <c r="Z337" s="665"/>
      <c r="AA337" s="684"/>
      <c r="AB337" s="685"/>
      <c r="AC337" s="665"/>
      <c r="AD337" s="686"/>
    </row>
    <row r="338" spans="1:30" s="687" customFormat="1" ht="12.75" customHeight="1">
      <c r="A338" s="677"/>
      <c r="B338" s="677"/>
      <c r="C338" s="678"/>
      <c r="D338" s="678"/>
      <c r="E338" s="678"/>
      <c r="F338" s="678"/>
      <c r="G338" s="679"/>
      <c r="H338" s="679"/>
      <c r="I338" s="680"/>
      <c r="J338" s="681"/>
      <c r="K338" s="678"/>
      <c r="L338" s="665"/>
      <c r="M338" s="665"/>
      <c r="N338" s="688"/>
      <c r="O338" s="685"/>
      <c r="P338" s="685"/>
      <c r="Q338" s="678"/>
      <c r="R338" s="678"/>
      <c r="S338" s="661"/>
      <c r="T338" s="661"/>
      <c r="U338" s="661"/>
      <c r="V338" s="662">
        <f t="shared" si="16"/>
        <v>0</v>
      </c>
      <c r="W338" s="663"/>
      <c r="X338" s="664">
        <f t="shared" si="17"/>
        <v>0</v>
      </c>
      <c r="Y338" s="683"/>
      <c r="Z338" s="665"/>
      <c r="AA338" s="684"/>
      <c r="AB338" s="685"/>
      <c r="AC338" s="665"/>
      <c r="AD338" s="686"/>
    </row>
    <row r="339" spans="1:30" s="687" customFormat="1" ht="12.75" customHeight="1">
      <c r="A339" s="677"/>
      <c r="B339" s="677"/>
      <c r="C339" s="678"/>
      <c r="D339" s="678"/>
      <c r="E339" s="678"/>
      <c r="F339" s="678"/>
      <c r="G339" s="679"/>
      <c r="H339" s="679"/>
      <c r="I339" s="680"/>
      <c r="J339" s="681"/>
      <c r="K339" s="678"/>
      <c r="L339" s="665"/>
      <c r="M339" s="665"/>
      <c r="N339" s="688"/>
      <c r="O339" s="685"/>
      <c r="P339" s="685"/>
      <c r="Q339" s="678"/>
      <c r="R339" s="678"/>
      <c r="S339" s="661"/>
      <c r="T339" s="661"/>
      <c r="U339" s="661"/>
      <c r="V339" s="662">
        <f t="shared" si="16"/>
        <v>0</v>
      </c>
      <c r="W339" s="663"/>
      <c r="X339" s="664">
        <f t="shared" si="17"/>
        <v>0</v>
      </c>
      <c r="Y339" s="683"/>
      <c r="Z339" s="665"/>
      <c r="AA339" s="684"/>
      <c r="AB339" s="685"/>
      <c r="AC339" s="665"/>
      <c r="AD339" s="686"/>
    </row>
    <row r="340" spans="1:30" s="687" customFormat="1" ht="12.75" customHeight="1">
      <c r="A340" s="677"/>
      <c r="B340" s="677"/>
      <c r="C340" s="678"/>
      <c r="D340" s="678"/>
      <c r="E340" s="678"/>
      <c r="F340" s="678"/>
      <c r="G340" s="679"/>
      <c r="H340" s="679"/>
      <c r="I340" s="680"/>
      <c r="J340" s="681"/>
      <c r="K340" s="678"/>
      <c r="L340" s="665"/>
      <c r="M340" s="665"/>
      <c r="N340" s="688"/>
      <c r="O340" s="685"/>
      <c r="P340" s="685"/>
      <c r="Q340" s="678"/>
      <c r="R340" s="678"/>
      <c r="S340" s="661"/>
      <c r="T340" s="661"/>
      <c r="U340" s="661"/>
      <c r="V340" s="662">
        <f t="shared" si="16"/>
        <v>0</v>
      </c>
      <c r="W340" s="663"/>
      <c r="X340" s="664">
        <f t="shared" si="17"/>
        <v>0</v>
      </c>
      <c r="Y340" s="683"/>
      <c r="Z340" s="665"/>
      <c r="AA340" s="684"/>
      <c r="AB340" s="685"/>
      <c r="AC340" s="665"/>
      <c r="AD340" s="686"/>
    </row>
    <row r="341" spans="1:30" s="687" customFormat="1" ht="12.75" customHeight="1">
      <c r="A341" s="677"/>
      <c r="B341" s="677"/>
      <c r="C341" s="678"/>
      <c r="D341" s="678"/>
      <c r="E341" s="678"/>
      <c r="F341" s="678"/>
      <c r="G341" s="679"/>
      <c r="H341" s="679"/>
      <c r="I341" s="680"/>
      <c r="J341" s="681"/>
      <c r="K341" s="678"/>
      <c r="L341" s="665"/>
      <c r="M341" s="665"/>
      <c r="N341" s="688"/>
      <c r="O341" s="685"/>
      <c r="P341" s="685"/>
      <c r="Q341" s="678"/>
      <c r="R341" s="678"/>
      <c r="S341" s="661"/>
      <c r="T341" s="661"/>
      <c r="U341" s="661"/>
      <c r="V341" s="662">
        <f t="shared" si="16"/>
        <v>0</v>
      </c>
      <c r="W341" s="663"/>
      <c r="X341" s="664">
        <f t="shared" si="17"/>
        <v>0</v>
      </c>
      <c r="Y341" s="683"/>
      <c r="Z341" s="665"/>
      <c r="AA341" s="684"/>
      <c r="AB341" s="685"/>
      <c r="AC341" s="665"/>
      <c r="AD341" s="686"/>
    </row>
    <row r="342" spans="1:30" s="687" customFormat="1" ht="12.75" customHeight="1">
      <c r="A342" s="677"/>
      <c r="B342" s="677"/>
      <c r="C342" s="678"/>
      <c r="D342" s="678"/>
      <c r="E342" s="678"/>
      <c r="F342" s="678"/>
      <c r="G342" s="679"/>
      <c r="H342" s="679"/>
      <c r="I342" s="680"/>
      <c r="J342" s="681"/>
      <c r="K342" s="678"/>
      <c r="L342" s="665"/>
      <c r="M342" s="665"/>
      <c r="N342" s="688"/>
      <c r="O342" s="685"/>
      <c r="P342" s="685"/>
      <c r="Q342" s="678"/>
      <c r="R342" s="678"/>
      <c r="S342" s="661"/>
      <c r="T342" s="661"/>
      <c r="U342" s="661"/>
      <c r="V342" s="662">
        <f t="shared" si="16"/>
        <v>0</v>
      </c>
      <c r="W342" s="663"/>
      <c r="X342" s="664">
        <f t="shared" si="17"/>
        <v>0</v>
      </c>
      <c r="Y342" s="683"/>
      <c r="Z342" s="665"/>
      <c r="AA342" s="684"/>
      <c r="AB342" s="685"/>
      <c r="AC342" s="665"/>
      <c r="AD342" s="686"/>
    </row>
    <row r="343" spans="1:30" s="687" customFormat="1" ht="12.75" customHeight="1">
      <c r="A343" s="677"/>
      <c r="B343" s="677"/>
      <c r="C343" s="678"/>
      <c r="D343" s="678"/>
      <c r="E343" s="678"/>
      <c r="F343" s="678"/>
      <c r="G343" s="679"/>
      <c r="H343" s="679"/>
      <c r="I343" s="680"/>
      <c r="J343" s="681"/>
      <c r="K343" s="678"/>
      <c r="L343" s="665"/>
      <c r="M343" s="665"/>
      <c r="N343" s="688"/>
      <c r="O343" s="685"/>
      <c r="P343" s="685"/>
      <c r="Q343" s="678"/>
      <c r="R343" s="678"/>
      <c r="S343" s="661"/>
      <c r="T343" s="661"/>
      <c r="U343" s="661"/>
      <c r="V343" s="662">
        <f t="shared" si="16"/>
        <v>0</v>
      </c>
      <c r="W343" s="663"/>
      <c r="X343" s="664">
        <f t="shared" si="17"/>
        <v>0</v>
      </c>
      <c r="Y343" s="683"/>
      <c r="Z343" s="665"/>
      <c r="AA343" s="684"/>
      <c r="AB343" s="685"/>
      <c r="AC343" s="665"/>
      <c r="AD343" s="686"/>
    </row>
    <row r="344" spans="1:30" s="687" customFormat="1" ht="12.75" customHeight="1">
      <c r="A344" s="677"/>
      <c r="B344" s="677"/>
      <c r="C344" s="678"/>
      <c r="D344" s="678"/>
      <c r="E344" s="678"/>
      <c r="F344" s="678"/>
      <c r="G344" s="679"/>
      <c r="H344" s="679"/>
      <c r="I344" s="680"/>
      <c r="J344" s="681"/>
      <c r="K344" s="678"/>
      <c r="L344" s="665"/>
      <c r="M344" s="665"/>
      <c r="N344" s="688"/>
      <c r="O344" s="685"/>
      <c r="P344" s="685"/>
      <c r="Q344" s="678"/>
      <c r="R344" s="678"/>
      <c r="S344" s="661"/>
      <c r="T344" s="661"/>
      <c r="U344" s="661"/>
      <c r="V344" s="662">
        <f t="shared" si="16"/>
        <v>0</v>
      </c>
      <c r="W344" s="663"/>
      <c r="X344" s="664">
        <f t="shared" si="17"/>
        <v>0</v>
      </c>
      <c r="Y344" s="683"/>
      <c r="Z344" s="665"/>
      <c r="AA344" s="684"/>
      <c r="AB344" s="685"/>
      <c r="AC344" s="665"/>
      <c r="AD344" s="686"/>
    </row>
    <row r="345" spans="1:30" s="687" customFormat="1" ht="12.75" customHeight="1">
      <c r="A345" s="677"/>
      <c r="B345" s="677"/>
      <c r="C345" s="678"/>
      <c r="D345" s="678"/>
      <c r="E345" s="678"/>
      <c r="F345" s="678"/>
      <c r="G345" s="679"/>
      <c r="H345" s="679"/>
      <c r="I345" s="680"/>
      <c r="J345" s="681"/>
      <c r="K345" s="678"/>
      <c r="L345" s="665"/>
      <c r="M345" s="665"/>
      <c r="N345" s="688"/>
      <c r="O345" s="685"/>
      <c r="P345" s="685"/>
      <c r="Q345" s="678"/>
      <c r="R345" s="678"/>
      <c r="S345" s="661"/>
      <c r="T345" s="661"/>
      <c r="U345" s="661"/>
      <c r="V345" s="662">
        <f t="shared" si="16"/>
        <v>0</v>
      </c>
      <c r="W345" s="663"/>
      <c r="X345" s="664">
        <f t="shared" si="17"/>
        <v>0</v>
      </c>
      <c r="Y345" s="683"/>
      <c r="Z345" s="665"/>
      <c r="AA345" s="684"/>
      <c r="AB345" s="685"/>
      <c r="AC345" s="665"/>
      <c r="AD345" s="686"/>
    </row>
    <row r="346" spans="1:30" s="687" customFormat="1" ht="12.75" customHeight="1">
      <c r="A346" s="677"/>
      <c r="B346" s="677"/>
      <c r="C346" s="678"/>
      <c r="D346" s="678"/>
      <c r="E346" s="678"/>
      <c r="F346" s="678"/>
      <c r="G346" s="679"/>
      <c r="H346" s="679"/>
      <c r="I346" s="680"/>
      <c r="J346" s="681"/>
      <c r="K346" s="678"/>
      <c r="L346" s="665"/>
      <c r="M346" s="665"/>
      <c r="N346" s="688"/>
      <c r="O346" s="685"/>
      <c r="P346" s="685"/>
      <c r="Q346" s="678"/>
      <c r="R346" s="678"/>
      <c r="S346" s="661"/>
      <c r="T346" s="661"/>
      <c r="U346" s="661"/>
      <c r="V346" s="662">
        <f t="shared" si="16"/>
        <v>0</v>
      </c>
      <c r="W346" s="663"/>
      <c r="X346" s="664">
        <f t="shared" si="17"/>
        <v>0</v>
      </c>
      <c r="Y346" s="683"/>
      <c r="Z346" s="665"/>
      <c r="AA346" s="684"/>
      <c r="AB346" s="685"/>
      <c r="AC346" s="665"/>
      <c r="AD346" s="686"/>
    </row>
    <row r="347" spans="1:30" s="687" customFormat="1" ht="12.75" customHeight="1">
      <c r="A347" s="677"/>
      <c r="B347" s="677"/>
      <c r="C347" s="678"/>
      <c r="D347" s="678"/>
      <c r="E347" s="678"/>
      <c r="F347" s="678"/>
      <c r="G347" s="679"/>
      <c r="H347" s="679"/>
      <c r="I347" s="680"/>
      <c r="J347" s="681"/>
      <c r="K347" s="678"/>
      <c r="L347" s="665"/>
      <c r="M347" s="665"/>
      <c r="N347" s="688"/>
      <c r="O347" s="685"/>
      <c r="P347" s="685"/>
      <c r="Q347" s="678"/>
      <c r="R347" s="678"/>
      <c r="S347" s="661"/>
      <c r="T347" s="661"/>
      <c r="U347" s="661"/>
      <c r="V347" s="662">
        <f t="shared" si="16"/>
        <v>0</v>
      </c>
      <c r="W347" s="663"/>
      <c r="X347" s="664">
        <f t="shared" si="17"/>
        <v>0</v>
      </c>
      <c r="Y347" s="683"/>
      <c r="Z347" s="665"/>
      <c r="AA347" s="684"/>
      <c r="AB347" s="685"/>
      <c r="AC347" s="665"/>
      <c r="AD347" s="686"/>
    </row>
    <row r="348" spans="1:30" s="687" customFormat="1" ht="12.75" customHeight="1">
      <c r="A348" s="677"/>
      <c r="B348" s="677"/>
      <c r="C348" s="678"/>
      <c r="D348" s="678"/>
      <c r="E348" s="678"/>
      <c r="F348" s="678"/>
      <c r="G348" s="679"/>
      <c r="H348" s="679"/>
      <c r="I348" s="680"/>
      <c r="J348" s="681"/>
      <c r="K348" s="678"/>
      <c r="L348" s="665"/>
      <c r="M348" s="665"/>
      <c r="N348" s="688"/>
      <c r="O348" s="685"/>
      <c r="P348" s="685"/>
      <c r="Q348" s="678"/>
      <c r="R348" s="678"/>
      <c r="S348" s="661"/>
      <c r="T348" s="661"/>
      <c r="U348" s="661"/>
      <c r="V348" s="662">
        <f t="shared" si="16"/>
        <v>0</v>
      </c>
      <c r="W348" s="663"/>
      <c r="X348" s="664">
        <f t="shared" si="17"/>
        <v>0</v>
      </c>
      <c r="Y348" s="683"/>
      <c r="Z348" s="665"/>
      <c r="AA348" s="684"/>
      <c r="AB348" s="685"/>
      <c r="AC348" s="665"/>
      <c r="AD348" s="686"/>
    </row>
    <row r="349" spans="1:30" s="687" customFormat="1" ht="12.75" customHeight="1">
      <c r="A349" s="677"/>
      <c r="B349" s="677"/>
      <c r="C349" s="678"/>
      <c r="D349" s="678"/>
      <c r="E349" s="678"/>
      <c r="F349" s="678"/>
      <c r="G349" s="679"/>
      <c r="H349" s="679"/>
      <c r="I349" s="680"/>
      <c r="J349" s="681"/>
      <c r="K349" s="678"/>
      <c r="L349" s="665"/>
      <c r="M349" s="665"/>
      <c r="N349" s="688"/>
      <c r="O349" s="685"/>
      <c r="P349" s="685"/>
      <c r="Q349" s="678"/>
      <c r="R349" s="678"/>
      <c r="S349" s="661"/>
      <c r="T349" s="661"/>
      <c r="U349" s="661"/>
      <c r="V349" s="662">
        <f t="shared" si="16"/>
        <v>0</v>
      </c>
      <c r="W349" s="663"/>
      <c r="X349" s="664">
        <f t="shared" si="17"/>
        <v>0</v>
      </c>
      <c r="Y349" s="683"/>
      <c r="Z349" s="665"/>
      <c r="AA349" s="684"/>
      <c r="AB349" s="685"/>
      <c r="AC349" s="665"/>
      <c r="AD349" s="686"/>
    </row>
    <row r="350" spans="1:30" s="687" customFormat="1" ht="12.75" customHeight="1">
      <c r="A350" s="677"/>
      <c r="B350" s="677"/>
      <c r="C350" s="678"/>
      <c r="D350" s="678"/>
      <c r="E350" s="678"/>
      <c r="F350" s="678"/>
      <c r="G350" s="679"/>
      <c r="H350" s="679"/>
      <c r="I350" s="680"/>
      <c r="J350" s="681"/>
      <c r="K350" s="678"/>
      <c r="L350" s="665"/>
      <c r="M350" s="665"/>
      <c r="N350" s="688"/>
      <c r="O350" s="685"/>
      <c r="P350" s="685"/>
      <c r="Q350" s="678"/>
      <c r="R350" s="678"/>
      <c r="S350" s="661"/>
      <c r="T350" s="661"/>
      <c r="U350" s="661"/>
      <c r="V350" s="662">
        <f t="shared" si="16"/>
        <v>0</v>
      </c>
      <c r="W350" s="663"/>
      <c r="X350" s="664">
        <f t="shared" si="17"/>
        <v>0</v>
      </c>
      <c r="Y350" s="683"/>
      <c r="Z350" s="665"/>
      <c r="AA350" s="684"/>
      <c r="AB350" s="685"/>
      <c r="AC350" s="665"/>
      <c r="AD350" s="686"/>
    </row>
    <row r="351" spans="1:30" s="687" customFormat="1" ht="12.75" customHeight="1">
      <c r="A351" s="677"/>
      <c r="B351" s="677"/>
      <c r="C351" s="678"/>
      <c r="D351" s="678"/>
      <c r="E351" s="678"/>
      <c r="F351" s="678"/>
      <c r="G351" s="679"/>
      <c r="H351" s="679"/>
      <c r="I351" s="680"/>
      <c r="J351" s="681"/>
      <c r="K351" s="678"/>
      <c r="L351" s="665"/>
      <c r="M351" s="665"/>
      <c r="N351" s="688"/>
      <c r="O351" s="685"/>
      <c r="P351" s="685"/>
      <c r="Q351" s="678"/>
      <c r="R351" s="678"/>
      <c r="S351" s="661"/>
      <c r="T351" s="661"/>
      <c r="U351" s="661"/>
      <c r="V351" s="662">
        <f t="shared" si="16"/>
        <v>0</v>
      </c>
      <c r="W351" s="663"/>
      <c r="X351" s="664">
        <f t="shared" si="17"/>
        <v>0</v>
      </c>
      <c r="Y351" s="683"/>
      <c r="Z351" s="665"/>
      <c r="AA351" s="684"/>
      <c r="AB351" s="685"/>
      <c r="AC351" s="665"/>
      <c r="AD351" s="686"/>
    </row>
    <row r="352" spans="1:30" s="687" customFormat="1" ht="12.75" customHeight="1">
      <c r="A352" s="677"/>
      <c r="B352" s="677"/>
      <c r="C352" s="678"/>
      <c r="D352" s="678"/>
      <c r="E352" s="678"/>
      <c r="F352" s="678"/>
      <c r="G352" s="679"/>
      <c r="H352" s="679"/>
      <c r="I352" s="680"/>
      <c r="J352" s="681"/>
      <c r="K352" s="678"/>
      <c r="L352" s="665"/>
      <c r="M352" s="665"/>
      <c r="N352" s="688"/>
      <c r="O352" s="685"/>
      <c r="P352" s="685"/>
      <c r="Q352" s="678"/>
      <c r="R352" s="678"/>
      <c r="S352" s="661"/>
      <c r="T352" s="661"/>
      <c r="U352" s="661"/>
      <c r="V352" s="662">
        <f t="shared" si="16"/>
        <v>0</v>
      </c>
      <c r="W352" s="663"/>
      <c r="X352" s="664">
        <f t="shared" si="17"/>
        <v>0</v>
      </c>
      <c r="Y352" s="683"/>
      <c r="Z352" s="665"/>
      <c r="AA352" s="684"/>
      <c r="AB352" s="685"/>
      <c r="AC352" s="665"/>
      <c r="AD352" s="686"/>
    </row>
    <row r="353" spans="1:30" s="687" customFormat="1" ht="12.75" customHeight="1">
      <c r="A353" s="677"/>
      <c r="B353" s="677"/>
      <c r="C353" s="678"/>
      <c r="D353" s="678"/>
      <c r="E353" s="678"/>
      <c r="F353" s="678"/>
      <c r="G353" s="679"/>
      <c r="H353" s="679"/>
      <c r="I353" s="680"/>
      <c r="J353" s="681"/>
      <c r="K353" s="678"/>
      <c r="L353" s="665"/>
      <c r="M353" s="665"/>
      <c r="N353" s="688"/>
      <c r="O353" s="685"/>
      <c r="P353" s="685"/>
      <c r="Q353" s="678"/>
      <c r="R353" s="678"/>
      <c r="S353" s="661"/>
      <c r="T353" s="661"/>
      <c r="U353" s="661"/>
      <c r="V353" s="662">
        <f t="shared" si="16"/>
        <v>0</v>
      </c>
      <c r="W353" s="663"/>
      <c r="X353" s="664">
        <f t="shared" si="17"/>
        <v>0</v>
      </c>
      <c r="Y353" s="683"/>
      <c r="Z353" s="665"/>
      <c r="AA353" s="684"/>
      <c r="AB353" s="685"/>
      <c r="AC353" s="665"/>
      <c r="AD353" s="686"/>
    </row>
    <row r="354" spans="1:30" s="687" customFormat="1" ht="12.75" customHeight="1">
      <c r="A354" s="677"/>
      <c r="B354" s="677"/>
      <c r="C354" s="678"/>
      <c r="D354" s="678"/>
      <c r="E354" s="678"/>
      <c r="F354" s="678"/>
      <c r="G354" s="679"/>
      <c r="H354" s="679"/>
      <c r="I354" s="680"/>
      <c r="J354" s="681"/>
      <c r="K354" s="678"/>
      <c r="L354" s="665"/>
      <c r="M354" s="665"/>
      <c r="N354" s="688"/>
      <c r="O354" s="685"/>
      <c r="P354" s="685"/>
      <c r="Q354" s="678"/>
      <c r="R354" s="678"/>
      <c r="S354" s="661"/>
      <c r="T354" s="661"/>
      <c r="U354" s="661"/>
      <c r="V354" s="662">
        <f t="shared" si="16"/>
        <v>0</v>
      </c>
      <c r="W354" s="663"/>
      <c r="X354" s="664">
        <f t="shared" si="17"/>
        <v>0</v>
      </c>
      <c r="Y354" s="683"/>
      <c r="Z354" s="665"/>
      <c r="AA354" s="684"/>
      <c r="AB354" s="685"/>
      <c r="AC354" s="665"/>
      <c r="AD354" s="686"/>
    </row>
    <row r="355" spans="1:30" s="687" customFormat="1" ht="12.75" customHeight="1">
      <c r="A355" s="677"/>
      <c r="B355" s="677"/>
      <c r="C355" s="678"/>
      <c r="D355" s="678"/>
      <c r="E355" s="678"/>
      <c r="F355" s="678"/>
      <c r="G355" s="679"/>
      <c r="H355" s="679"/>
      <c r="I355" s="680"/>
      <c r="J355" s="681"/>
      <c r="K355" s="678"/>
      <c r="L355" s="665"/>
      <c r="M355" s="665"/>
      <c r="N355" s="688"/>
      <c r="O355" s="685"/>
      <c r="P355" s="685"/>
      <c r="Q355" s="678"/>
      <c r="R355" s="678"/>
      <c r="S355" s="661"/>
      <c r="T355" s="661"/>
      <c r="U355" s="661"/>
      <c r="V355" s="662">
        <f t="shared" si="16"/>
        <v>0</v>
      </c>
      <c r="W355" s="663"/>
      <c r="X355" s="664">
        <f t="shared" si="17"/>
        <v>0</v>
      </c>
      <c r="Y355" s="683"/>
      <c r="Z355" s="665"/>
      <c r="AA355" s="684"/>
      <c r="AB355" s="685"/>
      <c r="AC355" s="665"/>
      <c r="AD355" s="686"/>
    </row>
    <row r="356" spans="1:30" s="687" customFormat="1" ht="12.75" customHeight="1">
      <c r="A356" s="677"/>
      <c r="B356" s="677"/>
      <c r="C356" s="678"/>
      <c r="D356" s="678"/>
      <c r="E356" s="678"/>
      <c r="F356" s="678"/>
      <c r="G356" s="679"/>
      <c r="H356" s="679"/>
      <c r="I356" s="680"/>
      <c r="J356" s="681"/>
      <c r="K356" s="678"/>
      <c r="L356" s="665"/>
      <c r="M356" s="665"/>
      <c r="N356" s="688"/>
      <c r="O356" s="685"/>
      <c r="P356" s="685"/>
      <c r="Q356" s="678"/>
      <c r="R356" s="678"/>
      <c r="S356" s="661"/>
      <c r="T356" s="661"/>
      <c r="U356" s="661"/>
      <c r="V356" s="662">
        <f t="shared" si="16"/>
        <v>0</v>
      </c>
      <c r="W356" s="663"/>
      <c r="X356" s="664">
        <f t="shared" si="17"/>
        <v>0</v>
      </c>
      <c r="Y356" s="683"/>
      <c r="Z356" s="665"/>
      <c r="AA356" s="684"/>
      <c r="AB356" s="685"/>
      <c r="AC356" s="665"/>
      <c r="AD356" s="686"/>
    </row>
    <row r="357" spans="1:30" s="687" customFormat="1" ht="12.75" customHeight="1">
      <c r="A357" s="677"/>
      <c r="B357" s="677"/>
      <c r="C357" s="678"/>
      <c r="D357" s="678"/>
      <c r="E357" s="678"/>
      <c r="F357" s="678"/>
      <c r="G357" s="679"/>
      <c r="H357" s="679"/>
      <c r="I357" s="680"/>
      <c r="J357" s="681"/>
      <c r="K357" s="678"/>
      <c r="L357" s="665"/>
      <c r="M357" s="665"/>
      <c r="N357" s="688"/>
      <c r="O357" s="685"/>
      <c r="P357" s="685"/>
      <c r="Q357" s="678"/>
      <c r="R357" s="678"/>
      <c r="S357" s="661"/>
      <c r="T357" s="661"/>
      <c r="U357" s="661"/>
      <c r="V357" s="662">
        <f t="shared" si="16"/>
        <v>0</v>
      </c>
      <c r="W357" s="663"/>
      <c r="X357" s="664">
        <f t="shared" si="17"/>
        <v>0</v>
      </c>
      <c r="Y357" s="683"/>
      <c r="Z357" s="665"/>
      <c r="AA357" s="684"/>
      <c r="AB357" s="685"/>
      <c r="AC357" s="665"/>
      <c r="AD357" s="686"/>
    </row>
    <row r="358" spans="1:30" s="687" customFormat="1" ht="12.75" customHeight="1">
      <c r="A358" s="677"/>
      <c r="B358" s="677"/>
      <c r="C358" s="678"/>
      <c r="D358" s="678"/>
      <c r="E358" s="678"/>
      <c r="F358" s="678"/>
      <c r="G358" s="679"/>
      <c r="H358" s="679"/>
      <c r="I358" s="680"/>
      <c r="J358" s="681"/>
      <c r="K358" s="678"/>
      <c r="L358" s="665"/>
      <c r="M358" s="665"/>
      <c r="N358" s="688"/>
      <c r="O358" s="685"/>
      <c r="P358" s="685"/>
      <c r="Q358" s="678"/>
      <c r="R358" s="678"/>
      <c r="S358" s="661"/>
      <c r="T358" s="661"/>
      <c r="U358" s="661"/>
      <c r="V358" s="662">
        <f t="shared" si="16"/>
        <v>0</v>
      </c>
      <c r="W358" s="663"/>
      <c r="X358" s="664">
        <f t="shared" si="17"/>
        <v>0</v>
      </c>
      <c r="Y358" s="683"/>
      <c r="Z358" s="665"/>
      <c r="AA358" s="684"/>
      <c r="AB358" s="685"/>
      <c r="AC358" s="665"/>
      <c r="AD358" s="686"/>
    </row>
    <row r="359" spans="1:30" s="687" customFormat="1" ht="12.75" customHeight="1">
      <c r="A359" s="677"/>
      <c r="B359" s="677"/>
      <c r="C359" s="678"/>
      <c r="D359" s="678"/>
      <c r="E359" s="678"/>
      <c r="F359" s="678"/>
      <c r="G359" s="679"/>
      <c r="H359" s="679"/>
      <c r="I359" s="680"/>
      <c r="J359" s="681"/>
      <c r="K359" s="678"/>
      <c r="L359" s="665"/>
      <c r="M359" s="665"/>
      <c r="N359" s="688"/>
      <c r="O359" s="685"/>
      <c r="P359" s="685"/>
      <c r="Q359" s="678"/>
      <c r="R359" s="678"/>
      <c r="S359" s="661"/>
      <c r="T359" s="661"/>
      <c r="U359" s="661"/>
      <c r="V359" s="662">
        <f t="shared" si="16"/>
        <v>0</v>
      </c>
      <c r="W359" s="663"/>
      <c r="X359" s="664">
        <f t="shared" si="17"/>
        <v>0</v>
      </c>
      <c r="Y359" s="683"/>
      <c r="Z359" s="665"/>
      <c r="AA359" s="684"/>
      <c r="AB359" s="685"/>
      <c r="AC359" s="665"/>
      <c r="AD359" s="686"/>
    </row>
    <row r="360" spans="1:30" s="687" customFormat="1" ht="12.75" customHeight="1">
      <c r="A360" s="677"/>
      <c r="B360" s="677"/>
      <c r="C360" s="678"/>
      <c r="D360" s="678"/>
      <c r="E360" s="678"/>
      <c r="F360" s="678"/>
      <c r="G360" s="679"/>
      <c r="H360" s="679"/>
      <c r="I360" s="680"/>
      <c r="J360" s="681"/>
      <c r="K360" s="678"/>
      <c r="L360" s="665"/>
      <c r="M360" s="665"/>
      <c r="N360" s="688"/>
      <c r="O360" s="685"/>
      <c r="P360" s="685"/>
      <c r="Q360" s="678"/>
      <c r="R360" s="678"/>
      <c r="S360" s="661"/>
      <c r="T360" s="661"/>
      <c r="U360" s="661"/>
      <c r="V360" s="662">
        <f t="shared" si="16"/>
        <v>0</v>
      </c>
      <c r="W360" s="663"/>
      <c r="X360" s="664">
        <f t="shared" si="17"/>
        <v>0</v>
      </c>
      <c r="Y360" s="683"/>
      <c r="Z360" s="665"/>
      <c r="AA360" s="684"/>
      <c r="AB360" s="685"/>
      <c r="AC360" s="665"/>
      <c r="AD360" s="686"/>
    </row>
    <row r="361" spans="1:30" s="687" customFormat="1" ht="12.75" customHeight="1">
      <c r="A361" s="677"/>
      <c r="B361" s="677"/>
      <c r="C361" s="678"/>
      <c r="D361" s="678"/>
      <c r="E361" s="678"/>
      <c r="F361" s="678"/>
      <c r="G361" s="679"/>
      <c r="H361" s="679"/>
      <c r="I361" s="680"/>
      <c r="J361" s="681"/>
      <c r="K361" s="678"/>
      <c r="L361" s="665"/>
      <c r="M361" s="665"/>
      <c r="N361" s="688"/>
      <c r="O361" s="685"/>
      <c r="P361" s="685"/>
      <c r="Q361" s="678"/>
      <c r="R361" s="678"/>
      <c r="S361" s="661"/>
      <c r="T361" s="661"/>
      <c r="U361" s="661"/>
      <c r="V361" s="662">
        <f t="shared" si="16"/>
        <v>0</v>
      </c>
      <c r="W361" s="663"/>
      <c r="X361" s="664">
        <f t="shared" si="17"/>
        <v>0</v>
      </c>
      <c r="Y361" s="683"/>
      <c r="Z361" s="665"/>
      <c r="AA361" s="684"/>
      <c r="AB361" s="685"/>
      <c r="AC361" s="665"/>
      <c r="AD361" s="686"/>
    </row>
    <row r="362" spans="1:30" s="687" customFormat="1" ht="12.75" customHeight="1">
      <c r="A362" s="677"/>
      <c r="B362" s="677"/>
      <c r="C362" s="678"/>
      <c r="D362" s="678"/>
      <c r="E362" s="678"/>
      <c r="F362" s="678"/>
      <c r="G362" s="679"/>
      <c r="H362" s="679"/>
      <c r="I362" s="680"/>
      <c r="J362" s="681"/>
      <c r="K362" s="678"/>
      <c r="L362" s="665"/>
      <c r="M362" s="665"/>
      <c r="N362" s="688"/>
      <c r="O362" s="685"/>
      <c r="P362" s="685"/>
      <c r="Q362" s="678"/>
      <c r="R362" s="678"/>
      <c r="S362" s="661"/>
      <c r="T362" s="661"/>
      <c r="U362" s="661"/>
      <c r="V362" s="662">
        <f t="shared" si="16"/>
        <v>0</v>
      </c>
      <c r="W362" s="663"/>
      <c r="X362" s="664">
        <f t="shared" si="17"/>
        <v>0</v>
      </c>
      <c r="Y362" s="683"/>
      <c r="Z362" s="665"/>
      <c r="AA362" s="684"/>
      <c r="AB362" s="685"/>
      <c r="AC362" s="665"/>
      <c r="AD362" s="686"/>
    </row>
    <row r="363" spans="1:30" s="687" customFormat="1" ht="12.75" customHeight="1">
      <c r="A363" s="677"/>
      <c r="B363" s="677"/>
      <c r="C363" s="678"/>
      <c r="D363" s="678"/>
      <c r="E363" s="678"/>
      <c r="F363" s="678"/>
      <c r="G363" s="679"/>
      <c r="H363" s="679"/>
      <c r="I363" s="680"/>
      <c r="J363" s="681"/>
      <c r="K363" s="678"/>
      <c r="L363" s="665"/>
      <c r="M363" s="665"/>
      <c r="N363" s="688"/>
      <c r="O363" s="685"/>
      <c r="P363" s="685"/>
      <c r="Q363" s="678"/>
      <c r="R363" s="678"/>
      <c r="S363" s="661"/>
      <c r="T363" s="661"/>
      <c r="U363" s="661"/>
      <c r="V363" s="662">
        <f t="shared" si="16"/>
        <v>0</v>
      </c>
      <c r="W363" s="663"/>
      <c r="X363" s="664">
        <f t="shared" si="17"/>
        <v>0</v>
      </c>
      <c r="Y363" s="683"/>
      <c r="Z363" s="665"/>
      <c r="AA363" s="684"/>
      <c r="AB363" s="685"/>
      <c r="AC363" s="665"/>
      <c r="AD363" s="686"/>
    </row>
    <row r="364" spans="1:30" s="687" customFormat="1" ht="12.75" customHeight="1">
      <c r="A364" s="677"/>
      <c r="B364" s="677"/>
      <c r="C364" s="678"/>
      <c r="D364" s="678"/>
      <c r="E364" s="678"/>
      <c r="F364" s="678"/>
      <c r="G364" s="679"/>
      <c r="H364" s="679"/>
      <c r="I364" s="680"/>
      <c r="J364" s="681"/>
      <c r="K364" s="678"/>
      <c r="L364" s="665"/>
      <c r="M364" s="665"/>
      <c r="N364" s="688"/>
      <c r="O364" s="685"/>
      <c r="P364" s="685"/>
      <c r="Q364" s="678"/>
      <c r="R364" s="678"/>
      <c r="S364" s="661"/>
      <c r="T364" s="661"/>
      <c r="U364" s="661"/>
      <c r="V364" s="662">
        <f t="shared" si="16"/>
        <v>0</v>
      </c>
      <c r="W364" s="663"/>
      <c r="X364" s="664">
        <f t="shared" si="17"/>
        <v>0</v>
      </c>
      <c r="Y364" s="683"/>
      <c r="Z364" s="665"/>
      <c r="AA364" s="684"/>
      <c r="AB364" s="685"/>
      <c r="AC364" s="665"/>
      <c r="AD364" s="686"/>
    </row>
    <row r="365" spans="1:30" s="687" customFormat="1" ht="12.75" customHeight="1">
      <c r="A365" s="677"/>
      <c r="B365" s="677"/>
      <c r="C365" s="678"/>
      <c r="D365" s="678"/>
      <c r="E365" s="678"/>
      <c r="F365" s="678"/>
      <c r="G365" s="679"/>
      <c r="H365" s="679"/>
      <c r="I365" s="680"/>
      <c r="J365" s="681"/>
      <c r="K365" s="678"/>
      <c r="L365" s="665"/>
      <c r="M365" s="665"/>
      <c r="N365" s="688"/>
      <c r="O365" s="685"/>
      <c r="P365" s="685"/>
      <c r="Q365" s="678"/>
      <c r="R365" s="678"/>
      <c r="S365" s="661"/>
      <c r="T365" s="661"/>
      <c r="U365" s="661"/>
      <c r="V365" s="662">
        <f t="shared" si="16"/>
        <v>0</v>
      </c>
      <c r="W365" s="663"/>
      <c r="X365" s="664">
        <f t="shared" si="17"/>
        <v>0</v>
      </c>
      <c r="Y365" s="683"/>
      <c r="Z365" s="665"/>
      <c r="AA365" s="684"/>
      <c r="AB365" s="685"/>
      <c r="AC365" s="665"/>
      <c r="AD365" s="686"/>
    </row>
    <row r="366" spans="1:30" s="687" customFormat="1" ht="12.75" customHeight="1">
      <c r="A366" s="677"/>
      <c r="B366" s="677"/>
      <c r="C366" s="678"/>
      <c r="D366" s="678"/>
      <c r="E366" s="678"/>
      <c r="F366" s="678"/>
      <c r="G366" s="679"/>
      <c r="H366" s="679"/>
      <c r="I366" s="680"/>
      <c r="J366" s="681"/>
      <c r="K366" s="678"/>
      <c r="L366" s="665"/>
      <c r="M366" s="665"/>
      <c r="N366" s="688"/>
      <c r="O366" s="685"/>
      <c r="P366" s="685"/>
      <c r="Q366" s="678"/>
      <c r="R366" s="678"/>
      <c r="S366" s="661"/>
      <c r="T366" s="661"/>
      <c r="U366" s="661"/>
      <c r="V366" s="662">
        <f t="shared" si="16"/>
        <v>0</v>
      </c>
      <c r="W366" s="663"/>
      <c r="X366" s="664">
        <f t="shared" si="17"/>
        <v>0</v>
      </c>
      <c r="Y366" s="683"/>
      <c r="Z366" s="665"/>
      <c r="AA366" s="684"/>
      <c r="AB366" s="685"/>
      <c r="AC366" s="665"/>
      <c r="AD366" s="686"/>
    </row>
    <row r="367" spans="1:30" s="687" customFormat="1" ht="12.75" customHeight="1">
      <c r="A367" s="677"/>
      <c r="B367" s="677"/>
      <c r="C367" s="678"/>
      <c r="D367" s="678"/>
      <c r="E367" s="678"/>
      <c r="F367" s="678"/>
      <c r="G367" s="679"/>
      <c r="H367" s="679"/>
      <c r="I367" s="680"/>
      <c r="J367" s="681"/>
      <c r="K367" s="678"/>
      <c r="L367" s="665"/>
      <c r="M367" s="665"/>
      <c r="N367" s="688"/>
      <c r="O367" s="685"/>
      <c r="P367" s="685"/>
      <c r="Q367" s="678"/>
      <c r="R367" s="678"/>
      <c r="S367" s="661"/>
      <c r="T367" s="661"/>
      <c r="U367" s="661"/>
      <c r="V367" s="662">
        <f t="shared" si="16"/>
        <v>0</v>
      </c>
      <c r="W367" s="663"/>
      <c r="X367" s="664">
        <f t="shared" si="17"/>
        <v>0</v>
      </c>
      <c r="Y367" s="683"/>
      <c r="Z367" s="665"/>
      <c r="AA367" s="684"/>
      <c r="AB367" s="685"/>
      <c r="AC367" s="665"/>
      <c r="AD367" s="686"/>
    </row>
    <row r="368" spans="1:30" s="687" customFormat="1" ht="12.75" customHeight="1">
      <c r="A368" s="677"/>
      <c r="B368" s="677"/>
      <c r="C368" s="678"/>
      <c r="D368" s="678"/>
      <c r="E368" s="678"/>
      <c r="F368" s="678"/>
      <c r="G368" s="679"/>
      <c r="H368" s="679"/>
      <c r="I368" s="680"/>
      <c r="J368" s="681"/>
      <c r="K368" s="678"/>
      <c r="L368" s="665"/>
      <c r="M368" s="665"/>
      <c r="N368" s="688"/>
      <c r="O368" s="685"/>
      <c r="P368" s="685"/>
      <c r="Q368" s="678"/>
      <c r="R368" s="678"/>
      <c r="S368" s="661"/>
      <c r="T368" s="661"/>
      <c r="U368" s="661"/>
      <c r="V368" s="662">
        <f t="shared" si="16"/>
        <v>0</v>
      </c>
      <c r="W368" s="663"/>
      <c r="X368" s="664">
        <f t="shared" si="17"/>
        <v>0</v>
      </c>
      <c r="Y368" s="683"/>
      <c r="Z368" s="665"/>
      <c r="AA368" s="684"/>
      <c r="AB368" s="685"/>
      <c r="AC368" s="665"/>
      <c r="AD368" s="686"/>
    </row>
    <row r="369" spans="1:30" s="687" customFormat="1" ht="12.75" customHeight="1">
      <c r="A369" s="677"/>
      <c r="B369" s="677"/>
      <c r="C369" s="678"/>
      <c r="D369" s="678"/>
      <c r="E369" s="678"/>
      <c r="F369" s="678"/>
      <c r="G369" s="679"/>
      <c r="H369" s="679"/>
      <c r="I369" s="680"/>
      <c r="J369" s="681"/>
      <c r="K369" s="678"/>
      <c r="L369" s="665"/>
      <c r="M369" s="665"/>
      <c r="N369" s="688"/>
      <c r="O369" s="685"/>
      <c r="P369" s="685"/>
      <c r="Q369" s="678"/>
      <c r="R369" s="678"/>
      <c r="S369" s="661"/>
      <c r="T369" s="661"/>
      <c r="U369" s="661"/>
      <c r="V369" s="662">
        <f t="shared" si="16"/>
        <v>0</v>
      </c>
      <c r="W369" s="663"/>
      <c r="X369" s="664">
        <f t="shared" si="17"/>
        <v>0</v>
      </c>
      <c r="Y369" s="683"/>
      <c r="Z369" s="665"/>
      <c r="AA369" s="684"/>
      <c r="AB369" s="685"/>
      <c r="AC369" s="665"/>
      <c r="AD369" s="686"/>
    </row>
    <row r="370" spans="1:30" s="687" customFormat="1" ht="12.75" customHeight="1">
      <c r="A370" s="677"/>
      <c r="B370" s="677"/>
      <c r="C370" s="678"/>
      <c r="D370" s="678"/>
      <c r="E370" s="678"/>
      <c r="F370" s="678"/>
      <c r="G370" s="679"/>
      <c r="H370" s="679"/>
      <c r="I370" s="680"/>
      <c r="J370" s="681"/>
      <c r="K370" s="678"/>
      <c r="L370" s="665"/>
      <c r="M370" s="665"/>
      <c r="N370" s="688"/>
      <c r="O370" s="685"/>
      <c r="P370" s="685"/>
      <c r="Q370" s="678"/>
      <c r="R370" s="678"/>
      <c r="S370" s="661"/>
      <c r="T370" s="661"/>
      <c r="U370" s="661"/>
      <c r="V370" s="662">
        <f t="shared" si="16"/>
        <v>0</v>
      </c>
      <c r="W370" s="663"/>
      <c r="X370" s="664">
        <f t="shared" si="17"/>
        <v>0</v>
      </c>
      <c r="Y370" s="683"/>
      <c r="Z370" s="665"/>
      <c r="AA370" s="684"/>
      <c r="AB370" s="685"/>
      <c r="AC370" s="665"/>
      <c r="AD370" s="686"/>
    </row>
    <row r="371" spans="1:30" s="687" customFormat="1" ht="12.75" customHeight="1">
      <c r="A371" s="677"/>
      <c r="B371" s="677"/>
      <c r="C371" s="678"/>
      <c r="D371" s="678"/>
      <c r="E371" s="678"/>
      <c r="F371" s="678"/>
      <c r="G371" s="679"/>
      <c r="H371" s="679"/>
      <c r="I371" s="680"/>
      <c r="J371" s="681"/>
      <c r="K371" s="678"/>
      <c r="L371" s="665"/>
      <c r="M371" s="665"/>
      <c r="N371" s="688"/>
      <c r="O371" s="685"/>
      <c r="P371" s="685"/>
      <c r="Q371" s="678"/>
      <c r="R371" s="678"/>
      <c r="S371" s="661"/>
      <c r="T371" s="661"/>
      <c r="U371" s="661"/>
      <c r="V371" s="662">
        <f t="shared" si="16"/>
        <v>0</v>
      </c>
      <c r="W371" s="663"/>
      <c r="X371" s="664">
        <f t="shared" si="17"/>
        <v>0</v>
      </c>
      <c r="Y371" s="683"/>
      <c r="Z371" s="665"/>
      <c r="AA371" s="684"/>
      <c r="AB371" s="685"/>
      <c r="AC371" s="665"/>
      <c r="AD371" s="686"/>
    </row>
    <row r="372" spans="1:30" s="687" customFormat="1" ht="12.75" customHeight="1">
      <c r="A372" s="677"/>
      <c r="B372" s="677"/>
      <c r="C372" s="678"/>
      <c r="D372" s="678"/>
      <c r="E372" s="678"/>
      <c r="F372" s="678"/>
      <c r="G372" s="679"/>
      <c r="H372" s="679"/>
      <c r="I372" s="680"/>
      <c r="J372" s="681"/>
      <c r="K372" s="678"/>
      <c r="L372" s="665"/>
      <c r="M372" s="665"/>
      <c r="N372" s="688"/>
      <c r="O372" s="685"/>
      <c r="P372" s="685"/>
      <c r="Q372" s="678"/>
      <c r="R372" s="678"/>
      <c r="S372" s="661"/>
      <c r="T372" s="661"/>
      <c r="U372" s="661"/>
      <c r="V372" s="662">
        <f t="shared" si="16"/>
        <v>0</v>
      </c>
      <c r="W372" s="663"/>
      <c r="X372" s="664">
        <f t="shared" si="17"/>
        <v>0</v>
      </c>
      <c r="Y372" s="683"/>
      <c r="Z372" s="665"/>
      <c r="AA372" s="684"/>
      <c r="AB372" s="685"/>
      <c r="AC372" s="665"/>
      <c r="AD372" s="686"/>
    </row>
    <row r="373" spans="1:30" s="687" customFormat="1" ht="12.75" customHeight="1">
      <c r="A373" s="677"/>
      <c r="B373" s="677"/>
      <c r="C373" s="678"/>
      <c r="D373" s="678"/>
      <c r="E373" s="678"/>
      <c r="F373" s="678"/>
      <c r="G373" s="679"/>
      <c r="H373" s="679"/>
      <c r="I373" s="680"/>
      <c r="J373" s="681"/>
      <c r="K373" s="678"/>
      <c r="L373" s="665"/>
      <c r="M373" s="665"/>
      <c r="N373" s="688"/>
      <c r="O373" s="685"/>
      <c r="P373" s="685"/>
      <c r="Q373" s="678"/>
      <c r="R373" s="678"/>
      <c r="S373" s="661"/>
      <c r="T373" s="661"/>
      <c r="U373" s="661"/>
      <c r="V373" s="662">
        <f t="shared" si="16"/>
        <v>0</v>
      </c>
      <c r="W373" s="663"/>
      <c r="X373" s="664">
        <f t="shared" si="17"/>
        <v>0</v>
      </c>
      <c r="Y373" s="683"/>
      <c r="Z373" s="665"/>
      <c r="AA373" s="684"/>
      <c r="AB373" s="685"/>
      <c r="AC373" s="665"/>
      <c r="AD373" s="686"/>
    </row>
    <row r="374" spans="1:30" s="687" customFormat="1" ht="12.75" customHeight="1">
      <c r="A374" s="677"/>
      <c r="B374" s="677"/>
      <c r="C374" s="678"/>
      <c r="D374" s="678"/>
      <c r="E374" s="678"/>
      <c r="F374" s="678"/>
      <c r="G374" s="679"/>
      <c r="H374" s="679"/>
      <c r="I374" s="680"/>
      <c r="J374" s="681"/>
      <c r="K374" s="678"/>
      <c r="L374" s="665"/>
      <c r="M374" s="665"/>
      <c r="N374" s="688"/>
      <c r="O374" s="685"/>
      <c r="P374" s="685"/>
      <c r="Q374" s="678"/>
      <c r="R374" s="678"/>
      <c r="S374" s="661"/>
      <c r="T374" s="661"/>
      <c r="U374" s="661"/>
      <c r="V374" s="662">
        <f t="shared" si="16"/>
        <v>0</v>
      </c>
      <c r="W374" s="663"/>
      <c r="X374" s="664">
        <f t="shared" si="17"/>
        <v>0</v>
      </c>
      <c r="Y374" s="683"/>
      <c r="Z374" s="665"/>
      <c r="AA374" s="684"/>
      <c r="AB374" s="685"/>
      <c r="AC374" s="665"/>
      <c r="AD374" s="686"/>
    </row>
    <row r="375" spans="1:30" s="687" customFormat="1" ht="12.75" customHeight="1">
      <c r="A375" s="677"/>
      <c r="B375" s="677"/>
      <c r="C375" s="678"/>
      <c r="D375" s="678"/>
      <c r="E375" s="678"/>
      <c r="F375" s="678"/>
      <c r="G375" s="679"/>
      <c r="H375" s="679"/>
      <c r="I375" s="680"/>
      <c r="J375" s="681"/>
      <c r="K375" s="678"/>
      <c r="L375" s="665"/>
      <c r="M375" s="665"/>
      <c r="N375" s="688"/>
      <c r="O375" s="685"/>
      <c r="P375" s="685"/>
      <c r="Q375" s="678"/>
      <c r="R375" s="678"/>
      <c r="S375" s="661"/>
      <c r="T375" s="661"/>
      <c r="U375" s="661"/>
      <c r="V375" s="662">
        <f t="shared" si="16"/>
        <v>0</v>
      </c>
      <c r="W375" s="663"/>
      <c r="X375" s="664">
        <f t="shared" si="17"/>
        <v>0</v>
      </c>
      <c r="Y375" s="683"/>
      <c r="Z375" s="665"/>
      <c r="AA375" s="684"/>
      <c r="AB375" s="685"/>
      <c r="AC375" s="665"/>
      <c r="AD375" s="686"/>
    </row>
    <row r="376" spans="1:30" s="687" customFormat="1" ht="12.75" customHeight="1">
      <c r="A376" s="677"/>
      <c r="B376" s="677"/>
      <c r="C376" s="678"/>
      <c r="D376" s="678"/>
      <c r="E376" s="678"/>
      <c r="F376" s="678"/>
      <c r="G376" s="679"/>
      <c r="H376" s="679"/>
      <c r="I376" s="680"/>
      <c r="J376" s="681"/>
      <c r="K376" s="678"/>
      <c r="L376" s="665"/>
      <c r="M376" s="665"/>
      <c r="N376" s="688"/>
      <c r="O376" s="685"/>
      <c r="P376" s="685"/>
      <c r="Q376" s="678"/>
      <c r="R376" s="678"/>
      <c r="S376" s="661"/>
      <c r="T376" s="661"/>
      <c r="U376" s="661"/>
      <c r="V376" s="662">
        <f t="shared" si="16"/>
        <v>0</v>
      </c>
      <c r="W376" s="663"/>
      <c r="X376" s="664">
        <f t="shared" si="17"/>
        <v>0</v>
      </c>
      <c r="Y376" s="683"/>
      <c r="Z376" s="665"/>
      <c r="AA376" s="684"/>
      <c r="AB376" s="685"/>
      <c r="AC376" s="665"/>
      <c r="AD376" s="686"/>
    </row>
    <row r="377" spans="1:30" s="687" customFormat="1" ht="12.75" customHeight="1">
      <c r="A377" s="677"/>
      <c r="B377" s="677"/>
      <c r="C377" s="678"/>
      <c r="D377" s="678"/>
      <c r="E377" s="678"/>
      <c r="F377" s="678"/>
      <c r="G377" s="679"/>
      <c r="H377" s="679"/>
      <c r="I377" s="680"/>
      <c r="J377" s="681"/>
      <c r="K377" s="678"/>
      <c r="L377" s="665"/>
      <c r="M377" s="665"/>
      <c r="N377" s="688"/>
      <c r="O377" s="685"/>
      <c r="P377" s="685"/>
      <c r="Q377" s="678"/>
      <c r="R377" s="678"/>
      <c r="S377" s="661"/>
      <c r="T377" s="661"/>
      <c r="U377" s="661"/>
      <c r="V377" s="662">
        <f t="shared" si="16"/>
        <v>0</v>
      </c>
      <c r="W377" s="663"/>
      <c r="X377" s="664">
        <f t="shared" si="17"/>
        <v>0</v>
      </c>
      <c r="Y377" s="683"/>
      <c r="Z377" s="665"/>
      <c r="AA377" s="684"/>
      <c r="AB377" s="685"/>
      <c r="AC377" s="665"/>
      <c r="AD377" s="686"/>
    </row>
    <row r="378" spans="1:30" s="687" customFormat="1" ht="12.75" customHeight="1">
      <c r="A378" s="677"/>
      <c r="B378" s="677"/>
      <c r="C378" s="678"/>
      <c r="D378" s="678"/>
      <c r="E378" s="678"/>
      <c r="F378" s="678"/>
      <c r="G378" s="679"/>
      <c r="H378" s="679"/>
      <c r="I378" s="680"/>
      <c r="J378" s="681"/>
      <c r="K378" s="678"/>
      <c r="L378" s="665"/>
      <c r="M378" s="665"/>
      <c r="N378" s="688"/>
      <c r="O378" s="685"/>
      <c r="P378" s="685"/>
      <c r="Q378" s="678"/>
      <c r="R378" s="678"/>
      <c r="S378" s="661"/>
      <c r="T378" s="661"/>
      <c r="U378" s="661"/>
      <c r="V378" s="662">
        <f t="shared" si="16"/>
        <v>0</v>
      </c>
      <c r="W378" s="663"/>
      <c r="X378" s="664">
        <f t="shared" si="17"/>
        <v>0</v>
      </c>
      <c r="Y378" s="683"/>
      <c r="Z378" s="665"/>
      <c r="AA378" s="684"/>
      <c r="AB378" s="685"/>
      <c r="AC378" s="665"/>
      <c r="AD378" s="686"/>
    </row>
    <row r="379" spans="1:30" s="687" customFormat="1" ht="12.75" customHeight="1">
      <c r="A379" s="677"/>
      <c r="B379" s="677"/>
      <c r="C379" s="678"/>
      <c r="D379" s="678"/>
      <c r="E379" s="678"/>
      <c r="F379" s="678"/>
      <c r="G379" s="679"/>
      <c r="H379" s="679"/>
      <c r="I379" s="680"/>
      <c r="J379" s="681"/>
      <c r="K379" s="678"/>
      <c r="L379" s="665"/>
      <c r="M379" s="665"/>
      <c r="N379" s="688"/>
      <c r="O379" s="685"/>
      <c r="P379" s="685"/>
      <c r="Q379" s="678"/>
      <c r="R379" s="678"/>
      <c r="S379" s="661"/>
      <c r="T379" s="661"/>
      <c r="U379" s="661"/>
      <c r="V379" s="662">
        <f t="shared" ref="V379:V442" si="18">SUM(S379:U379)</f>
        <v>0</v>
      </c>
      <c r="W379" s="663"/>
      <c r="X379" s="664">
        <f t="shared" si="17"/>
        <v>0</v>
      </c>
      <c r="Y379" s="683"/>
      <c r="Z379" s="665"/>
      <c r="AA379" s="684"/>
      <c r="AB379" s="685"/>
      <c r="AC379" s="665"/>
      <c r="AD379" s="686"/>
    </row>
    <row r="380" spans="1:30" s="687" customFormat="1" ht="12.75" customHeight="1">
      <c r="A380" s="677"/>
      <c r="B380" s="677"/>
      <c r="C380" s="678"/>
      <c r="D380" s="678"/>
      <c r="E380" s="678"/>
      <c r="F380" s="678"/>
      <c r="G380" s="679"/>
      <c r="H380" s="679"/>
      <c r="I380" s="680"/>
      <c r="J380" s="681"/>
      <c r="K380" s="678"/>
      <c r="L380" s="665"/>
      <c r="M380" s="665"/>
      <c r="N380" s="688"/>
      <c r="O380" s="685"/>
      <c r="P380" s="685"/>
      <c r="Q380" s="678"/>
      <c r="R380" s="678"/>
      <c r="S380" s="661"/>
      <c r="T380" s="661"/>
      <c r="U380" s="661"/>
      <c r="V380" s="662">
        <f t="shared" si="18"/>
        <v>0</v>
      </c>
      <c r="W380" s="663"/>
      <c r="X380" s="664">
        <f t="shared" ref="X380:X443" si="19">V380*W380</f>
        <v>0</v>
      </c>
      <c r="Y380" s="683"/>
      <c r="Z380" s="665"/>
      <c r="AA380" s="684"/>
      <c r="AB380" s="685"/>
      <c r="AC380" s="665"/>
      <c r="AD380" s="686"/>
    </row>
    <row r="381" spans="1:30" s="687" customFormat="1" ht="12.75" customHeight="1">
      <c r="A381" s="677"/>
      <c r="B381" s="677"/>
      <c r="C381" s="678"/>
      <c r="D381" s="678"/>
      <c r="E381" s="678"/>
      <c r="F381" s="678"/>
      <c r="G381" s="679"/>
      <c r="H381" s="679"/>
      <c r="I381" s="680"/>
      <c r="J381" s="681"/>
      <c r="K381" s="678"/>
      <c r="L381" s="665"/>
      <c r="M381" s="665"/>
      <c r="N381" s="688"/>
      <c r="O381" s="685"/>
      <c r="P381" s="685"/>
      <c r="Q381" s="678"/>
      <c r="R381" s="678"/>
      <c r="S381" s="661"/>
      <c r="T381" s="661"/>
      <c r="U381" s="661"/>
      <c r="V381" s="662">
        <f t="shared" si="18"/>
        <v>0</v>
      </c>
      <c r="W381" s="663"/>
      <c r="X381" s="664">
        <f t="shared" si="19"/>
        <v>0</v>
      </c>
      <c r="Y381" s="683"/>
      <c r="Z381" s="665"/>
      <c r="AA381" s="684"/>
      <c r="AB381" s="685"/>
      <c r="AC381" s="665"/>
      <c r="AD381" s="686"/>
    </row>
    <row r="382" spans="1:30" s="687" customFormat="1" ht="12.75" customHeight="1">
      <c r="A382" s="677"/>
      <c r="B382" s="677"/>
      <c r="C382" s="678"/>
      <c r="D382" s="678"/>
      <c r="E382" s="678"/>
      <c r="F382" s="678"/>
      <c r="G382" s="679"/>
      <c r="H382" s="679"/>
      <c r="I382" s="680"/>
      <c r="J382" s="681"/>
      <c r="K382" s="678"/>
      <c r="L382" s="665"/>
      <c r="M382" s="665"/>
      <c r="N382" s="688"/>
      <c r="O382" s="685"/>
      <c r="P382" s="685"/>
      <c r="Q382" s="678"/>
      <c r="R382" s="678"/>
      <c r="S382" s="661"/>
      <c r="T382" s="661"/>
      <c r="U382" s="661"/>
      <c r="V382" s="662">
        <f t="shared" si="18"/>
        <v>0</v>
      </c>
      <c r="W382" s="663"/>
      <c r="X382" s="664">
        <f t="shared" si="19"/>
        <v>0</v>
      </c>
      <c r="Y382" s="683"/>
      <c r="Z382" s="665"/>
      <c r="AA382" s="684"/>
      <c r="AB382" s="685"/>
      <c r="AC382" s="665"/>
      <c r="AD382" s="686"/>
    </row>
    <row r="383" spans="1:30" s="687" customFormat="1" ht="12.75" customHeight="1">
      <c r="A383" s="677"/>
      <c r="B383" s="677"/>
      <c r="C383" s="678"/>
      <c r="D383" s="678"/>
      <c r="E383" s="678"/>
      <c r="F383" s="678"/>
      <c r="G383" s="679"/>
      <c r="H383" s="679"/>
      <c r="I383" s="680"/>
      <c r="J383" s="681"/>
      <c r="K383" s="678"/>
      <c r="L383" s="665"/>
      <c r="M383" s="665"/>
      <c r="N383" s="688"/>
      <c r="O383" s="685"/>
      <c r="P383" s="685"/>
      <c r="Q383" s="678"/>
      <c r="R383" s="678"/>
      <c r="S383" s="661"/>
      <c r="T383" s="661"/>
      <c r="U383" s="661"/>
      <c r="V383" s="662">
        <f t="shared" si="18"/>
        <v>0</v>
      </c>
      <c r="W383" s="663"/>
      <c r="X383" s="664">
        <f t="shared" si="19"/>
        <v>0</v>
      </c>
      <c r="Y383" s="683"/>
      <c r="Z383" s="665"/>
      <c r="AA383" s="684"/>
      <c r="AB383" s="685"/>
      <c r="AC383" s="665"/>
      <c r="AD383" s="686"/>
    </row>
    <row r="384" spans="1:30" s="687" customFormat="1" ht="12.75" customHeight="1">
      <c r="A384" s="677"/>
      <c r="B384" s="677"/>
      <c r="C384" s="678"/>
      <c r="D384" s="678"/>
      <c r="E384" s="678"/>
      <c r="F384" s="678"/>
      <c r="G384" s="679"/>
      <c r="H384" s="679"/>
      <c r="I384" s="680"/>
      <c r="J384" s="681"/>
      <c r="K384" s="678"/>
      <c r="L384" s="665"/>
      <c r="M384" s="665"/>
      <c r="N384" s="688"/>
      <c r="O384" s="685"/>
      <c r="P384" s="685"/>
      <c r="Q384" s="678"/>
      <c r="R384" s="678"/>
      <c r="S384" s="661"/>
      <c r="T384" s="661"/>
      <c r="U384" s="661"/>
      <c r="V384" s="662">
        <f t="shared" si="18"/>
        <v>0</v>
      </c>
      <c r="W384" s="663"/>
      <c r="X384" s="664">
        <f t="shared" si="19"/>
        <v>0</v>
      </c>
      <c r="Y384" s="683"/>
      <c r="Z384" s="665"/>
      <c r="AA384" s="684"/>
      <c r="AB384" s="685"/>
      <c r="AC384" s="665"/>
      <c r="AD384" s="686"/>
    </row>
    <row r="385" spans="1:30" s="687" customFormat="1" ht="12.75" customHeight="1">
      <c r="A385" s="677"/>
      <c r="B385" s="677"/>
      <c r="C385" s="678"/>
      <c r="D385" s="678"/>
      <c r="E385" s="678"/>
      <c r="F385" s="678"/>
      <c r="G385" s="679"/>
      <c r="H385" s="679"/>
      <c r="I385" s="680"/>
      <c r="J385" s="681"/>
      <c r="K385" s="678"/>
      <c r="L385" s="665"/>
      <c r="M385" s="665"/>
      <c r="N385" s="688"/>
      <c r="O385" s="685"/>
      <c r="P385" s="685"/>
      <c r="Q385" s="678"/>
      <c r="R385" s="678"/>
      <c r="S385" s="661"/>
      <c r="T385" s="661"/>
      <c r="U385" s="661"/>
      <c r="V385" s="662">
        <f t="shared" si="18"/>
        <v>0</v>
      </c>
      <c r="W385" s="663"/>
      <c r="X385" s="664">
        <f t="shared" si="19"/>
        <v>0</v>
      </c>
      <c r="Y385" s="683"/>
      <c r="Z385" s="665"/>
      <c r="AA385" s="684"/>
      <c r="AB385" s="685"/>
      <c r="AC385" s="665"/>
      <c r="AD385" s="686"/>
    </row>
    <row r="386" spans="1:30" s="687" customFormat="1" ht="12.75" customHeight="1">
      <c r="A386" s="677"/>
      <c r="B386" s="677"/>
      <c r="C386" s="678"/>
      <c r="D386" s="678"/>
      <c r="E386" s="678"/>
      <c r="F386" s="678"/>
      <c r="G386" s="679"/>
      <c r="H386" s="679"/>
      <c r="I386" s="680"/>
      <c r="J386" s="681"/>
      <c r="K386" s="678"/>
      <c r="L386" s="665"/>
      <c r="M386" s="665"/>
      <c r="N386" s="688"/>
      <c r="O386" s="685"/>
      <c r="P386" s="685"/>
      <c r="Q386" s="678"/>
      <c r="R386" s="678"/>
      <c r="S386" s="661"/>
      <c r="T386" s="661"/>
      <c r="U386" s="661"/>
      <c r="V386" s="662">
        <f t="shared" si="18"/>
        <v>0</v>
      </c>
      <c r="W386" s="663"/>
      <c r="X386" s="664">
        <f t="shared" si="19"/>
        <v>0</v>
      </c>
      <c r="Y386" s="683"/>
      <c r="Z386" s="665"/>
      <c r="AA386" s="684"/>
      <c r="AB386" s="685"/>
      <c r="AC386" s="665"/>
      <c r="AD386" s="686"/>
    </row>
    <row r="387" spans="1:30" s="687" customFormat="1" ht="12.75" customHeight="1">
      <c r="A387" s="677"/>
      <c r="B387" s="677"/>
      <c r="C387" s="678"/>
      <c r="D387" s="678"/>
      <c r="E387" s="678"/>
      <c r="F387" s="678"/>
      <c r="G387" s="679"/>
      <c r="H387" s="679"/>
      <c r="I387" s="680"/>
      <c r="J387" s="681"/>
      <c r="K387" s="678"/>
      <c r="L387" s="665"/>
      <c r="M387" s="665"/>
      <c r="N387" s="688"/>
      <c r="O387" s="685"/>
      <c r="P387" s="685"/>
      <c r="Q387" s="678"/>
      <c r="R387" s="678"/>
      <c r="S387" s="661"/>
      <c r="T387" s="661"/>
      <c r="U387" s="661"/>
      <c r="V387" s="662">
        <f t="shared" si="18"/>
        <v>0</v>
      </c>
      <c r="W387" s="663"/>
      <c r="X387" s="664">
        <f t="shared" si="19"/>
        <v>0</v>
      </c>
      <c r="Y387" s="683"/>
      <c r="Z387" s="665"/>
      <c r="AA387" s="684"/>
      <c r="AB387" s="685"/>
      <c r="AC387" s="665"/>
      <c r="AD387" s="686"/>
    </row>
    <row r="388" spans="1:30" s="687" customFormat="1" ht="12.75" customHeight="1">
      <c r="A388" s="677"/>
      <c r="B388" s="677"/>
      <c r="C388" s="678"/>
      <c r="D388" s="678"/>
      <c r="E388" s="678"/>
      <c r="F388" s="678"/>
      <c r="G388" s="679"/>
      <c r="H388" s="679"/>
      <c r="I388" s="680"/>
      <c r="J388" s="681"/>
      <c r="K388" s="678"/>
      <c r="L388" s="665"/>
      <c r="M388" s="665"/>
      <c r="N388" s="688"/>
      <c r="O388" s="685"/>
      <c r="P388" s="685"/>
      <c r="Q388" s="678"/>
      <c r="R388" s="678"/>
      <c r="S388" s="661"/>
      <c r="T388" s="661"/>
      <c r="U388" s="661"/>
      <c r="V388" s="662">
        <f t="shared" si="18"/>
        <v>0</v>
      </c>
      <c r="W388" s="663"/>
      <c r="X388" s="664">
        <f t="shared" si="19"/>
        <v>0</v>
      </c>
      <c r="Y388" s="683"/>
      <c r="Z388" s="665"/>
      <c r="AA388" s="684"/>
      <c r="AB388" s="685"/>
      <c r="AC388" s="665"/>
      <c r="AD388" s="686"/>
    </row>
    <row r="389" spans="1:30" s="687" customFormat="1" ht="12.75" customHeight="1">
      <c r="A389" s="677"/>
      <c r="B389" s="677"/>
      <c r="C389" s="678"/>
      <c r="D389" s="678"/>
      <c r="E389" s="678"/>
      <c r="F389" s="678"/>
      <c r="G389" s="679"/>
      <c r="H389" s="679"/>
      <c r="I389" s="680"/>
      <c r="J389" s="681"/>
      <c r="K389" s="678"/>
      <c r="L389" s="665"/>
      <c r="M389" s="665"/>
      <c r="N389" s="688"/>
      <c r="O389" s="685"/>
      <c r="P389" s="685"/>
      <c r="Q389" s="678"/>
      <c r="R389" s="678"/>
      <c r="S389" s="661"/>
      <c r="T389" s="661"/>
      <c r="U389" s="661"/>
      <c r="V389" s="662">
        <f t="shared" si="18"/>
        <v>0</v>
      </c>
      <c r="W389" s="663"/>
      <c r="X389" s="664">
        <f t="shared" si="19"/>
        <v>0</v>
      </c>
      <c r="Y389" s="683"/>
      <c r="Z389" s="665"/>
      <c r="AA389" s="684"/>
      <c r="AB389" s="685"/>
      <c r="AC389" s="665"/>
      <c r="AD389" s="686"/>
    </row>
    <row r="390" spans="1:30" s="687" customFormat="1" ht="12.75" customHeight="1">
      <c r="A390" s="677"/>
      <c r="B390" s="677"/>
      <c r="C390" s="678"/>
      <c r="D390" s="678"/>
      <c r="E390" s="678"/>
      <c r="F390" s="678"/>
      <c r="G390" s="679"/>
      <c r="H390" s="679"/>
      <c r="I390" s="680"/>
      <c r="J390" s="681"/>
      <c r="K390" s="678"/>
      <c r="L390" s="665"/>
      <c r="M390" s="665"/>
      <c r="N390" s="688"/>
      <c r="O390" s="685"/>
      <c r="P390" s="685"/>
      <c r="Q390" s="678"/>
      <c r="R390" s="678"/>
      <c r="S390" s="661"/>
      <c r="T390" s="661"/>
      <c r="U390" s="661"/>
      <c r="V390" s="662">
        <f t="shared" si="18"/>
        <v>0</v>
      </c>
      <c r="W390" s="663"/>
      <c r="X390" s="664">
        <f t="shared" si="19"/>
        <v>0</v>
      </c>
      <c r="Y390" s="683"/>
      <c r="Z390" s="665"/>
      <c r="AA390" s="684"/>
      <c r="AB390" s="685"/>
      <c r="AC390" s="665"/>
      <c r="AD390" s="686"/>
    </row>
    <row r="391" spans="1:30" s="687" customFormat="1" ht="12.75" customHeight="1">
      <c r="A391" s="677"/>
      <c r="B391" s="677"/>
      <c r="C391" s="678"/>
      <c r="D391" s="678"/>
      <c r="E391" s="678"/>
      <c r="F391" s="678"/>
      <c r="G391" s="679"/>
      <c r="H391" s="679"/>
      <c r="I391" s="680"/>
      <c r="J391" s="681"/>
      <c r="K391" s="678"/>
      <c r="L391" s="665"/>
      <c r="M391" s="665"/>
      <c r="N391" s="688"/>
      <c r="O391" s="685"/>
      <c r="P391" s="685"/>
      <c r="Q391" s="678"/>
      <c r="R391" s="678"/>
      <c r="S391" s="661"/>
      <c r="T391" s="661"/>
      <c r="U391" s="661"/>
      <c r="V391" s="662">
        <f t="shared" si="18"/>
        <v>0</v>
      </c>
      <c r="W391" s="663"/>
      <c r="X391" s="664">
        <f t="shared" si="19"/>
        <v>0</v>
      </c>
      <c r="Y391" s="683"/>
      <c r="Z391" s="665"/>
      <c r="AA391" s="684"/>
      <c r="AB391" s="685"/>
      <c r="AC391" s="665"/>
      <c r="AD391" s="686"/>
    </row>
    <row r="392" spans="1:30" s="687" customFormat="1" ht="12.75" customHeight="1">
      <c r="A392" s="677"/>
      <c r="B392" s="677"/>
      <c r="C392" s="678"/>
      <c r="D392" s="678"/>
      <c r="E392" s="678"/>
      <c r="F392" s="678"/>
      <c r="G392" s="679"/>
      <c r="H392" s="679"/>
      <c r="I392" s="680"/>
      <c r="J392" s="681"/>
      <c r="K392" s="678"/>
      <c r="L392" s="665"/>
      <c r="M392" s="665"/>
      <c r="N392" s="688"/>
      <c r="O392" s="685"/>
      <c r="P392" s="685"/>
      <c r="Q392" s="678"/>
      <c r="R392" s="678"/>
      <c r="S392" s="661"/>
      <c r="T392" s="661"/>
      <c r="U392" s="661"/>
      <c r="V392" s="662">
        <f t="shared" si="18"/>
        <v>0</v>
      </c>
      <c r="W392" s="663"/>
      <c r="X392" s="664">
        <f t="shared" si="19"/>
        <v>0</v>
      </c>
      <c r="Y392" s="683"/>
      <c r="Z392" s="665"/>
      <c r="AA392" s="684"/>
      <c r="AB392" s="685"/>
      <c r="AC392" s="665"/>
      <c r="AD392" s="686"/>
    </row>
    <row r="393" spans="1:30" s="687" customFormat="1" ht="12.75" customHeight="1">
      <c r="A393" s="677"/>
      <c r="B393" s="677"/>
      <c r="C393" s="678"/>
      <c r="D393" s="678"/>
      <c r="E393" s="678"/>
      <c r="F393" s="678"/>
      <c r="G393" s="679"/>
      <c r="H393" s="679"/>
      <c r="I393" s="680"/>
      <c r="J393" s="681"/>
      <c r="K393" s="678"/>
      <c r="L393" s="665"/>
      <c r="M393" s="665"/>
      <c r="N393" s="688"/>
      <c r="O393" s="685"/>
      <c r="P393" s="685"/>
      <c r="Q393" s="678"/>
      <c r="R393" s="678"/>
      <c r="S393" s="661"/>
      <c r="T393" s="661"/>
      <c r="U393" s="661"/>
      <c r="V393" s="662">
        <f t="shared" si="18"/>
        <v>0</v>
      </c>
      <c r="W393" s="663"/>
      <c r="X393" s="664">
        <f t="shared" si="19"/>
        <v>0</v>
      </c>
      <c r="Y393" s="683"/>
      <c r="Z393" s="665"/>
      <c r="AA393" s="684"/>
      <c r="AB393" s="685"/>
      <c r="AC393" s="665"/>
      <c r="AD393" s="686"/>
    </row>
    <row r="394" spans="1:30" s="687" customFormat="1" ht="12.75" customHeight="1">
      <c r="A394" s="677"/>
      <c r="B394" s="677"/>
      <c r="C394" s="678"/>
      <c r="D394" s="678"/>
      <c r="E394" s="678"/>
      <c r="F394" s="678"/>
      <c r="G394" s="679"/>
      <c r="H394" s="679"/>
      <c r="I394" s="680"/>
      <c r="J394" s="681"/>
      <c r="K394" s="678"/>
      <c r="L394" s="665"/>
      <c r="M394" s="665"/>
      <c r="N394" s="688"/>
      <c r="O394" s="685"/>
      <c r="P394" s="685"/>
      <c r="Q394" s="678"/>
      <c r="R394" s="678"/>
      <c r="S394" s="661"/>
      <c r="T394" s="661"/>
      <c r="U394" s="661"/>
      <c r="V394" s="662">
        <f t="shared" si="18"/>
        <v>0</v>
      </c>
      <c r="W394" s="663"/>
      <c r="X394" s="664">
        <f t="shared" si="19"/>
        <v>0</v>
      </c>
      <c r="Y394" s="683"/>
      <c r="Z394" s="665"/>
      <c r="AA394" s="684"/>
      <c r="AB394" s="685"/>
      <c r="AC394" s="665"/>
      <c r="AD394" s="686"/>
    </row>
    <row r="395" spans="1:30" s="687" customFormat="1" ht="12.75" customHeight="1">
      <c r="A395" s="677"/>
      <c r="B395" s="677"/>
      <c r="C395" s="678"/>
      <c r="D395" s="678"/>
      <c r="E395" s="678"/>
      <c r="F395" s="678"/>
      <c r="G395" s="679"/>
      <c r="H395" s="679"/>
      <c r="I395" s="680"/>
      <c r="J395" s="681"/>
      <c r="K395" s="678"/>
      <c r="L395" s="665"/>
      <c r="M395" s="665"/>
      <c r="N395" s="688"/>
      <c r="O395" s="685"/>
      <c r="P395" s="685"/>
      <c r="Q395" s="678"/>
      <c r="R395" s="678"/>
      <c r="S395" s="661"/>
      <c r="T395" s="661"/>
      <c r="U395" s="661"/>
      <c r="V395" s="662">
        <f t="shared" si="18"/>
        <v>0</v>
      </c>
      <c r="W395" s="663"/>
      <c r="X395" s="664">
        <f t="shared" si="19"/>
        <v>0</v>
      </c>
      <c r="Y395" s="683"/>
      <c r="Z395" s="665"/>
      <c r="AA395" s="684"/>
      <c r="AB395" s="685"/>
      <c r="AC395" s="665"/>
      <c r="AD395" s="686"/>
    </row>
    <row r="396" spans="1:30" s="687" customFormat="1" ht="12.75" customHeight="1">
      <c r="A396" s="677"/>
      <c r="B396" s="677"/>
      <c r="C396" s="678"/>
      <c r="D396" s="678"/>
      <c r="E396" s="678"/>
      <c r="F396" s="678"/>
      <c r="G396" s="679"/>
      <c r="H396" s="679"/>
      <c r="I396" s="680"/>
      <c r="J396" s="681"/>
      <c r="K396" s="678"/>
      <c r="L396" s="665"/>
      <c r="M396" s="665"/>
      <c r="N396" s="688"/>
      <c r="O396" s="685"/>
      <c r="P396" s="685"/>
      <c r="Q396" s="678"/>
      <c r="R396" s="678"/>
      <c r="S396" s="661"/>
      <c r="T396" s="661"/>
      <c r="U396" s="661"/>
      <c r="V396" s="662">
        <f t="shared" si="18"/>
        <v>0</v>
      </c>
      <c r="W396" s="663"/>
      <c r="X396" s="664">
        <f t="shared" si="19"/>
        <v>0</v>
      </c>
      <c r="Y396" s="683"/>
      <c r="Z396" s="665"/>
      <c r="AA396" s="684"/>
      <c r="AB396" s="685"/>
      <c r="AC396" s="665"/>
      <c r="AD396" s="686"/>
    </row>
    <row r="397" spans="1:30" s="687" customFormat="1" ht="12.75" customHeight="1">
      <c r="A397" s="677"/>
      <c r="B397" s="677"/>
      <c r="C397" s="678"/>
      <c r="D397" s="678"/>
      <c r="E397" s="678"/>
      <c r="F397" s="678"/>
      <c r="G397" s="679"/>
      <c r="H397" s="679"/>
      <c r="I397" s="680"/>
      <c r="J397" s="681"/>
      <c r="K397" s="678"/>
      <c r="L397" s="665"/>
      <c r="M397" s="665"/>
      <c r="N397" s="688"/>
      <c r="O397" s="685"/>
      <c r="P397" s="685"/>
      <c r="Q397" s="678"/>
      <c r="R397" s="678"/>
      <c r="S397" s="661"/>
      <c r="T397" s="661"/>
      <c r="U397" s="661"/>
      <c r="V397" s="662">
        <f t="shared" si="18"/>
        <v>0</v>
      </c>
      <c r="W397" s="663"/>
      <c r="X397" s="664">
        <f t="shared" si="19"/>
        <v>0</v>
      </c>
      <c r="Y397" s="683"/>
      <c r="Z397" s="665"/>
      <c r="AA397" s="684"/>
      <c r="AB397" s="685"/>
      <c r="AC397" s="665"/>
      <c r="AD397" s="686"/>
    </row>
    <row r="398" spans="1:30" s="687" customFormat="1" ht="12.75" customHeight="1">
      <c r="A398" s="677"/>
      <c r="B398" s="677"/>
      <c r="C398" s="678"/>
      <c r="D398" s="678"/>
      <c r="E398" s="678"/>
      <c r="F398" s="678"/>
      <c r="G398" s="679"/>
      <c r="H398" s="679"/>
      <c r="I398" s="680"/>
      <c r="J398" s="681"/>
      <c r="K398" s="678"/>
      <c r="L398" s="665"/>
      <c r="M398" s="665"/>
      <c r="N398" s="688"/>
      <c r="O398" s="685"/>
      <c r="P398" s="685"/>
      <c r="Q398" s="678"/>
      <c r="R398" s="678"/>
      <c r="S398" s="661"/>
      <c r="T398" s="661"/>
      <c r="U398" s="661"/>
      <c r="V398" s="662">
        <f t="shared" si="18"/>
        <v>0</v>
      </c>
      <c r="W398" s="663"/>
      <c r="X398" s="664">
        <f t="shared" si="19"/>
        <v>0</v>
      </c>
      <c r="Y398" s="683"/>
      <c r="Z398" s="665"/>
      <c r="AA398" s="684"/>
      <c r="AB398" s="685"/>
      <c r="AC398" s="665"/>
      <c r="AD398" s="686"/>
    </row>
    <row r="399" spans="1:30" s="687" customFormat="1" ht="12.75" customHeight="1">
      <c r="A399" s="677"/>
      <c r="B399" s="677"/>
      <c r="C399" s="678"/>
      <c r="D399" s="678"/>
      <c r="E399" s="678"/>
      <c r="F399" s="678"/>
      <c r="G399" s="679"/>
      <c r="H399" s="679"/>
      <c r="I399" s="680"/>
      <c r="J399" s="681"/>
      <c r="K399" s="678"/>
      <c r="L399" s="665"/>
      <c r="M399" s="665"/>
      <c r="N399" s="688"/>
      <c r="O399" s="685"/>
      <c r="P399" s="685"/>
      <c r="Q399" s="678"/>
      <c r="R399" s="678"/>
      <c r="S399" s="661"/>
      <c r="T399" s="661"/>
      <c r="U399" s="661"/>
      <c r="V399" s="662">
        <f t="shared" si="18"/>
        <v>0</v>
      </c>
      <c r="W399" s="663"/>
      <c r="X399" s="664">
        <f t="shared" si="19"/>
        <v>0</v>
      </c>
      <c r="Y399" s="683"/>
      <c r="Z399" s="665"/>
      <c r="AA399" s="684"/>
      <c r="AB399" s="685"/>
      <c r="AC399" s="665"/>
      <c r="AD399" s="686"/>
    </row>
    <row r="400" spans="1:30" s="687" customFormat="1" ht="12.75" customHeight="1">
      <c r="A400" s="677"/>
      <c r="B400" s="677"/>
      <c r="C400" s="678"/>
      <c r="D400" s="678"/>
      <c r="E400" s="678"/>
      <c r="F400" s="678"/>
      <c r="G400" s="679"/>
      <c r="H400" s="679"/>
      <c r="I400" s="680"/>
      <c r="J400" s="681"/>
      <c r="K400" s="678"/>
      <c r="L400" s="665"/>
      <c r="M400" s="665"/>
      <c r="N400" s="688"/>
      <c r="O400" s="685"/>
      <c r="P400" s="685"/>
      <c r="Q400" s="678"/>
      <c r="R400" s="678"/>
      <c r="S400" s="661"/>
      <c r="T400" s="661"/>
      <c r="U400" s="661"/>
      <c r="V400" s="662">
        <f t="shared" si="18"/>
        <v>0</v>
      </c>
      <c r="W400" s="663"/>
      <c r="X400" s="664">
        <f t="shared" si="19"/>
        <v>0</v>
      </c>
      <c r="Y400" s="683"/>
      <c r="Z400" s="665"/>
      <c r="AA400" s="684"/>
      <c r="AB400" s="685"/>
      <c r="AC400" s="665"/>
      <c r="AD400" s="686"/>
    </row>
    <row r="401" spans="1:30" s="687" customFormat="1" ht="12.75" customHeight="1">
      <c r="A401" s="677"/>
      <c r="B401" s="677"/>
      <c r="C401" s="678"/>
      <c r="D401" s="678"/>
      <c r="E401" s="678"/>
      <c r="F401" s="678"/>
      <c r="G401" s="679"/>
      <c r="H401" s="679"/>
      <c r="I401" s="680"/>
      <c r="J401" s="681"/>
      <c r="K401" s="678"/>
      <c r="L401" s="665"/>
      <c r="M401" s="665"/>
      <c r="N401" s="688"/>
      <c r="O401" s="685"/>
      <c r="P401" s="685"/>
      <c r="Q401" s="678"/>
      <c r="R401" s="678"/>
      <c r="S401" s="661"/>
      <c r="T401" s="661"/>
      <c r="U401" s="661"/>
      <c r="V401" s="662">
        <f t="shared" si="18"/>
        <v>0</v>
      </c>
      <c r="W401" s="663"/>
      <c r="X401" s="664">
        <f t="shared" si="19"/>
        <v>0</v>
      </c>
      <c r="Y401" s="683"/>
      <c r="Z401" s="665"/>
      <c r="AA401" s="684"/>
      <c r="AB401" s="685"/>
      <c r="AC401" s="665"/>
      <c r="AD401" s="686"/>
    </row>
    <row r="402" spans="1:30" s="687" customFormat="1" ht="12.75" customHeight="1">
      <c r="A402" s="677"/>
      <c r="B402" s="677"/>
      <c r="C402" s="678"/>
      <c r="D402" s="678"/>
      <c r="E402" s="678"/>
      <c r="F402" s="678"/>
      <c r="G402" s="679"/>
      <c r="H402" s="679"/>
      <c r="I402" s="680"/>
      <c r="J402" s="681"/>
      <c r="K402" s="678"/>
      <c r="L402" s="665"/>
      <c r="M402" s="665"/>
      <c r="N402" s="688"/>
      <c r="O402" s="685"/>
      <c r="P402" s="685"/>
      <c r="Q402" s="678"/>
      <c r="R402" s="678"/>
      <c r="S402" s="661"/>
      <c r="T402" s="661"/>
      <c r="U402" s="661"/>
      <c r="V402" s="662">
        <f t="shared" si="18"/>
        <v>0</v>
      </c>
      <c r="W402" s="663"/>
      <c r="X402" s="664">
        <f t="shared" si="19"/>
        <v>0</v>
      </c>
      <c r="Y402" s="683"/>
      <c r="Z402" s="665"/>
      <c r="AA402" s="684"/>
      <c r="AB402" s="685"/>
      <c r="AC402" s="665"/>
      <c r="AD402" s="686"/>
    </row>
    <row r="403" spans="1:30" s="687" customFormat="1" ht="12.75" customHeight="1">
      <c r="A403" s="677"/>
      <c r="B403" s="677"/>
      <c r="C403" s="678"/>
      <c r="D403" s="678"/>
      <c r="E403" s="678"/>
      <c r="F403" s="678"/>
      <c r="G403" s="679"/>
      <c r="H403" s="679"/>
      <c r="I403" s="680"/>
      <c r="J403" s="681"/>
      <c r="K403" s="678"/>
      <c r="L403" s="665"/>
      <c r="M403" s="665"/>
      <c r="N403" s="688"/>
      <c r="O403" s="685"/>
      <c r="P403" s="685"/>
      <c r="Q403" s="678"/>
      <c r="R403" s="678"/>
      <c r="S403" s="661"/>
      <c r="T403" s="661"/>
      <c r="U403" s="661"/>
      <c r="V403" s="662">
        <f t="shared" si="18"/>
        <v>0</v>
      </c>
      <c r="W403" s="663"/>
      <c r="X403" s="664">
        <f t="shared" si="19"/>
        <v>0</v>
      </c>
      <c r="Y403" s="683"/>
      <c r="Z403" s="665"/>
      <c r="AA403" s="684"/>
      <c r="AB403" s="685"/>
      <c r="AC403" s="665"/>
      <c r="AD403" s="686"/>
    </row>
    <row r="404" spans="1:30" s="687" customFormat="1" ht="12.75" customHeight="1">
      <c r="A404" s="677"/>
      <c r="B404" s="677"/>
      <c r="C404" s="678"/>
      <c r="D404" s="678"/>
      <c r="E404" s="678"/>
      <c r="F404" s="678"/>
      <c r="G404" s="679"/>
      <c r="H404" s="679"/>
      <c r="I404" s="680"/>
      <c r="J404" s="681"/>
      <c r="K404" s="678"/>
      <c r="L404" s="665"/>
      <c r="M404" s="665"/>
      <c r="N404" s="688"/>
      <c r="O404" s="685"/>
      <c r="P404" s="685"/>
      <c r="Q404" s="678"/>
      <c r="R404" s="678"/>
      <c r="S404" s="661"/>
      <c r="T404" s="661"/>
      <c r="U404" s="661"/>
      <c r="V404" s="662">
        <f t="shared" si="18"/>
        <v>0</v>
      </c>
      <c r="W404" s="663"/>
      <c r="X404" s="664">
        <f t="shared" si="19"/>
        <v>0</v>
      </c>
      <c r="Y404" s="683"/>
      <c r="Z404" s="665"/>
      <c r="AA404" s="684"/>
      <c r="AB404" s="685"/>
      <c r="AC404" s="665"/>
      <c r="AD404" s="686"/>
    </row>
    <row r="405" spans="1:30" s="687" customFormat="1" ht="12.75" customHeight="1">
      <c r="A405" s="677"/>
      <c r="B405" s="677"/>
      <c r="C405" s="678"/>
      <c r="D405" s="678"/>
      <c r="E405" s="678"/>
      <c r="F405" s="678"/>
      <c r="G405" s="679"/>
      <c r="H405" s="679"/>
      <c r="I405" s="680"/>
      <c r="J405" s="681"/>
      <c r="K405" s="678"/>
      <c r="L405" s="665"/>
      <c r="M405" s="665"/>
      <c r="N405" s="688"/>
      <c r="O405" s="685"/>
      <c r="P405" s="685"/>
      <c r="Q405" s="678"/>
      <c r="R405" s="678"/>
      <c r="S405" s="661"/>
      <c r="T405" s="661"/>
      <c r="U405" s="661"/>
      <c r="V405" s="662">
        <f t="shared" si="18"/>
        <v>0</v>
      </c>
      <c r="W405" s="663"/>
      <c r="X405" s="664">
        <f t="shared" si="19"/>
        <v>0</v>
      </c>
      <c r="Y405" s="683"/>
      <c r="Z405" s="665"/>
      <c r="AA405" s="684"/>
      <c r="AB405" s="685"/>
      <c r="AC405" s="665"/>
      <c r="AD405" s="686"/>
    </row>
    <row r="406" spans="1:30" s="687" customFormat="1" ht="12.75" customHeight="1">
      <c r="A406" s="677"/>
      <c r="B406" s="677"/>
      <c r="C406" s="678"/>
      <c r="D406" s="678"/>
      <c r="E406" s="678"/>
      <c r="F406" s="678"/>
      <c r="G406" s="679"/>
      <c r="H406" s="679"/>
      <c r="I406" s="680"/>
      <c r="J406" s="681"/>
      <c r="K406" s="678"/>
      <c r="L406" s="665"/>
      <c r="M406" s="665"/>
      <c r="N406" s="688"/>
      <c r="O406" s="685"/>
      <c r="P406" s="685"/>
      <c r="Q406" s="678"/>
      <c r="R406" s="678"/>
      <c r="S406" s="661"/>
      <c r="T406" s="661"/>
      <c r="U406" s="661"/>
      <c r="V406" s="662">
        <f t="shared" si="18"/>
        <v>0</v>
      </c>
      <c r="W406" s="663"/>
      <c r="X406" s="664">
        <f t="shared" si="19"/>
        <v>0</v>
      </c>
      <c r="Y406" s="683"/>
      <c r="Z406" s="665"/>
      <c r="AA406" s="684"/>
      <c r="AB406" s="685"/>
      <c r="AC406" s="665"/>
      <c r="AD406" s="686"/>
    </row>
    <row r="407" spans="1:30" s="687" customFormat="1" ht="12.75" customHeight="1">
      <c r="A407" s="677"/>
      <c r="B407" s="677"/>
      <c r="C407" s="678"/>
      <c r="D407" s="678"/>
      <c r="E407" s="678"/>
      <c r="F407" s="678"/>
      <c r="G407" s="679"/>
      <c r="H407" s="679"/>
      <c r="I407" s="680"/>
      <c r="J407" s="681"/>
      <c r="K407" s="678"/>
      <c r="L407" s="665"/>
      <c r="M407" s="665"/>
      <c r="N407" s="688"/>
      <c r="O407" s="685"/>
      <c r="P407" s="685"/>
      <c r="Q407" s="678"/>
      <c r="R407" s="678"/>
      <c r="S407" s="661"/>
      <c r="T407" s="661"/>
      <c r="U407" s="661"/>
      <c r="V407" s="662">
        <f t="shared" si="18"/>
        <v>0</v>
      </c>
      <c r="W407" s="663"/>
      <c r="X407" s="664">
        <f t="shared" si="19"/>
        <v>0</v>
      </c>
      <c r="Y407" s="683"/>
      <c r="Z407" s="665"/>
      <c r="AA407" s="684"/>
      <c r="AB407" s="685"/>
      <c r="AC407" s="665"/>
      <c r="AD407" s="686"/>
    </row>
    <row r="408" spans="1:30" s="687" customFormat="1" ht="12.75" customHeight="1">
      <c r="A408" s="677"/>
      <c r="B408" s="677"/>
      <c r="C408" s="678"/>
      <c r="D408" s="678"/>
      <c r="E408" s="678"/>
      <c r="F408" s="678"/>
      <c r="G408" s="679"/>
      <c r="H408" s="679"/>
      <c r="I408" s="680"/>
      <c r="J408" s="681"/>
      <c r="K408" s="678"/>
      <c r="L408" s="665"/>
      <c r="M408" s="665"/>
      <c r="N408" s="688"/>
      <c r="O408" s="685"/>
      <c r="P408" s="685"/>
      <c r="Q408" s="678"/>
      <c r="R408" s="678"/>
      <c r="S408" s="661"/>
      <c r="T408" s="661"/>
      <c r="U408" s="661"/>
      <c r="V408" s="662">
        <f t="shared" si="18"/>
        <v>0</v>
      </c>
      <c r="W408" s="663"/>
      <c r="X408" s="664">
        <f t="shared" si="19"/>
        <v>0</v>
      </c>
      <c r="Y408" s="683"/>
      <c r="Z408" s="665"/>
      <c r="AA408" s="684"/>
      <c r="AB408" s="685"/>
      <c r="AC408" s="665"/>
      <c r="AD408" s="686"/>
    </row>
    <row r="409" spans="1:30" s="687" customFormat="1" ht="12.75" customHeight="1">
      <c r="A409" s="677"/>
      <c r="B409" s="677"/>
      <c r="C409" s="678"/>
      <c r="D409" s="678"/>
      <c r="E409" s="678"/>
      <c r="F409" s="678"/>
      <c r="G409" s="679"/>
      <c r="H409" s="679"/>
      <c r="I409" s="680"/>
      <c r="J409" s="681"/>
      <c r="K409" s="678"/>
      <c r="L409" s="665"/>
      <c r="M409" s="665"/>
      <c r="N409" s="688"/>
      <c r="O409" s="685"/>
      <c r="P409" s="685"/>
      <c r="Q409" s="678"/>
      <c r="R409" s="678"/>
      <c r="S409" s="661"/>
      <c r="T409" s="661"/>
      <c r="U409" s="661"/>
      <c r="V409" s="662">
        <f t="shared" si="18"/>
        <v>0</v>
      </c>
      <c r="W409" s="663"/>
      <c r="X409" s="664">
        <f t="shared" si="19"/>
        <v>0</v>
      </c>
      <c r="Y409" s="683"/>
      <c r="Z409" s="665"/>
      <c r="AA409" s="684"/>
      <c r="AB409" s="685"/>
      <c r="AC409" s="665"/>
      <c r="AD409" s="686"/>
    </row>
    <row r="410" spans="1:30" s="687" customFormat="1" ht="12.75" customHeight="1">
      <c r="A410" s="677"/>
      <c r="B410" s="677"/>
      <c r="C410" s="678"/>
      <c r="D410" s="678"/>
      <c r="E410" s="678"/>
      <c r="F410" s="678"/>
      <c r="G410" s="679"/>
      <c r="H410" s="679"/>
      <c r="I410" s="680"/>
      <c r="J410" s="681"/>
      <c r="K410" s="678"/>
      <c r="L410" s="665"/>
      <c r="M410" s="665"/>
      <c r="N410" s="688"/>
      <c r="O410" s="685"/>
      <c r="P410" s="685"/>
      <c r="Q410" s="678"/>
      <c r="R410" s="678"/>
      <c r="S410" s="661"/>
      <c r="T410" s="661"/>
      <c r="U410" s="661"/>
      <c r="V410" s="662">
        <f t="shared" si="18"/>
        <v>0</v>
      </c>
      <c r="W410" s="663"/>
      <c r="X410" s="664">
        <f t="shared" si="19"/>
        <v>0</v>
      </c>
      <c r="Y410" s="683"/>
      <c r="Z410" s="665"/>
      <c r="AA410" s="684"/>
      <c r="AB410" s="685"/>
      <c r="AC410" s="665"/>
      <c r="AD410" s="686"/>
    </row>
    <row r="411" spans="1:30" s="687" customFormat="1" ht="12.75" customHeight="1">
      <c r="A411" s="677"/>
      <c r="B411" s="677"/>
      <c r="C411" s="678"/>
      <c r="D411" s="678"/>
      <c r="E411" s="678"/>
      <c r="F411" s="678"/>
      <c r="G411" s="679"/>
      <c r="H411" s="679"/>
      <c r="I411" s="680"/>
      <c r="J411" s="681"/>
      <c r="K411" s="678"/>
      <c r="L411" s="665"/>
      <c r="M411" s="665"/>
      <c r="N411" s="688"/>
      <c r="O411" s="685"/>
      <c r="P411" s="685"/>
      <c r="Q411" s="678"/>
      <c r="R411" s="678"/>
      <c r="S411" s="661"/>
      <c r="T411" s="661"/>
      <c r="U411" s="661"/>
      <c r="V411" s="662">
        <f t="shared" si="18"/>
        <v>0</v>
      </c>
      <c r="W411" s="663"/>
      <c r="X411" s="664">
        <f t="shared" si="19"/>
        <v>0</v>
      </c>
      <c r="Y411" s="683"/>
      <c r="Z411" s="665"/>
      <c r="AA411" s="684"/>
      <c r="AB411" s="685"/>
      <c r="AC411" s="665"/>
      <c r="AD411" s="686"/>
    </row>
    <row r="412" spans="1:30" s="687" customFormat="1" ht="12.75" customHeight="1">
      <c r="A412" s="677"/>
      <c r="B412" s="677"/>
      <c r="C412" s="678"/>
      <c r="D412" s="678"/>
      <c r="E412" s="678"/>
      <c r="F412" s="678"/>
      <c r="G412" s="679"/>
      <c r="H412" s="679"/>
      <c r="I412" s="680"/>
      <c r="J412" s="681"/>
      <c r="K412" s="678"/>
      <c r="L412" s="665"/>
      <c r="M412" s="665"/>
      <c r="N412" s="688"/>
      <c r="O412" s="685"/>
      <c r="P412" s="685"/>
      <c r="Q412" s="678"/>
      <c r="R412" s="678"/>
      <c r="S412" s="661"/>
      <c r="T412" s="661"/>
      <c r="U412" s="661"/>
      <c r="V412" s="662">
        <f t="shared" si="18"/>
        <v>0</v>
      </c>
      <c r="W412" s="663"/>
      <c r="X412" s="664">
        <f t="shared" si="19"/>
        <v>0</v>
      </c>
      <c r="Y412" s="683"/>
      <c r="Z412" s="665"/>
      <c r="AA412" s="684"/>
      <c r="AB412" s="685"/>
      <c r="AC412" s="665"/>
      <c r="AD412" s="686"/>
    </row>
    <row r="413" spans="1:30" s="687" customFormat="1" ht="12.75" customHeight="1">
      <c r="A413" s="677"/>
      <c r="B413" s="677"/>
      <c r="C413" s="678"/>
      <c r="D413" s="678"/>
      <c r="E413" s="678"/>
      <c r="F413" s="678"/>
      <c r="G413" s="679"/>
      <c r="H413" s="679"/>
      <c r="I413" s="680"/>
      <c r="J413" s="681"/>
      <c r="K413" s="678"/>
      <c r="L413" s="665"/>
      <c r="M413" s="665"/>
      <c r="N413" s="688"/>
      <c r="O413" s="685"/>
      <c r="P413" s="685"/>
      <c r="Q413" s="678"/>
      <c r="R413" s="678"/>
      <c r="S413" s="661"/>
      <c r="T413" s="661"/>
      <c r="U413" s="661"/>
      <c r="V413" s="662">
        <f t="shared" si="18"/>
        <v>0</v>
      </c>
      <c r="W413" s="663"/>
      <c r="X413" s="664">
        <f t="shared" si="19"/>
        <v>0</v>
      </c>
      <c r="Y413" s="683"/>
      <c r="Z413" s="665"/>
      <c r="AA413" s="684"/>
      <c r="AB413" s="685"/>
      <c r="AC413" s="665"/>
      <c r="AD413" s="686"/>
    </row>
    <row r="414" spans="1:30" s="687" customFormat="1" ht="12.75" customHeight="1">
      <c r="A414" s="677"/>
      <c r="B414" s="677"/>
      <c r="C414" s="678"/>
      <c r="D414" s="678"/>
      <c r="E414" s="678"/>
      <c r="F414" s="678"/>
      <c r="G414" s="679"/>
      <c r="H414" s="679"/>
      <c r="I414" s="680"/>
      <c r="J414" s="681"/>
      <c r="K414" s="678"/>
      <c r="L414" s="665"/>
      <c r="M414" s="665"/>
      <c r="N414" s="688"/>
      <c r="O414" s="685"/>
      <c r="P414" s="685"/>
      <c r="Q414" s="678"/>
      <c r="R414" s="678"/>
      <c r="S414" s="661"/>
      <c r="T414" s="661"/>
      <c r="U414" s="661"/>
      <c r="V414" s="662">
        <f t="shared" si="18"/>
        <v>0</v>
      </c>
      <c r="W414" s="663"/>
      <c r="X414" s="664">
        <f t="shared" si="19"/>
        <v>0</v>
      </c>
      <c r="Y414" s="683"/>
      <c r="Z414" s="665"/>
      <c r="AA414" s="684"/>
      <c r="AB414" s="685"/>
      <c r="AC414" s="665"/>
      <c r="AD414" s="686"/>
    </row>
    <row r="415" spans="1:30" s="687" customFormat="1" ht="12.75" customHeight="1">
      <c r="A415" s="677"/>
      <c r="B415" s="677"/>
      <c r="C415" s="678"/>
      <c r="D415" s="678"/>
      <c r="E415" s="678"/>
      <c r="F415" s="678"/>
      <c r="G415" s="679"/>
      <c r="H415" s="679"/>
      <c r="I415" s="680"/>
      <c r="J415" s="681"/>
      <c r="K415" s="678"/>
      <c r="L415" s="665"/>
      <c r="M415" s="665"/>
      <c r="N415" s="688"/>
      <c r="O415" s="685"/>
      <c r="P415" s="685"/>
      <c r="Q415" s="678"/>
      <c r="R415" s="678"/>
      <c r="S415" s="661"/>
      <c r="T415" s="661"/>
      <c r="U415" s="661"/>
      <c r="V415" s="662">
        <f t="shared" si="18"/>
        <v>0</v>
      </c>
      <c r="W415" s="663"/>
      <c r="X415" s="664">
        <f t="shared" si="19"/>
        <v>0</v>
      </c>
      <c r="Y415" s="683"/>
      <c r="Z415" s="665"/>
      <c r="AA415" s="684"/>
      <c r="AB415" s="685"/>
      <c r="AC415" s="665"/>
      <c r="AD415" s="686"/>
    </row>
    <row r="416" spans="1:30" s="687" customFormat="1" ht="12.75" customHeight="1">
      <c r="A416" s="677"/>
      <c r="B416" s="677"/>
      <c r="C416" s="678"/>
      <c r="D416" s="678"/>
      <c r="E416" s="678"/>
      <c r="F416" s="678"/>
      <c r="G416" s="679"/>
      <c r="H416" s="679"/>
      <c r="I416" s="680"/>
      <c r="J416" s="681"/>
      <c r="K416" s="678"/>
      <c r="L416" s="665"/>
      <c r="M416" s="665"/>
      <c r="N416" s="688"/>
      <c r="O416" s="685"/>
      <c r="P416" s="685"/>
      <c r="Q416" s="678"/>
      <c r="R416" s="678"/>
      <c r="S416" s="661"/>
      <c r="T416" s="661"/>
      <c r="U416" s="661"/>
      <c r="V416" s="662">
        <f t="shared" si="18"/>
        <v>0</v>
      </c>
      <c r="W416" s="663"/>
      <c r="X416" s="664">
        <f t="shared" si="19"/>
        <v>0</v>
      </c>
      <c r="Y416" s="683"/>
      <c r="Z416" s="665"/>
      <c r="AA416" s="684"/>
      <c r="AB416" s="685"/>
      <c r="AC416" s="665"/>
      <c r="AD416" s="686"/>
    </row>
    <row r="417" spans="1:30" s="687" customFormat="1" ht="12.75" customHeight="1">
      <c r="A417" s="677"/>
      <c r="B417" s="677"/>
      <c r="C417" s="678"/>
      <c r="D417" s="678"/>
      <c r="E417" s="678"/>
      <c r="F417" s="678"/>
      <c r="G417" s="679"/>
      <c r="H417" s="679"/>
      <c r="I417" s="680"/>
      <c r="J417" s="681"/>
      <c r="K417" s="678"/>
      <c r="L417" s="665"/>
      <c r="M417" s="665"/>
      <c r="N417" s="688"/>
      <c r="O417" s="685"/>
      <c r="P417" s="685"/>
      <c r="Q417" s="678"/>
      <c r="R417" s="678"/>
      <c r="S417" s="661"/>
      <c r="T417" s="661"/>
      <c r="U417" s="661"/>
      <c r="V417" s="662">
        <f t="shared" si="18"/>
        <v>0</v>
      </c>
      <c r="W417" s="663"/>
      <c r="X417" s="664">
        <f t="shared" si="19"/>
        <v>0</v>
      </c>
      <c r="Y417" s="683"/>
      <c r="Z417" s="665"/>
      <c r="AA417" s="684"/>
      <c r="AB417" s="685"/>
      <c r="AC417" s="665"/>
      <c r="AD417" s="686"/>
    </row>
    <row r="418" spans="1:30" s="687" customFormat="1" ht="12.75" customHeight="1">
      <c r="A418" s="677"/>
      <c r="B418" s="677"/>
      <c r="C418" s="678"/>
      <c r="D418" s="678"/>
      <c r="E418" s="678"/>
      <c r="F418" s="678"/>
      <c r="G418" s="679"/>
      <c r="H418" s="679"/>
      <c r="I418" s="680"/>
      <c r="J418" s="681"/>
      <c r="K418" s="678"/>
      <c r="L418" s="665"/>
      <c r="M418" s="665"/>
      <c r="N418" s="688"/>
      <c r="O418" s="685"/>
      <c r="P418" s="685"/>
      <c r="Q418" s="678"/>
      <c r="R418" s="678"/>
      <c r="S418" s="661"/>
      <c r="T418" s="661"/>
      <c r="U418" s="661"/>
      <c r="V418" s="662">
        <f t="shared" si="18"/>
        <v>0</v>
      </c>
      <c r="W418" s="663"/>
      <c r="X418" s="664">
        <f t="shared" si="19"/>
        <v>0</v>
      </c>
      <c r="Y418" s="683"/>
      <c r="Z418" s="665"/>
      <c r="AA418" s="684"/>
      <c r="AB418" s="685"/>
      <c r="AC418" s="665"/>
      <c r="AD418" s="686"/>
    </row>
    <row r="419" spans="1:30" s="687" customFormat="1" ht="12.75" customHeight="1">
      <c r="A419" s="677"/>
      <c r="B419" s="677"/>
      <c r="C419" s="678"/>
      <c r="D419" s="678"/>
      <c r="E419" s="678"/>
      <c r="F419" s="678"/>
      <c r="G419" s="679"/>
      <c r="H419" s="679"/>
      <c r="I419" s="680"/>
      <c r="J419" s="681"/>
      <c r="K419" s="678"/>
      <c r="L419" s="665"/>
      <c r="M419" s="665"/>
      <c r="N419" s="688"/>
      <c r="O419" s="685"/>
      <c r="P419" s="685"/>
      <c r="Q419" s="678"/>
      <c r="R419" s="678"/>
      <c r="S419" s="661"/>
      <c r="T419" s="661"/>
      <c r="U419" s="661"/>
      <c r="V419" s="662">
        <f t="shared" si="18"/>
        <v>0</v>
      </c>
      <c r="W419" s="663"/>
      <c r="X419" s="664">
        <f t="shared" si="19"/>
        <v>0</v>
      </c>
      <c r="Y419" s="683"/>
      <c r="Z419" s="665"/>
      <c r="AA419" s="684"/>
      <c r="AB419" s="685"/>
      <c r="AC419" s="665"/>
      <c r="AD419" s="686"/>
    </row>
    <row r="420" spans="1:30" s="687" customFormat="1" ht="12.75" customHeight="1">
      <c r="A420" s="677"/>
      <c r="B420" s="677"/>
      <c r="C420" s="678"/>
      <c r="D420" s="678"/>
      <c r="E420" s="678"/>
      <c r="F420" s="678"/>
      <c r="G420" s="679"/>
      <c r="H420" s="679"/>
      <c r="I420" s="680"/>
      <c r="J420" s="681"/>
      <c r="K420" s="678"/>
      <c r="L420" s="665"/>
      <c r="M420" s="665"/>
      <c r="N420" s="688"/>
      <c r="O420" s="685"/>
      <c r="P420" s="685"/>
      <c r="Q420" s="678"/>
      <c r="R420" s="678"/>
      <c r="S420" s="661"/>
      <c r="T420" s="661"/>
      <c r="U420" s="661"/>
      <c r="V420" s="662">
        <f t="shared" si="18"/>
        <v>0</v>
      </c>
      <c r="W420" s="663"/>
      <c r="X420" s="664">
        <f t="shared" si="19"/>
        <v>0</v>
      </c>
      <c r="Y420" s="683"/>
      <c r="Z420" s="665"/>
      <c r="AA420" s="684"/>
      <c r="AB420" s="685"/>
      <c r="AC420" s="665"/>
      <c r="AD420" s="686"/>
    </row>
    <row r="421" spans="1:30" s="687" customFormat="1" ht="12.75" customHeight="1">
      <c r="A421" s="677"/>
      <c r="B421" s="677"/>
      <c r="C421" s="678"/>
      <c r="D421" s="678"/>
      <c r="E421" s="678"/>
      <c r="F421" s="678"/>
      <c r="G421" s="679"/>
      <c r="H421" s="679"/>
      <c r="I421" s="680"/>
      <c r="J421" s="681"/>
      <c r="K421" s="678"/>
      <c r="L421" s="665"/>
      <c r="M421" s="665"/>
      <c r="N421" s="688"/>
      <c r="O421" s="685"/>
      <c r="P421" s="685"/>
      <c r="Q421" s="678"/>
      <c r="R421" s="678"/>
      <c r="S421" s="661"/>
      <c r="T421" s="661"/>
      <c r="U421" s="661"/>
      <c r="V421" s="662">
        <f t="shared" si="18"/>
        <v>0</v>
      </c>
      <c r="W421" s="663"/>
      <c r="X421" s="664">
        <f t="shared" si="19"/>
        <v>0</v>
      </c>
      <c r="Y421" s="683"/>
      <c r="Z421" s="665"/>
      <c r="AA421" s="684"/>
      <c r="AB421" s="685"/>
      <c r="AC421" s="665"/>
      <c r="AD421" s="686"/>
    </row>
    <row r="422" spans="1:30" s="687" customFormat="1" ht="12.75" customHeight="1">
      <c r="A422" s="677"/>
      <c r="B422" s="677"/>
      <c r="C422" s="678"/>
      <c r="D422" s="678"/>
      <c r="E422" s="678"/>
      <c r="F422" s="678"/>
      <c r="G422" s="679"/>
      <c r="H422" s="679"/>
      <c r="I422" s="680"/>
      <c r="J422" s="681"/>
      <c r="K422" s="678"/>
      <c r="L422" s="665"/>
      <c r="M422" s="665"/>
      <c r="N422" s="688"/>
      <c r="O422" s="685"/>
      <c r="P422" s="685"/>
      <c r="Q422" s="678"/>
      <c r="R422" s="678"/>
      <c r="S422" s="661"/>
      <c r="T422" s="661"/>
      <c r="U422" s="661"/>
      <c r="V422" s="662">
        <f t="shared" si="18"/>
        <v>0</v>
      </c>
      <c r="W422" s="663"/>
      <c r="X422" s="664">
        <f t="shared" si="19"/>
        <v>0</v>
      </c>
      <c r="Y422" s="683"/>
      <c r="Z422" s="665"/>
      <c r="AA422" s="684"/>
      <c r="AB422" s="685"/>
      <c r="AC422" s="665"/>
      <c r="AD422" s="686"/>
    </row>
    <row r="423" spans="1:30" s="687" customFormat="1" ht="12.75" customHeight="1">
      <c r="A423" s="677"/>
      <c r="B423" s="677"/>
      <c r="C423" s="678"/>
      <c r="D423" s="678"/>
      <c r="E423" s="678"/>
      <c r="F423" s="678"/>
      <c r="G423" s="679"/>
      <c r="H423" s="679"/>
      <c r="I423" s="680"/>
      <c r="J423" s="681"/>
      <c r="K423" s="678"/>
      <c r="L423" s="665"/>
      <c r="M423" s="665"/>
      <c r="N423" s="688"/>
      <c r="O423" s="685"/>
      <c r="P423" s="685"/>
      <c r="Q423" s="678"/>
      <c r="R423" s="678"/>
      <c r="S423" s="661"/>
      <c r="T423" s="661"/>
      <c r="U423" s="661"/>
      <c r="V423" s="662">
        <f t="shared" si="18"/>
        <v>0</v>
      </c>
      <c r="W423" s="663"/>
      <c r="X423" s="664">
        <f t="shared" si="19"/>
        <v>0</v>
      </c>
      <c r="Y423" s="683"/>
      <c r="Z423" s="665"/>
      <c r="AA423" s="684"/>
      <c r="AB423" s="685"/>
      <c r="AC423" s="665"/>
      <c r="AD423" s="686"/>
    </row>
    <row r="424" spans="1:30" s="687" customFormat="1" ht="12.75" customHeight="1">
      <c r="A424" s="677"/>
      <c r="B424" s="677"/>
      <c r="C424" s="678"/>
      <c r="D424" s="678"/>
      <c r="E424" s="678"/>
      <c r="F424" s="678"/>
      <c r="G424" s="679"/>
      <c r="H424" s="679"/>
      <c r="I424" s="680"/>
      <c r="J424" s="681"/>
      <c r="K424" s="678"/>
      <c r="L424" s="665"/>
      <c r="M424" s="665"/>
      <c r="N424" s="688"/>
      <c r="O424" s="685"/>
      <c r="P424" s="685"/>
      <c r="Q424" s="678"/>
      <c r="R424" s="678"/>
      <c r="S424" s="661"/>
      <c r="T424" s="661"/>
      <c r="U424" s="661"/>
      <c r="V424" s="662">
        <f t="shared" si="18"/>
        <v>0</v>
      </c>
      <c r="W424" s="663"/>
      <c r="X424" s="664">
        <f t="shared" si="19"/>
        <v>0</v>
      </c>
      <c r="Y424" s="683"/>
      <c r="Z424" s="665"/>
      <c r="AA424" s="684"/>
      <c r="AB424" s="685"/>
      <c r="AC424" s="665"/>
      <c r="AD424" s="686"/>
    </row>
    <row r="425" spans="1:30" s="687" customFormat="1" ht="12.75" customHeight="1">
      <c r="A425" s="677"/>
      <c r="B425" s="677"/>
      <c r="C425" s="678"/>
      <c r="D425" s="678"/>
      <c r="E425" s="678"/>
      <c r="F425" s="678"/>
      <c r="G425" s="679"/>
      <c r="H425" s="679"/>
      <c r="I425" s="680"/>
      <c r="J425" s="681"/>
      <c r="K425" s="678"/>
      <c r="L425" s="665"/>
      <c r="M425" s="665"/>
      <c r="N425" s="688"/>
      <c r="O425" s="685"/>
      <c r="P425" s="685"/>
      <c r="Q425" s="678"/>
      <c r="R425" s="678"/>
      <c r="S425" s="661"/>
      <c r="T425" s="661"/>
      <c r="U425" s="661"/>
      <c r="V425" s="662">
        <f t="shared" si="18"/>
        <v>0</v>
      </c>
      <c r="W425" s="663"/>
      <c r="X425" s="664">
        <f t="shared" si="19"/>
        <v>0</v>
      </c>
      <c r="Y425" s="683"/>
      <c r="Z425" s="665"/>
      <c r="AA425" s="684"/>
      <c r="AB425" s="685"/>
      <c r="AC425" s="665"/>
      <c r="AD425" s="686"/>
    </row>
    <row r="426" spans="1:30" s="687" customFormat="1" ht="12.75" customHeight="1">
      <c r="A426" s="677"/>
      <c r="B426" s="677"/>
      <c r="C426" s="678"/>
      <c r="D426" s="678"/>
      <c r="E426" s="678"/>
      <c r="F426" s="678"/>
      <c r="G426" s="679"/>
      <c r="H426" s="679"/>
      <c r="I426" s="680"/>
      <c r="J426" s="681"/>
      <c r="K426" s="678"/>
      <c r="L426" s="665"/>
      <c r="M426" s="665"/>
      <c r="N426" s="688"/>
      <c r="O426" s="685"/>
      <c r="P426" s="685"/>
      <c r="Q426" s="678"/>
      <c r="R426" s="678"/>
      <c r="S426" s="661"/>
      <c r="T426" s="661"/>
      <c r="U426" s="661"/>
      <c r="V426" s="662">
        <f t="shared" si="18"/>
        <v>0</v>
      </c>
      <c r="W426" s="663"/>
      <c r="X426" s="664">
        <f t="shared" si="19"/>
        <v>0</v>
      </c>
      <c r="Y426" s="683"/>
      <c r="Z426" s="665"/>
      <c r="AA426" s="684"/>
      <c r="AB426" s="685"/>
      <c r="AC426" s="665"/>
      <c r="AD426" s="686"/>
    </row>
    <row r="427" spans="1:30" s="687" customFormat="1" ht="12.75" customHeight="1">
      <c r="A427" s="677"/>
      <c r="B427" s="677"/>
      <c r="C427" s="678"/>
      <c r="D427" s="678"/>
      <c r="E427" s="678"/>
      <c r="F427" s="678"/>
      <c r="G427" s="679"/>
      <c r="H427" s="679"/>
      <c r="I427" s="680"/>
      <c r="J427" s="681"/>
      <c r="K427" s="678"/>
      <c r="L427" s="665"/>
      <c r="M427" s="665"/>
      <c r="N427" s="688"/>
      <c r="O427" s="685"/>
      <c r="P427" s="685"/>
      <c r="Q427" s="678"/>
      <c r="R427" s="678"/>
      <c r="S427" s="661"/>
      <c r="T427" s="661"/>
      <c r="U427" s="661"/>
      <c r="V427" s="662">
        <f t="shared" si="18"/>
        <v>0</v>
      </c>
      <c r="W427" s="663"/>
      <c r="X427" s="664">
        <f t="shared" si="19"/>
        <v>0</v>
      </c>
      <c r="Y427" s="683"/>
      <c r="Z427" s="665"/>
      <c r="AA427" s="684"/>
      <c r="AB427" s="685"/>
      <c r="AC427" s="665"/>
      <c r="AD427" s="686"/>
    </row>
    <row r="428" spans="1:30" s="687" customFormat="1" ht="12.75" customHeight="1">
      <c r="A428" s="677"/>
      <c r="B428" s="677"/>
      <c r="C428" s="678"/>
      <c r="D428" s="678"/>
      <c r="E428" s="678"/>
      <c r="F428" s="678"/>
      <c r="G428" s="679"/>
      <c r="H428" s="679"/>
      <c r="I428" s="680"/>
      <c r="J428" s="681"/>
      <c r="K428" s="678"/>
      <c r="L428" s="665"/>
      <c r="M428" s="665"/>
      <c r="N428" s="688"/>
      <c r="O428" s="685"/>
      <c r="P428" s="685"/>
      <c r="Q428" s="678"/>
      <c r="R428" s="678"/>
      <c r="S428" s="661"/>
      <c r="T428" s="661"/>
      <c r="U428" s="661"/>
      <c r="V428" s="662">
        <f t="shared" si="18"/>
        <v>0</v>
      </c>
      <c r="W428" s="663"/>
      <c r="X428" s="664">
        <f t="shared" si="19"/>
        <v>0</v>
      </c>
      <c r="Y428" s="683"/>
      <c r="Z428" s="665"/>
      <c r="AA428" s="684"/>
      <c r="AB428" s="685"/>
      <c r="AC428" s="665"/>
      <c r="AD428" s="686"/>
    </row>
    <row r="429" spans="1:30" s="687" customFormat="1" ht="12.75" customHeight="1">
      <c r="A429" s="677"/>
      <c r="B429" s="677"/>
      <c r="C429" s="678"/>
      <c r="D429" s="678"/>
      <c r="E429" s="678"/>
      <c r="F429" s="678"/>
      <c r="G429" s="679"/>
      <c r="H429" s="679"/>
      <c r="I429" s="680"/>
      <c r="J429" s="681"/>
      <c r="K429" s="678"/>
      <c r="L429" s="665"/>
      <c r="M429" s="665"/>
      <c r="N429" s="688"/>
      <c r="O429" s="685"/>
      <c r="P429" s="685"/>
      <c r="Q429" s="678"/>
      <c r="R429" s="678"/>
      <c r="S429" s="661"/>
      <c r="T429" s="661"/>
      <c r="U429" s="661"/>
      <c r="V429" s="662">
        <f t="shared" si="18"/>
        <v>0</v>
      </c>
      <c r="W429" s="663"/>
      <c r="X429" s="664">
        <f t="shared" si="19"/>
        <v>0</v>
      </c>
      <c r="Y429" s="683"/>
      <c r="Z429" s="665"/>
      <c r="AA429" s="684"/>
      <c r="AB429" s="685"/>
      <c r="AC429" s="665"/>
      <c r="AD429" s="686"/>
    </row>
    <row r="430" spans="1:30" s="687" customFormat="1" ht="12.75" customHeight="1">
      <c r="A430" s="677"/>
      <c r="B430" s="677"/>
      <c r="C430" s="678"/>
      <c r="D430" s="678"/>
      <c r="E430" s="678"/>
      <c r="F430" s="678"/>
      <c r="G430" s="679"/>
      <c r="H430" s="679"/>
      <c r="I430" s="680"/>
      <c r="J430" s="681"/>
      <c r="K430" s="678"/>
      <c r="L430" s="665"/>
      <c r="M430" s="665"/>
      <c r="N430" s="688"/>
      <c r="O430" s="685"/>
      <c r="P430" s="685"/>
      <c r="Q430" s="678"/>
      <c r="R430" s="678"/>
      <c r="S430" s="661"/>
      <c r="T430" s="661"/>
      <c r="U430" s="661"/>
      <c r="V430" s="662">
        <f t="shared" si="18"/>
        <v>0</v>
      </c>
      <c r="W430" s="663"/>
      <c r="X430" s="664">
        <f t="shared" si="19"/>
        <v>0</v>
      </c>
      <c r="Y430" s="683"/>
      <c r="Z430" s="665"/>
      <c r="AA430" s="684"/>
      <c r="AB430" s="685"/>
      <c r="AC430" s="665"/>
      <c r="AD430" s="686"/>
    </row>
    <row r="431" spans="1:30" s="687" customFormat="1" ht="12.75" customHeight="1">
      <c r="A431" s="677"/>
      <c r="B431" s="677"/>
      <c r="C431" s="678"/>
      <c r="D431" s="678"/>
      <c r="E431" s="678"/>
      <c r="F431" s="678"/>
      <c r="G431" s="679"/>
      <c r="H431" s="679"/>
      <c r="I431" s="680"/>
      <c r="J431" s="681"/>
      <c r="K431" s="678"/>
      <c r="L431" s="665"/>
      <c r="M431" s="665"/>
      <c r="N431" s="688"/>
      <c r="O431" s="685"/>
      <c r="P431" s="685"/>
      <c r="Q431" s="678"/>
      <c r="R431" s="678"/>
      <c r="S431" s="661"/>
      <c r="T431" s="661"/>
      <c r="U431" s="661"/>
      <c r="V431" s="662">
        <f t="shared" si="18"/>
        <v>0</v>
      </c>
      <c r="W431" s="663"/>
      <c r="X431" s="664">
        <f t="shared" si="19"/>
        <v>0</v>
      </c>
      <c r="Y431" s="683"/>
      <c r="Z431" s="665"/>
      <c r="AA431" s="684"/>
      <c r="AB431" s="685"/>
      <c r="AC431" s="665"/>
      <c r="AD431" s="686"/>
    </row>
    <row r="432" spans="1:30" s="687" customFormat="1" ht="12.75" customHeight="1">
      <c r="A432" s="677"/>
      <c r="B432" s="677"/>
      <c r="C432" s="678"/>
      <c r="D432" s="678"/>
      <c r="E432" s="678"/>
      <c r="F432" s="678"/>
      <c r="G432" s="679"/>
      <c r="H432" s="679"/>
      <c r="I432" s="680"/>
      <c r="J432" s="681"/>
      <c r="K432" s="678"/>
      <c r="L432" s="665"/>
      <c r="M432" s="665"/>
      <c r="N432" s="688"/>
      <c r="O432" s="685"/>
      <c r="P432" s="685"/>
      <c r="Q432" s="678"/>
      <c r="R432" s="678"/>
      <c r="S432" s="661"/>
      <c r="T432" s="661"/>
      <c r="U432" s="661"/>
      <c r="V432" s="662">
        <f t="shared" si="18"/>
        <v>0</v>
      </c>
      <c r="W432" s="663"/>
      <c r="X432" s="664">
        <f t="shared" si="19"/>
        <v>0</v>
      </c>
      <c r="Y432" s="683"/>
      <c r="Z432" s="665"/>
      <c r="AA432" s="684"/>
      <c r="AB432" s="685"/>
      <c r="AC432" s="665"/>
      <c r="AD432" s="686"/>
    </row>
    <row r="433" spans="1:30" s="687" customFormat="1" ht="12.75" customHeight="1">
      <c r="A433" s="677"/>
      <c r="B433" s="677"/>
      <c r="C433" s="678"/>
      <c r="D433" s="678"/>
      <c r="E433" s="678"/>
      <c r="F433" s="678"/>
      <c r="G433" s="679"/>
      <c r="H433" s="679"/>
      <c r="I433" s="680"/>
      <c r="J433" s="681"/>
      <c r="K433" s="678"/>
      <c r="L433" s="665"/>
      <c r="M433" s="665"/>
      <c r="N433" s="688"/>
      <c r="O433" s="685"/>
      <c r="P433" s="685"/>
      <c r="Q433" s="678"/>
      <c r="R433" s="678"/>
      <c r="S433" s="661"/>
      <c r="T433" s="661"/>
      <c r="U433" s="661"/>
      <c r="V433" s="662">
        <f t="shared" si="18"/>
        <v>0</v>
      </c>
      <c r="W433" s="663"/>
      <c r="X433" s="664">
        <f t="shared" si="19"/>
        <v>0</v>
      </c>
      <c r="Y433" s="683"/>
      <c r="Z433" s="665"/>
      <c r="AA433" s="684"/>
      <c r="AB433" s="685"/>
      <c r="AC433" s="665"/>
      <c r="AD433" s="686"/>
    </row>
    <row r="434" spans="1:30" s="687" customFormat="1" ht="12.75" customHeight="1">
      <c r="A434" s="677"/>
      <c r="B434" s="677"/>
      <c r="C434" s="678"/>
      <c r="D434" s="678"/>
      <c r="E434" s="678"/>
      <c r="F434" s="678"/>
      <c r="G434" s="679"/>
      <c r="H434" s="679"/>
      <c r="I434" s="680"/>
      <c r="J434" s="681"/>
      <c r="K434" s="678"/>
      <c r="L434" s="665"/>
      <c r="M434" s="665"/>
      <c r="N434" s="688"/>
      <c r="O434" s="685"/>
      <c r="P434" s="685"/>
      <c r="Q434" s="678"/>
      <c r="R434" s="678"/>
      <c r="S434" s="661"/>
      <c r="T434" s="661"/>
      <c r="U434" s="661"/>
      <c r="V434" s="662">
        <f t="shared" si="18"/>
        <v>0</v>
      </c>
      <c r="W434" s="663"/>
      <c r="X434" s="664">
        <f t="shared" si="19"/>
        <v>0</v>
      </c>
      <c r="Y434" s="683"/>
      <c r="Z434" s="665"/>
      <c r="AA434" s="684"/>
      <c r="AB434" s="685"/>
      <c r="AC434" s="665"/>
      <c r="AD434" s="686"/>
    </row>
    <row r="435" spans="1:30" s="687" customFormat="1" ht="12.75" customHeight="1">
      <c r="A435" s="677"/>
      <c r="B435" s="677"/>
      <c r="C435" s="678"/>
      <c r="D435" s="678"/>
      <c r="E435" s="678"/>
      <c r="F435" s="678"/>
      <c r="G435" s="679"/>
      <c r="H435" s="679"/>
      <c r="I435" s="680"/>
      <c r="J435" s="681"/>
      <c r="K435" s="678"/>
      <c r="L435" s="665"/>
      <c r="M435" s="665"/>
      <c r="N435" s="688"/>
      <c r="O435" s="685"/>
      <c r="P435" s="685"/>
      <c r="Q435" s="678"/>
      <c r="R435" s="678"/>
      <c r="S435" s="661"/>
      <c r="T435" s="661"/>
      <c r="U435" s="661"/>
      <c r="V435" s="662">
        <f t="shared" si="18"/>
        <v>0</v>
      </c>
      <c r="W435" s="663"/>
      <c r="X435" s="664">
        <f t="shared" si="19"/>
        <v>0</v>
      </c>
      <c r="Y435" s="683"/>
      <c r="Z435" s="665"/>
      <c r="AA435" s="684"/>
      <c r="AB435" s="685"/>
      <c r="AC435" s="665"/>
      <c r="AD435" s="686"/>
    </row>
    <row r="436" spans="1:30" s="687" customFormat="1" ht="12.75" customHeight="1">
      <c r="A436" s="677"/>
      <c r="B436" s="677"/>
      <c r="C436" s="678"/>
      <c r="D436" s="678"/>
      <c r="E436" s="678"/>
      <c r="F436" s="678"/>
      <c r="G436" s="679"/>
      <c r="H436" s="679"/>
      <c r="I436" s="680"/>
      <c r="J436" s="681"/>
      <c r="K436" s="678"/>
      <c r="L436" s="665"/>
      <c r="M436" s="665"/>
      <c r="N436" s="688"/>
      <c r="O436" s="685"/>
      <c r="P436" s="685"/>
      <c r="Q436" s="678"/>
      <c r="R436" s="678"/>
      <c r="S436" s="661"/>
      <c r="T436" s="661"/>
      <c r="U436" s="661"/>
      <c r="V436" s="662">
        <f t="shared" si="18"/>
        <v>0</v>
      </c>
      <c r="W436" s="663"/>
      <c r="X436" s="664">
        <f t="shared" si="19"/>
        <v>0</v>
      </c>
      <c r="Y436" s="683"/>
      <c r="Z436" s="665"/>
      <c r="AA436" s="684"/>
      <c r="AB436" s="685"/>
      <c r="AC436" s="665"/>
      <c r="AD436" s="686"/>
    </row>
    <row r="437" spans="1:30" s="687" customFormat="1" ht="12.75" customHeight="1">
      <c r="A437" s="677"/>
      <c r="B437" s="677"/>
      <c r="C437" s="678"/>
      <c r="D437" s="678"/>
      <c r="E437" s="678"/>
      <c r="F437" s="678"/>
      <c r="G437" s="679"/>
      <c r="H437" s="679"/>
      <c r="I437" s="680"/>
      <c r="J437" s="681"/>
      <c r="K437" s="678"/>
      <c r="L437" s="665"/>
      <c r="M437" s="665"/>
      <c r="N437" s="688"/>
      <c r="O437" s="685"/>
      <c r="P437" s="685"/>
      <c r="Q437" s="678"/>
      <c r="R437" s="678"/>
      <c r="S437" s="661"/>
      <c r="T437" s="661"/>
      <c r="U437" s="661"/>
      <c r="V437" s="662">
        <f t="shared" si="18"/>
        <v>0</v>
      </c>
      <c r="W437" s="663"/>
      <c r="X437" s="664">
        <f t="shared" si="19"/>
        <v>0</v>
      </c>
      <c r="Y437" s="683"/>
      <c r="Z437" s="665"/>
      <c r="AA437" s="684"/>
      <c r="AB437" s="685"/>
      <c r="AC437" s="665"/>
      <c r="AD437" s="686"/>
    </row>
    <row r="438" spans="1:30" s="687" customFormat="1" ht="12.75" customHeight="1">
      <c r="A438" s="677"/>
      <c r="B438" s="677"/>
      <c r="C438" s="678"/>
      <c r="D438" s="678"/>
      <c r="E438" s="678"/>
      <c r="F438" s="678"/>
      <c r="G438" s="679"/>
      <c r="H438" s="679"/>
      <c r="I438" s="680"/>
      <c r="J438" s="681"/>
      <c r="K438" s="678"/>
      <c r="L438" s="665"/>
      <c r="M438" s="665"/>
      <c r="N438" s="688"/>
      <c r="O438" s="685"/>
      <c r="P438" s="685"/>
      <c r="Q438" s="678"/>
      <c r="R438" s="678"/>
      <c r="S438" s="661"/>
      <c r="T438" s="661"/>
      <c r="U438" s="661"/>
      <c r="V438" s="662">
        <f t="shared" si="18"/>
        <v>0</v>
      </c>
      <c r="W438" s="663"/>
      <c r="X438" s="664">
        <f t="shared" si="19"/>
        <v>0</v>
      </c>
      <c r="Y438" s="683"/>
      <c r="Z438" s="665"/>
      <c r="AA438" s="684"/>
      <c r="AB438" s="685"/>
      <c r="AC438" s="665"/>
      <c r="AD438" s="686"/>
    </row>
    <row r="439" spans="1:30" s="687" customFormat="1" ht="12.75" customHeight="1">
      <c r="A439" s="677"/>
      <c r="B439" s="677"/>
      <c r="C439" s="678"/>
      <c r="D439" s="678"/>
      <c r="E439" s="678"/>
      <c r="F439" s="678"/>
      <c r="G439" s="679"/>
      <c r="H439" s="679"/>
      <c r="I439" s="680"/>
      <c r="J439" s="681"/>
      <c r="K439" s="678"/>
      <c r="L439" s="665"/>
      <c r="M439" s="665"/>
      <c r="N439" s="688"/>
      <c r="O439" s="685"/>
      <c r="P439" s="685"/>
      <c r="Q439" s="678"/>
      <c r="R439" s="678"/>
      <c r="S439" s="661"/>
      <c r="T439" s="661"/>
      <c r="U439" s="661"/>
      <c r="V439" s="662">
        <f t="shared" si="18"/>
        <v>0</v>
      </c>
      <c r="W439" s="663"/>
      <c r="X439" s="664">
        <f t="shared" si="19"/>
        <v>0</v>
      </c>
      <c r="Y439" s="683"/>
      <c r="Z439" s="665"/>
      <c r="AA439" s="684"/>
      <c r="AB439" s="685"/>
      <c r="AC439" s="665"/>
      <c r="AD439" s="686"/>
    </row>
    <row r="440" spans="1:30" s="687" customFormat="1" ht="12.75" customHeight="1">
      <c r="A440" s="677"/>
      <c r="B440" s="677"/>
      <c r="C440" s="678"/>
      <c r="D440" s="678"/>
      <c r="E440" s="678"/>
      <c r="F440" s="678"/>
      <c r="G440" s="679"/>
      <c r="H440" s="679"/>
      <c r="I440" s="680"/>
      <c r="J440" s="681"/>
      <c r="K440" s="678"/>
      <c r="L440" s="665"/>
      <c r="M440" s="665"/>
      <c r="N440" s="688"/>
      <c r="O440" s="685"/>
      <c r="P440" s="685"/>
      <c r="Q440" s="678"/>
      <c r="R440" s="678"/>
      <c r="S440" s="661"/>
      <c r="T440" s="661"/>
      <c r="U440" s="661"/>
      <c r="V440" s="662">
        <f t="shared" si="18"/>
        <v>0</v>
      </c>
      <c r="W440" s="663"/>
      <c r="X440" s="664">
        <f t="shared" si="19"/>
        <v>0</v>
      </c>
      <c r="Y440" s="683"/>
      <c r="Z440" s="665"/>
      <c r="AA440" s="684"/>
      <c r="AB440" s="685"/>
      <c r="AC440" s="665"/>
      <c r="AD440" s="686"/>
    </row>
    <row r="441" spans="1:30" s="687" customFormat="1" ht="12.75" customHeight="1">
      <c r="A441" s="677"/>
      <c r="B441" s="677"/>
      <c r="C441" s="678"/>
      <c r="D441" s="678"/>
      <c r="E441" s="678"/>
      <c r="F441" s="678"/>
      <c r="G441" s="679"/>
      <c r="H441" s="679"/>
      <c r="I441" s="680"/>
      <c r="J441" s="681"/>
      <c r="K441" s="678"/>
      <c r="L441" s="665"/>
      <c r="M441" s="665"/>
      <c r="N441" s="688"/>
      <c r="O441" s="685"/>
      <c r="P441" s="685"/>
      <c r="Q441" s="678"/>
      <c r="R441" s="678"/>
      <c r="S441" s="661"/>
      <c r="T441" s="661"/>
      <c r="U441" s="661"/>
      <c r="V441" s="662">
        <f t="shared" si="18"/>
        <v>0</v>
      </c>
      <c r="W441" s="663"/>
      <c r="X441" s="664">
        <f t="shared" si="19"/>
        <v>0</v>
      </c>
      <c r="Y441" s="683"/>
      <c r="Z441" s="665"/>
      <c r="AA441" s="684"/>
      <c r="AB441" s="685"/>
      <c r="AC441" s="665"/>
      <c r="AD441" s="686"/>
    </row>
    <row r="442" spans="1:30" s="687" customFormat="1" ht="12.75" customHeight="1">
      <c r="A442" s="677"/>
      <c r="B442" s="677"/>
      <c r="C442" s="678"/>
      <c r="D442" s="678"/>
      <c r="E442" s="678"/>
      <c r="F442" s="678"/>
      <c r="G442" s="679"/>
      <c r="H442" s="679"/>
      <c r="I442" s="680"/>
      <c r="J442" s="681"/>
      <c r="K442" s="678"/>
      <c r="L442" s="665"/>
      <c r="M442" s="665"/>
      <c r="N442" s="688"/>
      <c r="O442" s="685"/>
      <c r="P442" s="685"/>
      <c r="Q442" s="678"/>
      <c r="R442" s="678"/>
      <c r="S442" s="661"/>
      <c r="T442" s="661"/>
      <c r="U442" s="661"/>
      <c r="V442" s="662">
        <f t="shared" si="18"/>
        <v>0</v>
      </c>
      <c r="W442" s="663"/>
      <c r="X442" s="664">
        <f t="shared" si="19"/>
        <v>0</v>
      </c>
      <c r="Y442" s="683"/>
      <c r="Z442" s="665"/>
      <c r="AA442" s="684"/>
      <c r="AB442" s="685"/>
      <c r="AC442" s="665"/>
      <c r="AD442" s="686"/>
    </row>
    <row r="443" spans="1:30" s="687" customFormat="1" ht="12.75" customHeight="1">
      <c r="A443" s="677"/>
      <c r="B443" s="677"/>
      <c r="C443" s="678"/>
      <c r="D443" s="678"/>
      <c r="E443" s="678"/>
      <c r="F443" s="678"/>
      <c r="G443" s="679"/>
      <c r="H443" s="679"/>
      <c r="I443" s="680"/>
      <c r="J443" s="681"/>
      <c r="K443" s="678"/>
      <c r="L443" s="665"/>
      <c r="M443" s="665"/>
      <c r="N443" s="688"/>
      <c r="O443" s="685"/>
      <c r="P443" s="685"/>
      <c r="Q443" s="678"/>
      <c r="R443" s="678"/>
      <c r="S443" s="661"/>
      <c r="T443" s="661"/>
      <c r="U443" s="661"/>
      <c r="V443" s="662">
        <f t="shared" ref="V443:V491" si="20">SUM(S443:U443)</f>
        <v>0</v>
      </c>
      <c r="W443" s="663"/>
      <c r="X443" s="664">
        <f t="shared" si="19"/>
        <v>0</v>
      </c>
      <c r="Y443" s="683"/>
      <c r="Z443" s="665"/>
      <c r="AA443" s="684"/>
      <c r="AB443" s="685"/>
      <c r="AC443" s="665"/>
      <c r="AD443" s="686"/>
    </row>
    <row r="444" spans="1:30" s="687" customFormat="1" ht="12.75" customHeight="1">
      <c r="A444" s="677"/>
      <c r="B444" s="677"/>
      <c r="C444" s="678"/>
      <c r="D444" s="678"/>
      <c r="E444" s="678"/>
      <c r="F444" s="678"/>
      <c r="G444" s="679"/>
      <c r="H444" s="679"/>
      <c r="I444" s="680"/>
      <c r="J444" s="681"/>
      <c r="K444" s="678"/>
      <c r="L444" s="665"/>
      <c r="M444" s="665"/>
      <c r="N444" s="688"/>
      <c r="O444" s="685"/>
      <c r="P444" s="685"/>
      <c r="Q444" s="678"/>
      <c r="R444" s="678"/>
      <c r="S444" s="661"/>
      <c r="T444" s="661"/>
      <c r="U444" s="661"/>
      <c r="V444" s="662">
        <f t="shared" si="20"/>
        <v>0</v>
      </c>
      <c r="W444" s="663"/>
      <c r="X444" s="664">
        <f t="shared" ref="X444:X491" si="21">V444*W444</f>
        <v>0</v>
      </c>
      <c r="Y444" s="683"/>
      <c r="Z444" s="665"/>
      <c r="AA444" s="684"/>
      <c r="AB444" s="685"/>
      <c r="AC444" s="665"/>
      <c r="AD444" s="686"/>
    </row>
    <row r="445" spans="1:30" s="687" customFormat="1" ht="12.75" customHeight="1">
      <c r="A445" s="677"/>
      <c r="B445" s="677"/>
      <c r="C445" s="678"/>
      <c r="D445" s="678"/>
      <c r="E445" s="678"/>
      <c r="F445" s="678"/>
      <c r="G445" s="679"/>
      <c r="H445" s="679"/>
      <c r="I445" s="680"/>
      <c r="J445" s="681"/>
      <c r="K445" s="678"/>
      <c r="L445" s="665"/>
      <c r="M445" s="665"/>
      <c r="N445" s="688"/>
      <c r="O445" s="685"/>
      <c r="P445" s="685"/>
      <c r="Q445" s="678"/>
      <c r="R445" s="678"/>
      <c r="S445" s="661"/>
      <c r="T445" s="661"/>
      <c r="U445" s="661"/>
      <c r="V445" s="662">
        <f t="shared" si="20"/>
        <v>0</v>
      </c>
      <c r="W445" s="663"/>
      <c r="X445" s="664">
        <f t="shared" si="21"/>
        <v>0</v>
      </c>
      <c r="Y445" s="683"/>
      <c r="Z445" s="665"/>
      <c r="AA445" s="684"/>
      <c r="AB445" s="685"/>
      <c r="AC445" s="665"/>
      <c r="AD445" s="686"/>
    </row>
    <row r="446" spans="1:30" s="687" customFormat="1" ht="12.75" customHeight="1">
      <c r="A446" s="677"/>
      <c r="B446" s="677"/>
      <c r="C446" s="678"/>
      <c r="D446" s="678"/>
      <c r="E446" s="678"/>
      <c r="F446" s="678"/>
      <c r="G446" s="679"/>
      <c r="H446" s="679"/>
      <c r="I446" s="680"/>
      <c r="J446" s="681"/>
      <c r="K446" s="678"/>
      <c r="L446" s="665"/>
      <c r="M446" s="665"/>
      <c r="N446" s="688"/>
      <c r="O446" s="685"/>
      <c r="P446" s="685"/>
      <c r="Q446" s="678"/>
      <c r="R446" s="678"/>
      <c r="S446" s="661"/>
      <c r="T446" s="661"/>
      <c r="U446" s="661"/>
      <c r="V446" s="662">
        <f t="shared" si="20"/>
        <v>0</v>
      </c>
      <c r="W446" s="663"/>
      <c r="X446" s="664">
        <f t="shared" si="21"/>
        <v>0</v>
      </c>
      <c r="Y446" s="683"/>
      <c r="Z446" s="665"/>
      <c r="AA446" s="684"/>
      <c r="AB446" s="685"/>
      <c r="AC446" s="665"/>
      <c r="AD446" s="686"/>
    </row>
    <row r="447" spans="1:30" s="687" customFormat="1" ht="12.75" customHeight="1">
      <c r="A447" s="677"/>
      <c r="B447" s="677"/>
      <c r="C447" s="678"/>
      <c r="D447" s="678"/>
      <c r="E447" s="678"/>
      <c r="F447" s="678"/>
      <c r="G447" s="679"/>
      <c r="H447" s="679"/>
      <c r="I447" s="680"/>
      <c r="J447" s="681"/>
      <c r="K447" s="678"/>
      <c r="L447" s="665"/>
      <c r="M447" s="665"/>
      <c r="N447" s="688"/>
      <c r="O447" s="685"/>
      <c r="P447" s="685"/>
      <c r="Q447" s="678"/>
      <c r="R447" s="678"/>
      <c r="S447" s="661"/>
      <c r="T447" s="661"/>
      <c r="U447" s="661"/>
      <c r="V447" s="662">
        <f t="shared" si="20"/>
        <v>0</v>
      </c>
      <c r="W447" s="663"/>
      <c r="X447" s="664">
        <f t="shared" si="21"/>
        <v>0</v>
      </c>
      <c r="Y447" s="683"/>
      <c r="Z447" s="665"/>
      <c r="AA447" s="684"/>
      <c r="AB447" s="685"/>
      <c r="AC447" s="665"/>
      <c r="AD447" s="686"/>
    </row>
    <row r="448" spans="1:30" s="687" customFormat="1" ht="12.75" customHeight="1">
      <c r="A448" s="677"/>
      <c r="B448" s="677"/>
      <c r="C448" s="678"/>
      <c r="D448" s="678"/>
      <c r="E448" s="678"/>
      <c r="F448" s="678"/>
      <c r="G448" s="679"/>
      <c r="H448" s="679"/>
      <c r="I448" s="680"/>
      <c r="J448" s="681"/>
      <c r="K448" s="678"/>
      <c r="L448" s="665"/>
      <c r="M448" s="665"/>
      <c r="N448" s="688"/>
      <c r="O448" s="685"/>
      <c r="P448" s="685"/>
      <c r="Q448" s="678"/>
      <c r="R448" s="678"/>
      <c r="S448" s="661"/>
      <c r="T448" s="661"/>
      <c r="U448" s="661"/>
      <c r="V448" s="662">
        <f t="shared" si="20"/>
        <v>0</v>
      </c>
      <c r="W448" s="663"/>
      <c r="X448" s="664">
        <f t="shared" si="21"/>
        <v>0</v>
      </c>
      <c r="Y448" s="683"/>
      <c r="Z448" s="665"/>
      <c r="AA448" s="684"/>
      <c r="AB448" s="685"/>
      <c r="AC448" s="665"/>
      <c r="AD448" s="686"/>
    </row>
    <row r="449" spans="1:30" s="687" customFormat="1" ht="12.75" customHeight="1">
      <c r="A449" s="677"/>
      <c r="B449" s="677"/>
      <c r="C449" s="678"/>
      <c r="D449" s="678"/>
      <c r="E449" s="678"/>
      <c r="F449" s="678"/>
      <c r="G449" s="679"/>
      <c r="H449" s="679"/>
      <c r="I449" s="680"/>
      <c r="J449" s="681"/>
      <c r="K449" s="678"/>
      <c r="L449" s="665"/>
      <c r="M449" s="665"/>
      <c r="N449" s="688"/>
      <c r="O449" s="685"/>
      <c r="P449" s="685"/>
      <c r="Q449" s="678"/>
      <c r="R449" s="678"/>
      <c r="S449" s="661"/>
      <c r="T449" s="661"/>
      <c r="U449" s="661"/>
      <c r="V449" s="662">
        <f t="shared" si="20"/>
        <v>0</v>
      </c>
      <c r="W449" s="663"/>
      <c r="X449" s="664">
        <f t="shared" si="21"/>
        <v>0</v>
      </c>
      <c r="Y449" s="683"/>
      <c r="Z449" s="665"/>
      <c r="AA449" s="684"/>
      <c r="AB449" s="685"/>
      <c r="AC449" s="665"/>
      <c r="AD449" s="686"/>
    </row>
    <row r="450" spans="1:30" s="687" customFormat="1" ht="12.75" customHeight="1">
      <c r="A450" s="677"/>
      <c r="B450" s="677"/>
      <c r="C450" s="678"/>
      <c r="D450" s="678"/>
      <c r="E450" s="678"/>
      <c r="F450" s="678"/>
      <c r="G450" s="679"/>
      <c r="H450" s="679"/>
      <c r="I450" s="680"/>
      <c r="J450" s="681"/>
      <c r="K450" s="678"/>
      <c r="L450" s="665"/>
      <c r="M450" s="665"/>
      <c r="N450" s="688"/>
      <c r="O450" s="685"/>
      <c r="P450" s="685"/>
      <c r="Q450" s="678"/>
      <c r="R450" s="678"/>
      <c r="S450" s="661"/>
      <c r="T450" s="661"/>
      <c r="U450" s="661"/>
      <c r="V450" s="662">
        <f t="shared" si="20"/>
        <v>0</v>
      </c>
      <c r="W450" s="663"/>
      <c r="X450" s="664">
        <f t="shared" si="21"/>
        <v>0</v>
      </c>
      <c r="Y450" s="683"/>
      <c r="Z450" s="665"/>
      <c r="AA450" s="684"/>
      <c r="AB450" s="685"/>
      <c r="AC450" s="665"/>
      <c r="AD450" s="686"/>
    </row>
    <row r="451" spans="1:30" s="687" customFormat="1" ht="12.75" customHeight="1">
      <c r="A451" s="677"/>
      <c r="B451" s="677"/>
      <c r="C451" s="678"/>
      <c r="D451" s="678"/>
      <c r="E451" s="678"/>
      <c r="F451" s="678"/>
      <c r="G451" s="679"/>
      <c r="H451" s="679"/>
      <c r="I451" s="680"/>
      <c r="J451" s="681"/>
      <c r="K451" s="678"/>
      <c r="L451" s="665"/>
      <c r="M451" s="665"/>
      <c r="N451" s="688"/>
      <c r="O451" s="685"/>
      <c r="P451" s="685"/>
      <c r="Q451" s="678"/>
      <c r="R451" s="678"/>
      <c r="S451" s="661"/>
      <c r="T451" s="661"/>
      <c r="U451" s="661"/>
      <c r="V451" s="662">
        <f t="shared" si="20"/>
        <v>0</v>
      </c>
      <c r="W451" s="663"/>
      <c r="X451" s="664">
        <f t="shared" si="21"/>
        <v>0</v>
      </c>
      <c r="Y451" s="683"/>
      <c r="Z451" s="665"/>
      <c r="AA451" s="684"/>
      <c r="AB451" s="685"/>
      <c r="AC451" s="665"/>
      <c r="AD451" s="686"/>
    </row>
    <row r="452" spans="1:30" s="687" customFormat="1" ht="12.75" customHeight="1">
      <c r="A452" s="677"/>
      <c r="B452" s="677"/>
      <c r="C452" s="678"/>
      <c r="D452" s="678"/>
      <c r="E452" s="678"/>
      <c r="F452" s="678"/>
      <c r="G452" s="679"/>
      <c r="H452" s="679"/>
      <c r="I452" s="680"/>
      <c r="J452" s="681"/>
      <c r="K452" s="678"/>
      <c r="L452" s="665"/>
      <c r="M452" s="665"/>
      <c r="N452" s="688"/>
      <c r="O452" s="685"/>
      <c r="P452" s="685"/>
      <c r="Q452" s="678"/>
      <c r="R452" s="678"/>
      <c r="S452" s="661"/>
      <c r="T452" s="661"/>
      <c r="U452" s="661"/>
      <c r="V452" s="662">
        <f t="shared" si="20"/>
        <v>0</v>
      </c>
      <c r="W452" s="663"/>
      <c r="X452" s="664">
        <f t="shared" si="21"/>
        <v>0</v>
      </c>
      <c r="Y452" s="683"/>
      <c r="Z452" s="665"/>
      <c r="AA452" s="684"/>
      <c r="AB452" s="685"/>
      <c r="AC452" s="665"/>
      <c r="AD452" s="686"/>
    </row>
    <row r="453" spans="1:30" s="687" customFormat="1" ht="12.75" customHeight="1">
      <c r="A453" s="677"/>
      <c r="B453" s="677"/>
      <c r="C453" s="678"/>
      <c r="D453" s="678"/>
      <c r="E453" s="678"/>
      <c r="F453" s="678"/>
      <c r="G453" s="679"/>
      <c r="H453" s="679"/>
      <c r="I453" s="680"/>
      <c r="J453" s="681"/>
      <c r="K453" s="678"/>
      <c r="L453" s="665"/>
      <c r="M453" s="665"/>
      <c r="N453" s="688"/>
      <c r="O453" s="685"/>
      <c r="P453" s="685"/>
      <c r="Q453" s="678"/>
      <c r="R453" s="678"/>
      <c r="S453" s="661"/>
      <c r="T453" s="661"/>
      <c r="U453" s="661"/>
      <c r="V453" s="662">
        <f t="shared" si="20"/>
        <v>0</v>
      </c>
      <c r="W453" s="663"/>
      <c r="X453" s="664">
        <f t="shared" si="21"/>
        <v>0</v>
      </c>
      <c r="Y453" s="683"/>
      <c r="Z453" s="665"/>
      <c r="AA453" s="684"/>
      <c r="AB453" s="685"/>
      <c r="AC453" s="665"/>
      <c r="AD453" s="686"/>
    </row>
    <row r="454" spans="1:30" s="687" customFormat="1" ht="12.75" customHeight="1">
      <c r="A454" s="677"/>
      <c r="B454" s="677"/>
      <c r="C454" s="678"/>
      <c r="D454" s="678"/>
      <c r="E454" s="678"/>
      <c r="F454" s="678"/>
      <c r="G454" s="679"/>
      <c r="H454" s="679"/>
      <c r="I454" s="680"/>
      <c r="J454" s="681"/>
      <c r="K454" s="678"/>
      <c r="L454" s="665"/>
      <c r="M454" s="665"/>
      <c r="N454" s="688"/>
      <c r="O454" s="685"/>
      <c r="P454" s="685"/>
      <c r="Q454" s="678"/>
      <c r="R454" s="678"/>
      <c r="S454" s="661"/>
      <c r="T454" s="661"/>
      <c r="U454" s="661"/>
      <c r="V454" s="662">
        <f t="shared" si="20"/>
        <v>0</v>
      </c>
      <c r="W454" s="663"/>
      <c r="X454" s="664">
        <f t="shared" si="21"/>
        <v>0</v>
      </c>
      <c r="Y454" s="683"/>
      <c r="Z454" s="665"/>
      <c r="AA454" s="684"/>
      <c r="AB454" s="685"/>
      <c r="AC454" s="665"/>
      <c r="AD454" s="686"/>
    </row>
    <row r="455" spans="1:30" s="687" customFormat="1" ht="12.75" customHeight="1">
      <c r="A455" s="677"/>
      <c r="B455" s="677"/>
      <c r="C455" s="678"/>
      <c r="D455" s="678"/>
      <c r="E455" s="678"/>
      <c r="F455" s="678"/>
      <c r="G455" s="679"/>
      <c r="H455" s="679"/>
      <c r="I455" s="680"/>
      <c r="J455" s="681"/>
      <c r="K455" s="678"/>
      <c r="L455" s="665"/>
      <c r="M455" s="665"/>
      <c r="N455" s="688"/>
      <c r="O455" s="685"/>
      <c r="P455" s="685"/>
      <c r="Q455" s="678"/>
      <c r="R455" s="678"/>
      <c r="S455" s="661"/>
      <c r="T455" s="661"/>
      <c r="U455" s="661"/>
      <c r="V455" s="662">
        <f t="shared" si="20"/>
        <v>0</v>
      </c>
      <c r="W455" s="663"/>
      <c r="X455" s="664">
        <f t="shared" si="21"/>
        <v>0</v>
      </c>
      <c r="Y455" s="683"/>
      <c r="Z455" s="665"/>
      <c r="AA455" s="684"/>
      <c r="AB455" s="685"/>
      <c r="AC455" s="665"/>
      <c r="AD455" s="686"/>
    </row>
    <row r="456" spans="1:30" s="687" customFormat="1" ht="12.75" customHeight="1">
      <c r="A456" s="677"/>
      <c r="B456" s="677"/>
      <c r="C456" s="678"/>
      <c r="D456" s="678"/>
      <c r="E456" s="678"/>
      <c r="F456" s="678"/>
      <c r="G456" s="679"/>
      <c r="H456" s="679"/>
      <c r="I456" s="680"/>
      <c r="J456" s="681"/>
      <c r="K456" s="678"/>
      <c r="L456" s="665"/>
      <c r="M456" s="665"/>
      <c r="N456" s="688"/>
      <c r="O456" s="685"/>
      <c r="P456" s="685"/>
      <c r="Q456" s="678"/>
      <c r="R456" s="678"/>
      <c r="S456" s="661"/>
      <c r="T456" s="661"/>
      <c r="U456" s="661"/>
      <c r="V456" s="662">
        <f t="shared" si="20"/>
        <v>0</v>
      </c>
      <c r="W456" s="663"/>
      <c r="X456" s="664">
        <f t="shared" si="21"/>
        <v>0</v>
      </c>
      <c r="Y456" s="683"/>
      <c r="Z456" s="665"/>
      <c r="AA456" s="684"/>
      <c r="AB456" s="685"/>
      <c r="AC456" s="665"/>
      <c r="AD456" s="686"/>
    </row>
    <row r="457" spans="1:30" s="687" customFormat="1" ht="12.75" customHeight="1">
      <c r="A457" s="677"/>
      <c r="B457" s="677"/>
      <c r="C457" s="678"/>
      <c r="D457" s="678"/>
      <c r="E457" s="678"/>
      <c r="F457" s="678"/>
      <c r="G457" s="679"/>
      <c r="H457" s="679"/>
      <c r="I457" s="680"/>
      <c r="J457" s="681"/>
      <c r="K457" s="678"/>
      <c r="L457" s="665"/>
      <c r="M457" s="665"/>
      <c r="N457" s="688"/>
      <c r="O457" s="685"/>
      <c r="P457" s="685"/>
      <c r="Q457" s="678"/>
      <c r="R457" s="678"/>
      <c r="S457" s="661"/>
      <c r="T457" s="661"/>
      <c r="U457" s="661"/>
      <c r="V457" s="662">
        <f t="shared" si="20"/>
        <v>0</v>
      </c>
      <c r="W457" s="663"/>
      <c r="X457" s="664">
        <f t="shared" si="21"/>
        <v>0</v>
      </c>
      <c r="Y457" s="683"/>
      <c r="Z457" s="665"/>
      <c r="AA457" s="684"/>
      <c r="AB457" s="685"/>
      <c r="AC457" s="665"/>
      <c r="AD457" s="686"/>
    </row>
    <row r="458" spans="1:30" s="687" customFormat="1" ht="12.75" customHeight="1">
      <c r="A458" s="677"/>
      <c r="B458" s="677"/>
      <c r="C458" s="678"/>
      <c r="D458" s="678"/>
      <c r="E458" s="678"/>
      <c r="F458" s="678"/>
      <c r="G458" s="679"/>
      <c r="H458" s="679"/>
      <c r="I458" s="680"/>
      <c r="J458" s="681"/>
      <c r="K458" s="678"/>
      <c r="L458" s="665"/>
      <c r="M458" s="665"/>
      <c r="N458" s="688"/>
      <c r="O458" s="685"/>
      <c r="P458" s="685"/>
      <c r="Q458" s="678"/>
      <c r="R458" s="678"/>
      <c r="S458" s="661"/>
      <c r="T458" s="661"/>
      <c r="U458" s="661"/>
      <c r="V458" s="662">
        <f t="shared" si="20"/>
        <v>0</v>
      </c>
      <c r="W458" s="663"/>
      <c r="X458" s="664">
        <f t="shared" si="21"/>
        <v>0</v>
      </c>
      <c r="Y458" s="683"/>
      <c r="Z458" s="665"/>
      <c r="AA458" s="684"/>
      <c r="AB458" s="685"/>
      <c r="AC458" s="665"/>
      <c r="AD458" s="686"/>
    </row>
    <row r="459" spans="1:30" s="687" customFormat="1" ht="12.75" customHeight="1">
      <c r="A459" s="677"/>
      <c r="B459" s="677"/>
      <c r="C459" s="678"/>
      <c r="D459" s="678"/>
      <c r="E459" s="678"/>
      <c r="F459" s="678"/>
      <c r="G459" s="679"/>
      <c r="H459" s="679"/>
      <c r="I459" s="680"/>
      <c r="J459" s="681"/>
      <c r="K459" s="678"/>
      <c r="L459" s="665"/>
      <c r="M459" s="665"/>
      <c r="N459" s="688"/>
      <c r="O459" s="685"/>
      <c r="P459" s="685"/>
      <c r="Q459" s="678"/>
      <c r="R459" s="678"/>
      <c r="S459" s="661"/>
      <c r="T459" s="661"/>
      <c r="U459" s="661"/>
      <c r="V459" s="662">
        <f t="shared" si="20"/>
        <v>0</v>
      </c>
      <c r="W459" s="663"/>
      <c r="X459" s="664">
        <f t="shared" si="21"/>
        <v>0</v>
      </c>
      <c r="Y459" s="683"/>
      <c r="Z459" s="665"/>
      <c r="AA459" s="684"/>
      <c r="AB459" s="685"/>
      <c r="AC459" s="665"/>
      <c r="AD459" s="686"/>
    </row>
    <row r="460" spans="1:30" s="687" customFormat="1" ht="12.75" customHeight="1">
      <c r="A460" s="677"/>
      <c r="B460" s="677"/>
      <c r="C460" s="678"/>
      <c r="D460" s="678"/>
      <c r="E460" s="678"/>
      <c r="F460" s="678"/>
      <c r="G460" s="679"/>
      <c r="H460" s="679"/>
      <c r="I460" s="680"/>
      <c r="J460" s="681"/>
      <c r="K460" s="678"/>
      <c r="L460" s="665"/>
      <c r="M460" s="665"/>
      <c r="N460" s="688"/>
      <c r="O460" s="685"/>
      <c r="P460" s="685"/>
      <c r="Q460" s="678"/>
      <c r="R460" s="678"/>
      <c r="S460" s="661"/>
      <c r="T460" s="661"/>
      <c r="U460" s="661"/>
      <c r="V460" s="662">
        <f t="shared" si="20"/>
        <v>0</v>
      </c>
      <c r="W460" s="663"/>
      <c r="X460" s="664">
        <f t="shared" si="21"/>
        <v>0</v>
      </c>
      <c r="Y460" s="683"/>
      <c r="Z460" s="665"/>
      <c r="AA460" s="684"/>
      <c r="AB460" s="685"/>
      <c r="AC460" s="665"/>
      <c r="AD460" s="686"/>
    </row>
    <row r="461" spans="1:30" s="687" customFormat="1" ht="12.75" customHeight="1">
      <c r="A461" s="677"/>
      <c r="B461" s="677"/>
      <c r="C461" s="678"/>
      <c r="D461" s="678"/>
      <c r="E461" s="678"/>
      <c r="F461" s="678"/>
      <c r="G461" s="679"/>
      <c r="H461" s="679"/>
      <c r="I461" s="680"/>
      <c r="J461" s="681"/>
      <c r="K461" s="678"/>
      <c r="L461" s="665"/>
      <c r="M461" s="665"/>
      <c r="N461" s="688"/>
      <c r="O461" s="685"/>
      <c r="P461" s="685"/>
      <c r="Q461" s="678"/>
      <c r="R461" s="678"/>
      <c r="S461" s="661"/>
      <c r="T461" s="661"/>
      <c r="U461" s="661"/>
      <c r="V461" s="662">
        <f t="shared" si="20"/>
        <v>0</v>
      </c>
      <c r="W461" s="663"/>
      <c r="X461" s="664">
        <f t="shared" si="21"/>
        <v>0</v>
      </c>
      <c r="Y461" s="683"/>
      <c r="Z461" s="665"/>
      <c r="AA461" s="684"/>
      <c r="AB461" s="685"/>
      <c r="AC461" s="665"/>
      <c r="AD461" s="686"/>
    </row>
    <row r="462" spans="1:30" s="687" customFormat="1" ht="12.75" customHeight="1">
      <c r="A462" s="677"/>
      <c r="B462" s="677"/>
      <c r="C462" s="678"/>
      <c r="D462" s="678"/>
      <c r="E462" s="678"/>
      <c r="F462" s="678"/>
      <c r="G462" s="679"/>
      <c r="H462" s="679"/>
      <c r="I462" s="680"/>
      <c r="J462" s="681"/>
      <c r="K462" s="678"/>
      <c r="L462" s="665"/>
      <c r="M462" s="665"/>
      <c r="N462" s="688"/>
      <c r="O462" s="685"/>
      <c r="P462" s="685"/>
      <c r="Q462" s="678"/>
      <c r="R462" s="678"/>
      <c r="S462" s="661"/>
      <c r="T462" s="661"/>
      <c r="U462" s="661"/>
      <c r="V462" s="662">
        <f t="shared" si="20"/>
        <v>0</v>
      </c>
      <c r="W462" s="663"/>
      <c r="X462" s="664">
        <f t="shared" si="21"/>
        <v>0</v>
      </c>
      <c r="Y462" s="683"/>
      <c r="Z462" s="665"/>
      <c r="AA462" s="684"/>
      <c r="AB462" s="685"/>
      <c r="AC462" s="665"/>
      <c r="AD462" s="686"/>
    </row>
    <row r="463" spans="1:30" s="687" customFormat="1" ht="12.75" customHeight="1">
      <c r="A463" s="677"/>
      <c r="B463" s="677"/>
      <c r="C463" s="678"/>
      <c r="D463" s="678"/>
      <c r="E463" s="678"/>
      <c r="F463" s="678"/>
      <c r="G463" s="679"/>
      <c r="H463" s="679"/>
      <c r="I463" s="680"/>
      <c r="J463" s="681"/>
      <c r="K463" s="678"/>
      <c r="L463" s="665"/>
      <c r="M463" s="665"/>
      <c r="N463" s="688"/>
      <c r="O463" s="685"/>
      <c r="P463" s="685"/>
      <c r="Q463" s="678"/>
      <c r="R463" s="678"/>
      <c r="S463" s="661"/>
      <c r="T463" s="661"/>
      <c r="U463" s="661"/>
      <c r="V463" s="662">
        <f t="shared" si="20"/>
        <v>0</v>
      </c>
      <c r="W463" s="663"/>
      <c r="X463" s="664">
        <f t="shared" si="21"/>
        <v>0</v>
      </c>
      <c r="Y463" s="683"/>
      <c r="Z463" s="665"/>
      <c r="AA463" s="684"/>
      <c r="AB463" s="685"/>
      <c r="AC463" s="665"/>
      <c r="AD463" s="686"/>
    </row>
    <row r="464" spans="1:30" s="687" customFormat="1" ht="12.75" customHeight="1">
      <c r="A464" s="677"/>
      <c r="B464" s="677"/>
      <c r="C464" s="678"/>
      <c r="D464" s="678"/>
      <c r="E464" s="678"/>
      <c r="F464" s="678"/>
      <c r="G464" s="679"/>
      <c r="H464" s="679"/>
      <c r="I464" s="680"/>
      <c r="J464" s="681"/>
      <c r="K464" s="678"/>
      <c r="L464" s="665"/>
      <c r="M464" s="665"/>
      <c r="N464" s="688"/>
      <c r="O464" s="685"/>
      <c r="P464" s="685"/>
      <c r="Q464" s="678"/>
      <c r="R464" s="678"/>
      <c r="S464" s="661"/>
      <c r="T464" s="661"/>
      <c r="U464" s="661"/>
      <c r="V464" s="662">
        <f t="shared" si="20"/>
        <v>0</v>
      </c>
      <c r="W464" s="663"/>
      <c r="X464" s="664">
        <f t="shared" si="21"/>
        <v>0</v>
      </c>
      <c r="Y464" s="683"/>
      <c r="Z464" s="665"/>
      <c r="AA464" s="684"/>
      <c r="AB464" s="685"/>
      <c r="AC464" s="665"/>
      <c r="AD464" s="686"/>
    </row>
    <row r="465" spans="1:30" s="687" customFormat="1" ht="12.75" customHeight="1">
      <c r="A465" s="677"/>
      <c r="B465" s="677"/>
      <c r="C465" s="678"/>
      <c r="D465" s="678"/>
      <c r="E465" s="678"/>
      <c r="F465" s="678"/>
      <c r="G465" s="679"/>
      <c r="H465" s="679"/>
      <c r="I465" s="680"/>
      <c r="J465" s="681"/>
      <c r="K465" s="678"/>
      <c r="L465" s="665"/>
      <c r="M465" s="665"/>
      <c r="N465" s="688"/>
      <c r="O465" s="685"/>
      <c r="P465" s="685"/>
      <c r="Q465" s="678"/>
      <c r="R465" s="678"/>
      <c r="S465" s="661"/>
      <c r="T465" s="661"/>
      <c r="U465" s="661"/>
      <c r="V465" s="662">
        <f t="shared" si="20"/>
        <v>0</v>
      </c>
      <c r="W465" s="663"/>
      <c r="X465" s="664">
        <f t="shared" si="21"/>
        <v>0</v>
      </c>
      <c r="Y465" s="683"/>
      <c r="Z465" s="665"/>
      <c r="AA465" s="684"/>
      <c r="AB465" s="685"/>
      <c r="AC465" s="665"/>
      <c r="AD465" s="686"/>
    </row>
    <row r="466" spans="1:30" s="687" customFormat="1" ht="12.75" customHeight="1">
      <c r="A466" s="677"/>
      <c r="B466" s="677"/>
      <c r="C466" s="678"/>
      <c r="D466" s="678"/>
      <c r="E466" s="678"/>
      <c r="F466" s="678"/>
      <c r="G466" s="679"/>
      <c r="H466" s="679"/>
      <c r="I466" s="680"/>
      <c r="J466" s="681"/>
      <c r="K466" s="678"/>
      <c r="L466" s="665"/>
      <c r="M466" s="665"/>
      <c r="N466" s="688"/>
      <c r="O466" s="685"/>
      <c r="P466" s="685"/>
      <c r="Q466" s="678"/>
      <c r="R466" s="678"/>
      <c r="S466" s="661"/>
      <c r="T466" s="661"/>
      <c r="U466" s="661"/>
      <c r="V466" s="662">
        <f t="shared" si="20"/>
        <v>0</v>
      </c>
      <c r="W466" s="663"/>
      <c r="X466" s="664">
        <f t="shared" si="21"/>
        <v>0</v>
      </c>
      <c r="Y466" s="683"/>
      <c r="Z466" s="665"/>
      <c r="AA466" s="684"/>
      <c r="AB466" s="685"/>
      <c r="AC466" s="665"/>
      <c r="AD466" s="686"/>
    </row>
    <row r="467" spans="1:30" s="687" customFormat="1" ht="12.75" customHeight="1">
      <c r="A467" s="677"/>
      <c r="B467" s="677"/>
      <c r="C467" s="678"/>
      <c r="D467" s="678"/>
      <c r="E467" s="678"/>
      <c r="F467" s="678"/>
      <c r="G467" s="679"/>
      <c r="H467" s="679"/>
      <c r="I467" s="680"/>
      <c r="J467" s="681"/>
      <c r="K467" s="678"/>
      <c r="L467" s="665"/>
      <c r="M467" s="665"/>
      <c r="N467" s="688"/>
      <c r="O467" s="685"/>
      <c r="P467" s="685"/>
      <c r="Q467" s="678"/>
      <c r="R467" s="678"/>
      <c r="S467" s="661"/>
      <c r="T467" s="661"/>
      <c r="U467" s="661"/>
      <c r="V467" s="662">
        <f t="shared" si="20"/>
        <v>0</v>
      </c>
      <c r="W467" s="663"/>
      <c r="X467" s="664">
        <f t="shared" si="21"/>
        <v>0</v>
      </c>
      <c r="Y467" s="683"/>
      <c r="Z467" s="665"/>
      <c r="AA467" s="684"/>
      <c r="AB467" s="685"/>
      <c r="AC467" s="665"/>
      <c r="AD467" s="686"/>
    </row>
    <row r="468" spans="1:30" s="687" customFormat="1" ht="12.75" customHeight="1">
      <c r="A468" s="677"/>
      <c r="B468" s="677"/>
      <c r="C468" s="678"/>
      <c r="D468" s="678"/>
      <c r="E468" s="678"/>
      <c r="F468" s="678"/>
      <c r="G468" s="679"/>
      <c r="H468" s="679"/>
      <c r="I468" s="680"/>
      <c r="J468" s="681"/>
      <c r="K468" s="678"/>
      <c r="L468" s="665"/>
      <c r="M468" s="665"/>
      <c r="N468" s="688"/>
      <c r="O468" s="685"/>
      <c r="P468" s="685"/>
      <c r="Q468" s="678"/>
      <c r="R468" s="678"/>
      <c r="S468" s="661"/>
      <c r="T468" s="661"/>
      <c r="U468" s="661"/>
      <c r="V468" s="662">
        <f t="shared" si="20"/>
        <v>0</v>
      </c>
      <c r="W468" s="663"/>
      <c r="X468" s="664">
        <f t="shared" si="21"/>
        <v>0</v>
      </c>
      <c r="Y468" s="683"/>
      <c r="Z468" s="665"/>
      <c r="AA468" s="684"/>
      <c r="AB468" s="685"/>
      <c r="AC468" s="665"/>
      <c r="AD468" s="686"/>
    </row>
    <row r="469" spans="1:30" s="687" customFormat="1" ht="12.75" customHeight="1">
      <c r="A469" s="677"/>
      <c r="B469" s="677"/>
      <c r="C469" s="678"/>
      <c r="D469" s="678"/>
      <c r="E469" s="678"/>
      <c r="F469" s="678"/>
      <c r="G469" s="679"/>
      <c r="H469" s="679"/>
      <c r="I469" s="680"/>
      <c r="J469" s="681"/>
      <c r="K469" s="678"/>
      <c r="L469" s="665"/>
      <c r="M469" s="665"/>
      <c r="N469" s="688"/>
      <c r="O469" s="685"/>
      <c r="P469" s="685"/>
      <c r="Q469" s="678"/>
      <c r="R469" s="678"/>
      <c r="S469" s="661"/>
      <c r="T469" s="661"/>
      <c r="U469" s="661"/>
      <c r="V469" s="662">
        <f t="shared" si="20"/>
        <v>0</v>
      </c>
      <c r="W469" s="663"/>
      <c r="X469" s="664">
        <f t="shared" si="21"/>
        <v>0</v>
      </c>
      <c r="Y469" s="683"/>
      <c r="Z469" s="665"/>
      <c r="AA469" s="684"/>
      <c r="AB469" s="685"/>
      <c r="AC469" s="665"/>
      <c r="AD469" s="686"/>
    </row>
    <row r="470" spans="1:30" s="687" customFormat="1" ht="12.75" customHeight="1">
      <c r="A470" s="677"/>
      <c r="B470" s="677"/>
      <c r="C470" s="678"/>
      <c r="D470" s="678"/>
      <c r="E470" s="678"/>
      <c r="F470" s="678"/>
      <c r="G470" s="679"/>
      <c r="H470" s="679"/>
      <c r="I470" s="680"/>
      <c r="J470" s="681"/>
      <c r="K470" s="678"/>
      <c r="L470" s="665"/>
      <c r="M470" s="665"/>
      <c r="N470" s="688"/>
      <c r="O470" s="685"/>
      <c r="P470" s="685"/>
      <c r="Q470" s="678"/>
      <c r="R470" s="678"/>
      <c r="S470" s="661"/>
      <c r="T470" s="661"/>
      <c r="U470" s="661"/>
      <c r="V470" s="662">
        <f t="shared" si="20"/>
        <v>0</v>
      </c>
      <c r="W470" s="663"/>
      <c r="X470" s="664">
        <f t="shared" si="21"/>
        <v>0</v>
      </c>
      <c r="Y470" s="683"/>
      <c r="Z470" s="665"/>
      <c r="AA470" s="684"/>
      <c r="AB470" s="685"/>
      <c r="AC470" s="665"/>
      <c r="AD470" s="686"/>
    </row>
    <row r="471" spans="1:30" s="687" customFormat="1" ht="12.75" customHeight="1">
      <c r="A471" s="677"/>
      <c r="B471" s="677"/>
      <c r="C471" s="678"/>
      <c r="D471" s="678"/>
      <c r="E471" s="678"/>
      <c r="F471" s="678"/>
      <c r="G471" s="679"/>
      <c r="H471" s="679"/>
      <c r="I471" s="680"/>
      <c r="J471" s="681"/>
      <c r="K471" s="678"/>
      <c r="L471" s="665"/>
      <c r="M471" s="665"/>
      <c r="N471" s="688"/>
      <c r="O471" s="685"/>
      <c r="P471" s="685"/>
      <c r="Q471" s="678"/>
      <c r="R471" s="678"/>
      <c r="S471" s="661"/>
      <c r="T471" s="661"/>
      <c r="U471" s="661"/>
      <c r="V471" s="662">
        <f t="shared" si="20"/>
        <v>0</v>
      </c>
      <c r="W471" s="663"/>
      <c r="X471" s="664">
        <f t="shared" si="21"/>
        <v>0</v>
      </c>
      <c r="Y471" s="683"/>
      <c r="Z471" s="665"/>
      <c r="AA471" s="684"/>
      <c r="AB471" s="685"/>
      <c r="AC471" s="665"/>
      <c r="AD471" s="686"/>
    </row>
    <row r="472" spans="1:30" s="687" customFormat="1" ht="12.75" customHeight="1">
      <c r="A472" s="677"/>
      <c r="B472" s="677"/>
      <c r="C472" s="678"/>
      <c r="D472" s="678"/>
      <c r="E472" s="678"/>
      <c r="F472" s="678"/>
      <c r="G472" s="679"/>
      <c r="H472" s="679"/>
      <c r="I472" s="680"/>
      <c r="J472" s="681"/>
      <c r="K472" s="678"/>
      <c r="L472" s="665"/>
      <c r="M472" s="665"/>
      <c r="N472" s="688"/>
      <c r="O472" s="685"/>
      <c r="P472" s="685"/>
      <c r="Q472" s="678"/>
      <c r="R472" s="678"/>
      <c r="S472" s="661"/>
      <c r="T472" s="661"/>
      <c r="U472" s="661"/>
      <c r="V472" s="662">
        <f t="shared" si="20"/>
        <v>0</v>
      </c>
      <c r="W472" s="663"/>
      <c r="X472" s="664">
        <f t="shared" si="21"/>
        <v>0</v>
      </c>
      <c r="Y472" s="683"/>
      <c r="Z472" s="665"/>
      <c r="AA472" s="684"/>
      <c r="AB472" s="685"/>
      <c r="AC472" s="665"/>
      <c r="AD472" s="686"/>
    </row>
    <row r="473" spans="1:30" s="687" customFormat="1" ht="12.75" customHeight="1">
      <c r="A473" s="677"/>
      <c r="B473" s="677"/>
      <c r="C473" s="678"/>
      <c r="D473" s="678"/>
      <c r="E473" s="678"/>
      <c r="F473" s="678"/>
      <c r="G473" s="679"/>
      <c r="H473" s="679"/>
      <c r="I473" s="680"/>
      <c r="J473" s="681"/>
      <c r="K473" s="678"/>
      <c r="L473" s="665"/>
      <c r="M473" s="665"/>
      <c r="N473" s="688"/>
      <c r="O473" s="685"/>
      <c r="P473" s="685"/>
      <c r="Q473" s="678"/>
      <c r="R473" s="678"/>
      <c r="S473" s="661"/>
      <c r="T473" s="661"/>
      <c r="U473" s="661"/>
      <c r="V473" s="662">
        <f t="shared" si="20"/>
        <v>0</v>
      </c>
      <c r="W473" s="663"/>
      <c r="X473" s="664">
        <f t="shared" si="21"/>
        <v>0</v>
      </c>
      <c r="Y473" s="683"/>
      <c r="Z473" s="665"/>
      <c r="AA473" s="684"/>
      <c r="AB473" s="685"/>
      <c r="AC473" s="665"/>
      <c r="AD473" s="686"/>
    </row>
    <row r="474" spans="1:30" s="687" customFormat="1" ht="12.75" customHeight="1">
      <c r="A474" s="677"/>
      <c r="B474" s="677"/>
      <c r="C474" s="678"/>
      <c r="D474" s="678"/>
      <c r="E474" s="678"/>
      <c r="F474" s="678"/>
      <c r="G474" s="679"/>
      <c r="H474" s="679"/>
      <c r="I474" s="680"/>
      <c r="J474" s="681"/>
      <c r="K474" s="678"/>
      <c r="L474" s="665"/>
      <c r="M474" s="665"/>
      <c r="N474" s="688"/>
      <c r="O474" s="685"/>
      <c r="P474" s="685"/>
      <c r="Q474" s="678"/>
      <c r="R474" s="678"/>
      <c r="S474" s="661"/>
      <c r="T474" s="661"/>
      <c r="U474" s="661"/>
      <c r="V474" s="662">
        <f t="shared" si="20"/>
        <v>0</v>
      </c>
      <c r="W474" s="663"/>
      <c r="X474" s="664">
        <f t="shared" si="21"/>
        <v>0</v>
      </c>
      <c r="Y474" s="683"/>
      <c r="Z474" s="665"/>
      <c r="AA474" s="684"/>
      <c r="AB474" s="685"/>
      <c r="AC474" s="665"/>
      <c r="AD474" s="686"/>
    </row>
    <row r="475" spans="1:30" s="687" customFormat="1" ht="12.75" customHeight="1">
      <c r="A475" s="677"/>
      <c r="B475" s="677"/>
      <c r="C475" s="678"/>
      <c r="D475" s="678"/>
      <c r="E475" s="678"/>
      <c r="F475" s="678"/>
      <c r="G475" s="679"/>
      <c r="H475" s="679"/>
      <c r="I475" s="680"/>
      <c r="J475" s="681"/>
      <c r="K475" s="678"/>
      <c r="L475" s="665"/>
      <c r="M475" s="665"/>
      <c r="N475" s="688"/>
      <c r="O475" s="685"/>
      <c r="P475" s="685"/>
      <c r="Q475" s="678"/>
      <c r="R475" s="678"/>
      <c r="S475" s="661"/>
      <c r="T475" s="661"/>
      <c r="U475" s="661"/>
      <c r="V475" s="662">
        <f t="shared" si="20"/>
        <v>0</v>
      </c>
      <c r="W475" s="663"/>
      <c r="X475" s="664">
        <f t="shared" si="21"/>
        <v>0</v>
      </c>
      <c r="Y475" s="683"/>
      <c r="Z475" s="665"/>
      <c r="AA475" s="684"/>
      <c r="AB475" s="685"/>
      <c r="AC475" s="665"/>
      <c r="AD475" s="686"/>
    </row>
    <row r="476" spans="1:30" s="687" customFormat="1" ht="12.75" customHeight="1">
      <c r="A476" s="677"/>
      <c r="B476" s="677"/>
      <c r="C476" s="678"/>
      <c r="D476" s="678"/>
      <c r="E476" s="678"/>
      <c r="F476" s="678"/>
      <c r="G476" s="679"/>
      <c r="H476" s="679"/>
      <c r="I476" s="680"/>
      <c r="J476" s="681"/>
      <c r="K476" s="678"/>
      <c r="L476" s="665"/>
      <c r="M476" s="665"/>
      <c r="N476" s="688"/>
      <c r="O476" s="685"/>
      <c r="P476" s="685"/>
      <c r="Q476" s="678"/>
      <c r="R476" s="678"/>
      <c r="S476" s="661"/>
      <c r="T476" s="661"/>
      <c r="U476" s="661"/>
      <c r="V476" s="662">
        <f t="shared" si="20"/>
        <v>0</v>
      </c>
      <c r="W476" s="663"/>
      <c r="X476" s="664">
        <f t="shared" si="21"/>
        <v>0</v>
      </c>
      <c r="Y476" s="683"/>
      <c r="Z476" s="665"/>
      <c r="AA476" s="684"/>
      <c r="AB476" s="685"/>
      <c r="AC476" s="665"/>
      <c r="AD476" s="686"/>
    </row>
    <row r="477" spans="1:30" s="687" customFormat="1" ht="12.75" customHeight="1">
      <c r="A477" s="677"/>
      <c r="B477" s="677"/>
      <c r="C477" s="678"/>
      <c r="D477" s="678"/>
      <c r="E477" s="678"/>
      <c r="F477" s="678"/>
      <c r="G477" s="679"/>
      <c r="H477" s="679"/>
      <c r="I477" s="680"/>
      <c r="J477" s="681"/>
      <c r="K477" s="678"/>
      <c r="L477" s="665"/>
      <c r="M477" s="665"/>
      <c r="N477" s="688"/>
      <c r="O477" s="685"/>
      <c r="P477" s="685"/>
      <c r="Q477" s="678"/>
      <c r="R477" s="678"/>
      <c r="S477" s="661"/>
      <c r="T477" s="661"/>
      <c r="U477" s="661"/>
      <c r="V477" s="662">
        <f t="shared" si="20"/>
        <v>0</v>
      </c>
      <c r="W477" s="663"/>
      <c r="X477" s="664">
        <f t="shared" si="21"/>
        <v>0</v>
      </c>
      <c r="Y477" s="683"/>
      <c r="Z477" s="665"/>
      <c r="AA477" s="684"/>
      <c r="AB477" s="685"/>
      <c r="AC477" s="665"/>
      <c r="AD477" s="686"/>
    </row>
    <row r="478" spans="1:30" s="687" customFormat="1" ht="12.75" customHeight="1">
      <c r="A478" s="677"/>
      <c r="B478" s="677"/>
      <c r="C478" s="678"/>
      <c r="D478" s="678"/>
      <c r="E478" s="678"/>
      <c r="F478" s="678"/>
      <c r="G478" s="679"/>
      <c r="H478" s="679"/>
      <c r="I478" s="680"/>
      <c r="J478" s="681"/>
      <c r="K478" s="678"/>
      <c r="L478" s="665"/>
      <c r="M478" s="665"/>
      <c r="N478" s="688"/>
      <c r="O478" s="685"/>
      <c r="P478" s="685"/>
      <c r="Q478" s="678"/>
      <c r="R478" s="678"/>
      <c r="S478" s="661"/>
      <c r="T478" s="661"/>
      <c r="U478" s="661"/>
      <c r="V478" s="662">
        <f t="shared" si="20"/>
        <v>0</v>
      </c>
      <c r="W478" s="663"/>
      <c r="X478" s="664">
        <f t="shared" si="21"/>
        <v>0</v>
      </c>
      <c r="Y478" s="683"/>
      <c r="Z478" s="665"/>
      <c r="AA478" s="684"/>
      <c r="AB478" s="685"/>
      <c r="AC478" s="665"/>
      <c r="AD478" s="686"/>
    </row>
    <row r="479" spans="1:30" s="687" customFormat="1" ht="12.75" customHeight="1">
      <c r="A479" s="677"/>
      <c r="B479" s="677"/>
      <c r="C479" s="678"/>
      <c r="D479" s="678"/>
      <c r="E479" s="678"/>
      <c r="F479" s="678"/>
      <c r="G479" s="679"/>
      <c r="H479" s="679"/>
      <c r="I479" s="680"/>
      <c r="J479" s="681"/>
      <c r="K479" s="678"/>
      <c r="L479" s="665"/>
      <c r="M479" s="665"/>
      <c r="N479" s="688"/>
      <c r="O479" s="685"/>
      <c r="P479" s="685"/>
      <c r="Q479" s="678"/>
      <c r="R479" s="678"/>
      <c r="S479" s="661"/>
      <c r="T479" s="661"/>
      <c r="U479" s="661"/>
      <c r="V479" s="662">
        <f t="shared" si="20"/>
        <v>0</v>
      </c>
      <c r="W479" s="663"/>
      <c r="X479" s="664">
        <f t="shared" si="21"/>
        <v>0</v>
      </c>
      <c r="Y479" s="683"/>
      <c r="Z479" s="665"/>
      <c r="AA479" s="684"/>
      <c r="AB479" s="685"/>
      <c r="AC479" s="665"/>
      <c r="AD479" s="686"/>
    </row>
    <row r="480" spans="1:30" s="687" customFormat="1" ht="12.75" customHeight="1">
      <c r="A480" s="677"/>
      <c r="B480" s="677"/>
      <c r="C480" s="678"/>
      <c r="D480" s="678"/>
      <c r="E480" s="678"/>
      <c r="F480" s="678"/>
      <c r="G480" s="679"/>
      <c r="H480" s="679"/>
      <c r="I480" s="680"/>
      <c r="J480" s="681"/>
      <c r="K480" s="678"/>
      <c r="L480" s="665"/>
      <c r="M480" s="665"/>
      <c r="N480" s="688"/>
      <c r="O480" s="685"/>
      <c r="P480" s="685"/>
      <c r="Q480" s="678"/>
      <c r="R480" s="678"/>
      <c r="S480" s="661"/>
      <c r="T480" s="661"/>
      <c r="U480" s="661"/>
      <c r="V480" s="662">
        <f t="shared" si="20"/>
        <v>0</v>
      </c>
      <c r="W480" s="663"/>
      <c r="X480" s="664">
        <f t="shared" si="21"/>
        <v>0</v>
      </c>
      <c r="Y480" s="683"/>
      <c r="Z480" s="665"/>
      <c r="AA480" s="684"/>
      <c r="AB480" s="685"/>
      <c r="AC480" s="665"/>
      <c r="AD480" s="686"/>
    </row>
    <row r="481" spans="1:30" s="687" customFormat="1" ht="12.75" customHeight="1">
      <c r="A481" s="677"/>
      <c r="B481" s="677"/>
      <c r="C481" s="678"/>
      <c r="D481" s="678"/>
      <c r="E481" s="678"/>
      <c r="F481" s="678"/>
      <c r="G481" s="679"/>
      <c r="H481" s="679"/>
      <c r="I481" s="680"/>
      <c r="J481" s="681"/>
      <c r="K481" s="678"/>
      <c r="L481" s="665"/>
      <c r="M481" s="665"/>
      <c r="N481" s="688"/>
      <c r="O481" s="685"/>
      <c r="P481" s="685"/>
      <c r="Q481" s="678"/>
      <c r="R481" s="678"/>
      <c r="S481" s="661"/>
      <c r="T481" s="661"/>
      <c r="U481" s="661"/>
      <c r="V481" s="662">
        <f t="shared" si="20"/>
        <v>0</v>
      </c>
      <c r="W481" s="663"/>
      <c r="X481" s="664">
        <f t="shared" si="21"/>
        <v>0</v>
      </c>
      <c r="Y481" s="683"/>
      <c r="Z481" s="665"/>
      <c r="AA481" s="684"/>
      <c r="AB481" s="685"/>
      <c r="AC481" s="665"/>
      <c r="AD481" s="686"/>
    </row>
    <row r="482" spans="1:30" s="687" customFormat="1" ht="12.75" customHeight="1">
      <c r="A482" s="677"/>
      <c r="B482" s="677"/>
      <c r="C482" s="678"/>
      <c r="D482" s="678"/>
      <c r="E482" s="678"/>
      <c r="F482" s="678"/>
      <c r="G482" s="679"/>
      <c r="H482" s="679"/>
      <c r="I482" s="680"/>
      <c r="J482" s="681"/>
      <c r="K482" s="678"/>
      <c r="L482" s="665"/>
      <c r="M482" s="665"/>
      <c r="N482" s="688"/>
      <c r="O482" s="685"/>
      <c r="P482" s="685"/>
      <c r="Q482" s="678"/>
      <c r="R482" s="678"/>
      <c r="S482" s="661"/>
      <c r="T482" s="661"/>
      <c r="U482" s="661"/>
      <c r="V482" s="662">
        <f t="shared" si="20"/>
        <v>0</v>
      </c>
      <c r="W482" s="663"/>
      <c r="X482" s="664">
        <f t="shared" si="21"/>
        <v>0</v>
      </c>
      <c r="Y482" s="683"/>
      <c r="Z482" s="665"/>
      <c r="AA482" s="684"/>
      <c r="AB482" s="685"/>
      <c r="AC482" s="665"/>
      <c r="AD482" s="686"/>
    </row>
    <row r="483" spans="1:30" s="687" customFormat="1" ht="12.75" customHeight="1">
      <c r="A483" s="677"/>
      <c r="B483" s="677"/>
      <c r="C483" s="678"/>
      <c r="D483" s="678"/>
      <c r="E483" s="678"/>
      <c r="F483" s="678"/>
      <c r="G483" s="679"/>
      <c r="H483" s="679"/>
      <c r="I483" s="680"/>
      <c r="J483" s="681"/>
      <c r="K483" s="678"/>
      <c r="L483" s="665"/>
      <c r="M483" s="665"/>
      <c r="N483" s="688"/>
      <c r="O483" s="685"/>
      <c r="P483" s="685"/>
      <c r="Q483" s="678"/>
      <c r="R483" s="678"/>
      <c r="S483" s="661"/>
      <c r="T483" s="661"/>
      <c r="U483" s="661"/>
      <c r="V483" s="662">
        <f t="shared" si="20"/>
        <v>0</v>
      </c>
      <c r="W483" s="663"/>
      <c r="X483" s="664">
        <f t="shared" si="21"/>
        <v>0</v>
      </c>
      <c r="Y483" s="683"/>
      <c r="Z483" s="665"/>
      <c r="AA483" s="684"/>
      <c r="AB483" s="685"/>
      <c r="AC483" s="665"/>
      <c r="AD483" s="686"/>
    </row>
    <row r="484" spans="1:30" s="687" customFormat="1" ht="12.75" customHeight="1">
      <c r="A484" s="677"/>
      <c r="B484" s="677"/>
      <c r="C484" s="678"/>
      <c r="D484" s="678"/>
      <c r="E484" s="678"/>
      <c r="F484" s="678"/>
      <c r="G484" s="679"/>
      <c r="H484" s="679"/>
      <c r="I484" s="680"/>
      <c r="J484" s="681"/>
      <c r="K484" s="678"/>
      <c r="L484" s="665"/>
      <c r="M484" s="665"/>
      <c r="N484" s="688"/>
      <c r="O484" s="685"/>
      <c r="P484" s="685"/>
      <c r="Q484" s="678"/>
      <c r="R484" s="678"/>
      <c r="S484" s="661"/>
      <c r="T484" s="661"/>
      <c r="U484" s="661"/>
      <c r="V484" s="662">
        <f t="shared" si="20"/>
        <v>0</v>
      </c>
      <c r="W484" s="663"/>
      <c r="X484" s="664">
        <f t="shared" si="21"/>
        <v>0</v>
      </c>
      <c r="Y484" s="683"/>
      <c r="Z484" s="665"/>
      <c r="AA484" s="684"/>
      <c r="AB484" s="685"/>
      <c r="AC484" s="665"/>
      <c r="AD484" s="686"/>
    </row>
    <row r="485" spans="1:30" s="687" customFormat="1" ht="12.75" customHeight="1">
      <c r="A485" s="677"/>
      <c r="B485" s="677"/>
      <c r="C485" s="678"/>
      <c r="D485" s="678"/>
      <c r="E485" s="678"/>
      <c r="F485" s="678"/>
      <c r="G485" s="679"/>
      <c r="H485" s="679"/>
      <c r="I485" s="680"/>
      <c r="J485" s="681"/>
      <c r="K485" s="678"/>
      <c r="L485" s="665"/>
      <c r="M485" s="665"/>
      <c r="N485" s="688"/>
      <c r="O485" s="685"/>
      <c r="P485" s="685"/>
      <c r="Q485" s="678"/>
      <c r="R485" s="678"/>
      <c r="S485" s="661"/>
      <c r="T485" s="661"/>
      <c r="U485" s="661"/>
      <c r="V485" s="662">
        <f t="shared" si="20"/>
        <v>0</v>
      </c>
      <c r="W485" s="663"/>
      <c r="X485" s="664">
        <f t="shared" si="21"/>
        <v>0</v>
      </c>
      <c r="Y485" s="683"/>
      <c r="Z485" s="665"/>
      <c r="AA485" s="684"/>
      <c r="AB485" s="685"/>
      <c r="AC485" s="665"/>
      <c r="AD485" s="686"/>
    </row>
    <row r="486" spans="1:30" s="687" customFormat="1" ht="12.75" customHeight="1">
      <c r="A486" s="677"/>
      <c r="B486" s="677"/>
      <c r="C486" s="678"/>
      <c r="D486" s="678"/>
      <c r="E486" s="678"/>
      <c r="F486" s="678"/>
      <c r="G486" s="679"/>
      <c r="H486" s="679"/>
      <c r="I486" s="680"/>
      <c r="J486" s="681"/>
      <c r="K486" s="678"/>
      <c r="L486" s="665"/>
      <c r="M486" s="665"/>
      <c r="N486" s="688"/>
      <c r="O486" s="685"/>
      <c r="P486" s="685"/>
      <c r="Q486" s="678"/>
      <c r="R486" s="678"/>
      <c r="S486" s="661"/>
      <c r="T486" s="661"/>
      <c r="U486" s="661"/>
      <c r="V486" s="662">
        <f t="shared" si="20"/>
        <v>0</v>
      </c>
      <c r="W486" s="663"/>
      <c r="X486" s="664">
        <f t="shared" si="21"/>
        <v>0</v>
      </c>
      <c r="Y486" s="683"/>
      <c r="Z486" s="665"/>
      <c r="AA486" s="684"/>
      <c r="AB486" s="685"/>
      <c r="AC486" s="665"/>
      <c r="AD486" s="686"/>
    </row>
    <row r="487" spans="1:30" s="687" customFormat="1" ht="12.75" customHeight="1">
      <c r="A487" s="677"/>
      <c r="B487" s="677"/>
      <c r="C487" s="678"/>
      <c r="D487" s="678"/>
      <c r="E487" s="678"/>
      <c r="F487" s="678"/>
      <c r="G487" s="679"/>
      <c r="H487" s="679"/>
      <c r="I487" s="680"/>
      <c r="J487" s="681"/>
      <c r="K487" s="678"/>
      <c r="L487" s="665"/>
      <c r="M487" s="665"/>
      <c r="N487" s="688"/>
      <c r="O487" s="685"/>
      <c r="P487" s="685"/>
      <c r="Q487" s="678"/>
      <c r="R487" s="678"/>
      <c r="S487" s="661"/>
      <c r="T487" s="661"/>
      <c r="U487" s="661"/>
      <c r="V487" s="662">
        <f t="shared" si="20"/>
        <v>0</v>
      </c>
      <c r="W487" s="663"/>
      <c r="X487" s="664">
        <f t="shared" si="21"/>
        <v>0</v>
      </c>
      <c r="Y487" s="683"/>
      <c r="Z487" s="665"/>
      <c r="AA487" s="684"/>
      <c r="AB487" s="685"/>
      <c r="AC487" s="665"/>
      <c r="AD487" s="686"/>
    </row>
    <row r="488" spans="1:30" s="687" customFormat="1" ht="12.75" customHeight="1">
      <c r="A488" s="677"/>
      <c r="B488" s="677"/>
      <c r="C488" s="678"/>
      <c r="D488" s="678"/>
      <c r="E488" s="678"/>
      <c r="F488" s="678"/>
      <c r="G488" s="679"/>
      <c r="H488" s="679"/>
      <c r="I488" s="680"/>
      <c r="J488" s="681"/>
      <c r="K488" s="678"/>
      <c r="L488" s="665"/>
      <c r="M488" s="665"/>
      <c r="N488" s="688"/>
      <c r="O488" s="685"/>
      <c r="P488" s="685"/>
      <c r="Q488" s="678"/>
      <c r="R488" s="678"/>
      <c r="S488" s="661"/>
      <c r="T488" s="661"/>
      <c r="U488" s="661"/>
      <c r="V488" s="662">
        <f t="shared" si="20"/>
        <v>0</v>
      </c>
      <c r="W488" s="663"/>
      <c r="X488" s="664">
        <f t="shared" si="21"/>
        <v>0</v>
      </c>
      <c r="Y488" s="683"/>
      <c r="Z488" s="665"/>
      <c r="AA488" s="684"/>
      <c r="AB488" s="685"/>
      <c r="AC488" s="665"/>
      <c r="AD488" s="686"/>
    </row>
    <row r="489" spans="1:30" s="687" customFormat="1" ht="12.75" customHeight="1">
      <c r="A489" s="677"/>
      <c r="B489" s="677"/>
      <c r="C489" s="678"/>
      <c r="D489" s="678"/>
      <c r="E489" s="678"/>
      <c r="F489" s="678"/>
      <c r="G489" s="679"/>
      <c r="H489" s="679"/>
      <c r="I489" s="680"/>
      <c r="J489" s="681"/>
      <c r="K489" s="678"/>
      <c r="L489" s="665"/>
      <c r="M489" s="665"/>
      <c r="N489" s="688"/>
      <c r="O489" s="685"/>
      <c r="P489" s="685"/>
      <c r="Q489" s="678"/>
      <c r="R489" s="678"/>
      <c r="S489" s="661"/>
      <c r="T489" s="661"/>
      <c r="U489" s="661"/>
      <c r="V489" s="662">
        <f t="shared" si="20"/>
        <v>0</v>
      </c>
      <c r="W489" s="663"/>
      <c r="X489" s="664">
        <f t="shared" si="21"/>
        <v>0</v>
      </c>
      <c r="Y489" s="683"/>
      <c r="Z489" s="665"/>
      <c r="AA489" s="684"/>
      <c r="AB489" s="685"/>
      <c r="AC489" s="665"/>
      <c r="AD489" s="686"/>
    </row>
    <row r="490" spans="1:30" s="687" customFormat="1" ht="12.75" customHeight="1">
      <c r="A490" s="677"/>
      <c r="B490" s="677"/>
      <c r="C490" s="678"/>
      <c r="D490" s="678"/>
      <c r="E490" s="678"/>
      <c r="F490" s="678"/>
      <c r="G490" s="679"/>
      <c r="H490" s="679"/>
      <c r="I490" s="680"/>
      <c r="J490" s="681"/>
      <c r="K490" s="678"/>
      <c r="L490" s="665"/>
      <c r="M490" s="665"/>
      <c r="N490" s="688"/>
      <c r="O490" s="685"/>
      <c r="P490" s="685"/>
      <c r="Q490" s="678"/>
      <c r="R490" s="678"/>
      <c r="S490" s="661"/>
      <c r="T490" s="661"/>
      <c r="U490" s="661"/>
      <c r="V490" s="662">
        <f t="shared" si="20"/>
        <v>0</v>
      </c>
      <c r="W490" s="663"/>
      <c r="X490" s="664">
        <f t="shared" si="21"/>
        <v>0</v>
      </c>
      <c r="Y490" s="683"/>
      <c r="Z490" s="665"/>
      <c r="AA490" s="684"/>
      <c r="AB490" s="685"/>
      <c r="AC490" s="665"/>
      <c r="AD490" s="686"/>
    </row>
    <row r="491" spans="1:30" s="687" customFormat="1" ht="12.75" customHeight="1">
      <c r="A491" s="677"/>
      <c r="B491" s="677"/>
      <c r="C491" s="678"/>
      <c r="D491" s="678"/>
      <c r="E491" s="678"/>
      <c r="F491" s="678"/>
      <c r="G491" s="679"/>
      <c r="H491" s="679"/>
      <c r="I491" s="680"/>
      <c r="J491" s="681"/>
      <c r="K491" s="678"/>
      <c r="L491" s="665"/>
      <c r="M491" s="665"/>
      <c r="N491" s="688"/>
      <c r="O491" s="685"/>
      <c r="P491" s="685"/>
      <c r="Q491" s="678"/>
      <c r="R491" s="678"/>
      <c r="S491" s="661"/>
      <c r="T491" s="661"/>
      <c r="U491" s="661"/>
      <c r="V491" s="662">
        <f t="shared" si="20"/>
        <v>0</v>
      </c>
      <c r="W491" s="663"/>
      <c r="X491" s="664">
        <f t="shared" si="21"/>
        <v>0</v>
      </c>
      <c r="Y491" s="683"/>
      <c r="Z491" s="665"/>
      <c r="AA491" s="684"/>
      <c r="AB491" s="685"/>
      <c r="AC491" s="665"/>
      <c r="AD491" s="686"/>
    </row>
    <row r="492" spans="1:30" ht="12.75" customHeight="1"/>
    <row r="493" spans="1:30" ht="12.75" customHeight="1"/>
  </sheetData>
  <sheetProtection selectLockedCells="1" autoFilter="0" selectUnlockedCells="1"/>
  <autoFilter ref="A1:W241">
    <filterColumn colId="1"/>
    <filterColumn colId="2"/>
    <filterColumn colId="3"/>
    <filterColumn colId="8"/>
    <filterColumn colId="9"/>
    <filterColumn colId="10"/>
    <filterColumn colId="11"/>
    <filterColumn colId="12"/>
    <filterColumn colId="13"/>
  </autoFilter>
  <dataConsolidate/>
  <mergeCells count="15">
    <mergeCell ref="O18:O19"/>
    <mergeCell ref="P18:P19"/>
    <mergeCell ref="O15:O16"/>
    <mergeCell ref="P15:P16"/>
    <mergeCell ref="O2:O3"/>
    <mergeCell ref="P2:P3"/>
    <mergeCell ref="O8:O9"/>
    <mergeCell ref="P8:P9"/>
    <mergeCell ref="O6:O7"/>
    <mergeCell ref="O4:O5"/>
    <mergeCell ref="P4:P5"/>
    <mergeCell ref="O11:O12"/>
    <mergeCell ref="P11:P12"/>
    <mergeCell ref="O13:O14"/>
    <mergeCell ref="P13:P14"/>
  </mergeCells>
  <conditionalFormatting sqref="A1:B1">
    <cfRule type="duplicateValues" dxfId="384" priority="4"/>
  </conditionalFormatting>
  <conditionalFormatting sqref="AA2:AA491">
    <cfRule type="containsText" dxfId="383" priority="2" operator="containsText" text="Vermelho">
      <formula>NOT(ISERROR(SEARCH("Vermelho",AA2)))</formula>
    </cfRule>
    <cfRule type="containsText" dxfId="382" priority="3" operator="containsText" text="Verde">
      <formula>NOT(ISERROR(SEARCH("Verde",AA2)))</formula>
    </cfRule>
  </conditionalFormatting>
  <conditionalFormatting sqref="AC2:AC491">
    <cfRule type="cellIs" dxfId="381" priority="1" operator="equal">
      <formula>0</formula>
    </cfRule>
  </conditionalFormatting>
  <pageMargins left="0.78740157480314965" right="0.78740157480314965" top="0.98425196850393704" bottom="0.98425196850393704" header="0.51181102362204722" footer="0.51181102362204722"/>
  <pageSetup paperSize="9" scale="19" fitToHeight="4" orientation="portrait" r:id="rId1"/>
  <headerFooter alignWithMargins="0"/>
</worksheet>
</file>

<file path=xl/worksheets/sheet5.xml><?xml version="1.0" encoding="utf-8"?>
<worksheet xmlns="http://schemas.openxmlformats.org/spreadsheetml/2006/main" xmlns:r="http://schemas.openxmlformats.org/officeDocument/2006/relationships">
  <sheetPr codeName="Sheet7"/>
  <dimension ref="A1:AV613"/>
  <sheetViews>
    <sheetView workbookViewId="0">
      <pane xSplit="2" ySplit="612" topLeftCell="C613" activePane="bottomRight" state="frozen"/>
      <selection pane="topRight" activeCell="C1" sqref="C1"/>
      <selection pane="bottomLeft" activeCell="A613" sqref="A613"/>
      <selection pane="bottomRight" activeCell="C624" sqref="C624"/>
    </sheetView>
  </sheetViews>
  <sheetFormatPr defaultColWidth="9.140625" defaultRowHeight="12.75"/>
  <cols>
    <col min="1" max="1" width="3.28515625" style="49" customWidth="1"/>
    <col min="2" max="2" width="13.42578125" style="52" customWidth="1"/>
    <col min="3" max="3" width="20.85546875" style="52" bestFit="1" customWidth="1"/>
    <col min="4" max="4" width="14.5703125" style="52" customWidth="1"/>
    <col min="5" max="5" width="18.28515625" style="52" customWidth="1"/>
    <col min="6" max="6" width="14" style="52" customWidth="1"/>
    <col min="7" max="7" width="17.85546875" style="52" bestFit="1" customWidth="1"/>
    <col min="8" max="9" width="17.85546875" style="52" customWidth="1"/>
    <col min="10" max="10" width="15.85546875" style="52" bestFit="1" customWidth="1"/>
    <col min="11" max="11" width="8" style="52" customWidth="1"/>
    <col min="12" max="12" width="9" style="52" customWidth="1"/>
    <col min="13" max="13" width="11.28515625" style="52" bestFit="1" customWidth="1"/>
    <col min="14" max="14" width="12.42578125" style="52" bestFit="1" customWidth="1"/>
    <col min="15" max="15" width="65.42578125" style="52" customWidth="1"/>
    <col min="16" max="16" width="11.42578125" style="52" customWidth="1"/>
    <col min="17" max="16384" width="9.140625" style="49"/>
  </cols>
  <sheetData>
    <row r="1" spans="1:17" s="98" customFormat="1" ht="38.25">
      <c r="B1" s="96" t="s">
        <v>1207</v>
      </c>
      <c r="C1" s="96" t="s">
        <v>1201</v>
      </c>
      <c r="D1" s="96" t="s">
        <v>1470</v>
      </c>
      <c r="E1" s="96" t="s">
        <v>1471</v>
      </c>
      <c r="F1" s="96" t="s">
        <v>1577</v>
      </c>
      <c r="G1" s="97" t="s">
        <v>510</v>
      </c>
      <c r="H1" s="97" t="s">
        <v>2570</v>
      </c>
      <c r="I1" s="97" t="s">
        <v>874</v>
      </c>
      <c r="J1" s="96" t="s">
        <v>514</v>
      </c>
      <c r="K1" s="96" t="s">
        <v>1837</v>
      </c>
      <c r="L1" s="96" t="s">
        <v>1838</v>
      </c>
      <c r="M1" s="97" t="s">
        <v>1840</v>
      </c>
      <c r="N1" s="194" t="s">
        <v>1839</v>
      </c>
      <c r="O1" s="96" t="s">
        <v>1208</v>
      </c>
      <c r="P1" s="96" t="s">
        <v>2340</v>
      </c>
      <c r="Q1" s="98" t="s">
        <v>2156</v>
      </c>
    </row>
    <row r="2" spans="1:17" ht="114.75" hidden="1">
      <c r="A2" s="49" t="s">
        <v>1870</v>
      </c>
      <c r="B2" s="52" t="s">
        <v>1868</v>
      </c>
      <c r="C2" s="52" t="s">
        <v>1863</v>
      </c>
      <c r="J2" s="52" t="s">
        <v>1864</v>
      </c>
      <c r="O2" s="79" t="s">
        <v>686</v>
      </c>
      <c r="P2" s="41" t="s">
        <v>2148</v>
      </c>
    </row>
    <row r="3" spans="1:17" ht="102" hidden="1">
      <c r="A3" s="49" t="s">
        <v>1870</v>
      </c>
      <c r="B3" s="52" t="s">
        <v>631</v>
      </c>
      <c r="C3" s="52" t="s">
        <v>386</v>
      </c>
      <c r="J3" s="52" t="s">
        <v>1864</v>
      </c>
      <c r="O3" s="79" t="s">
        <v>2004</v>
      </c>
      <c r="P3" s="43" t="s">
        <v>2146</v>
      </c>
    </row>
    <row r="4" spans="1:17" ht="191.25" hidden="1">
      <c r="A4" s="49" t="s">
        <v>1870</v>
      </c>
      <c r="B4" s="52" t="s">
        <v>2020</v>
      </c>
      <c r="C4" s="52" t="s">
        <v>1863</v>
      </c>
      <c r="J4" s="52" t="s">
        <v>1206</v>
      </c>
      <c r="O4" s="99" t="s">
        <v>1663</v>
      </c>
      <c r="P4" s="41" t="s">
        <v>2148</v>
      </c>
    </row>
    <row r="5" spans="1:17" ht="38.25" hidden="1">
      <c r="A5" s="49" t="s">
        <v>1870</v>
      </c>
      <c r="B5" s="52" t="s">
        <v>2683</v>
      </c>
      <c r="C5" s="52" t="s">
        <v>2684</v>
      </c>
      <c r="G5" s="52" t="s">
        <v>2513</v>
      </c>
      <c r="J5" s="52" t="s">
        <v>1206</v>
      </c>
      <c r="O5" s="79" t="s">
        <v>879</v>
      </c>
      <c r="P5" s="43" t="s">
        <v>2146</v>
      </c>
    </row>
    <row r="6" spans="1:17" ht="153" hidden="1">
      <c r="A6" s="49" t="s">
        <v>1870</v>
      </c>
      <c r="B6" s="52" t="s">
        <v>2344</v>
      </c>
      <c r="C6" s="52" t="s">
        <v>2513</v>
      </c>
      <c r="J6" s="52" t="s">
        <v>1864</v>
      </c>
      <c r="O6" s="79" t="s">
        <v>1243</v>
      </c>
      <c r="P6" s="43" t="s">
        <v>2146</v>
      </c>
    </row>
    <row r="7" spans="1:17" ht="51" hidden="1">
      <c r="A7" s="49" t="s">
        <v>1870</v>
      </c>
      <c r="B7" s="52" t="s">
        <v>625</v>
      </c>
      <c r="C7" s="52" t="s">
        <v>1863</v>
      </c>
      <c r="J7" s="52" t="s">
        <v>1864</v>
      </c>
      <c r="O7" s="79" t="s">
        <v>2417</v>
      </c>
      <c r="P7" s="43" t="s">
        <v>2146</v>
      </c>
    </row>
    <row r="8" spans="1:17" ht="76.5" hidden="1">
      <c r="A8" s="49" t="s">
        <v>1870</v>
      </c>
      <c r="B8" s="52" t="s">
        <v>624</v>
      </c>
      <c r="C8" s="52" t="s">
        <v>1863</v>
      </c>
      <c r="J8" s="52" t="s">
        <v>1864</v>
      </c>
      <c r="O8" s="79" t="s">
        <v>2233</v>
      </c>
      <c r="P8" s="43" t="s">
        <v>2146</v>
      </c>
    </row>
    <row r="9" spans="1:17" ht="76.5" hidden="1">
      <c r="A9" s="49" t="s">
        <v>1870</v>
      </c>
      <c r="B9" s="52" t="s">
        <v>623</v>
      </c>
      <c r="C9" s="52" t="s">
        <v>1863</v>
      </c>
      <c r="J9" s="52" t="s">
        <v>1864</v>
      </c>
      <c r="O9" s="79" t="s">
        <v>319</v>
      </c>
      <c r="P9" s="43" t="s">
        <v>2146</v>
      </c>
    </row>
    <row r="10" spans="1:17" ht="242.25" hidden="1">
      <c r="A10" s="49" t="s">
        <v>1870</v>
      </c>
      <c r="B10" s="52" t="s">
        <v>622</v>
      </c>
      <c r="C10" s="52" t="s">
        <v>2513</v>
      </c>
      <c r="J10" s="52" t="s">
        <v>1864</v>
      </c>
      <c r="O10" s="79" t="s">
        <v>886</v>
      </c>
      <c r="P10" s="41" t="s">
        <v>2148</v>
      </c>
    </row>
    <row r="11" spans="1:17" ht="76.5" hidden="1">
      <c r="A11" s="49" t="s">
        <v>1870</v>
      </c>
      <c r="B11" s="52" t="s">
        <v>2069</v>
      </c>
      <c r="C11" s="52" t="s">
        <v>2513</v>
      </c>
      <c r="J11" s="52" t="s">
        <v>1206</v>
      </c>
      <c r="O11" s="79" t="s">
        <v>2641</v>
      </c>
      <c r="P11" s="43" t="s">
        <v>2146</v>
      </c>
    </row>
    <row r="12" spans="1:17" ht="51" hidden="1">
      <c r="A12" s="49" t="s">
        <v>1870</v>
      </c>
      <c r="B12" s="52" t="s">
        <v>794</v>
      </c>
      <c r="C12" s="52" t="s">
        <v>2513</v>
      </c>
      <c r="J12" s="52" t="s">
        <v>1206</v>
      </c>
      <c r="O12" s="79" t="s">
        <v>1140</v>
      </c>
      <c r="P12" s="41" t="s">
        <v>2148</v>
      </c>
    </row>
    <row r="13" spans="1:17" ht="51" hidden="1">
      <c r="A13" s="49" t="s">
        <v>1870</v>
      </c>
      <c r="B13" s="52" t="s">
        <v>970</v>
      </c>
      <c r="C13" s="52" t="s">
        <v>2513</v>
      </c>
      <c r="J13" s="52" t="s">
        <v>1206</v>
      </c>
      <c r="O13" s="62" t="s">
        <v>548</v>
      </c>
      <c r="P13" s="41" t="s">
        <v>2148</v>
      </c>
    </row>
    <row r="14" spans="1:17" ht="38.25" hidden="1">
      <c r="A14" s="49" t="s">
        <v>1870</v>
      </c>
      <c r="B14" s="52" t="s">
        <v>969</v>
      </c>
      <c r="C14" s="52" t="s">
        <v>2513</v>
      </c>
      <c r="J14" s="52" t="s">
        <v>1206</v>
      </c>
      <c r="O14" s="62" t="s">
        <v>2343</v>
      </c>
      <c r="P14" s="43" t="s">
        <v>2146</v>
      </c>
    </row>
    <row r="15" spans="1:17" ht="38.25" hidden="1">
      <c r="A15" s="49" t="s">
        <v>1870</v>
      </c>
      <c r="B15" s="52" t="s">
        <v>2023</v>
      </c>
      <c r="C15" s="52" t="s">
        <v>2513</v>
      </c>
      <c r="J15" s="52" t="s">
        <v>1206</v>
      </c>
      <c r="O15" s="62" t="s">
        <v>2343</v>
      </c>
      <c r="P15" s="43" t="s">
        <v>2146</v>
      </c>
    </row>
    <row r="16" spans="1:17" ht="76.5" hidden="1">
      <c r="A16" s="49" t="s">
        <v>1870</v>
      </c>
      <c r="B16" s="52" t="s">
        <v>2021</v>
      </c>
      <c r="C16" s="52" t="s">
        <v>2022</v>
      </c>
      <c r="J16" s="52" t="s">
        <v>1864</v>
      </c>
      <c r="O16" s="79" t="s">
        <v>2697</v>
      </c>
      <c r="P16" s="40" t="s">
        <v>2147</v>
      </c>
    </row>
    <row r="17" spans="1:48" ht="89.25" hidden="1">
      <c r="A17" s="49" t="s">
        <v>1870</v>
      </c>
      <c r="B17" s="52" t="s">
        <v>2066</v>
      </c>
      <c r="C17" s="52" t="s">
        <v>2067</v>
      </c>
      <c r="J17" s="52" t="s">
        <v>1864</v>
      </c>
      <c r="O17" s="79" t="s">
        <v>2714</v>
      </c>
      <c r="P17" s="43" t="s">
        <v>2146</v>
      </c>
    </row>
    <row r="18" spans="1:48" s="83" customFormat="1" ht="38.25" hidden="1">
      <c r="A18" s="83" t="s">
        <v>555</v>
      </c>
      <c r="B18" s="52" t="s">
        <v>2155</v>
      </c>
      <c r="C18" s="25" t="s">
        <v>246</v>
      </c>
      <c r="D18" s="25"/>
      <c r="E18" s="25"/>
      <c r="F18" s="25"/>
      <c r="G18" s="25" t="s">
        <v>2513</v>
      </c>
      <c r="H18" s="25"/>
      <c r="I18" s="25"/>
      <c r="J18" s="25"/>
      <c r="K18" s="25"/>
      <c r="L18" s="25"/>
      <c r="M18" s="25"/>
      <c r="N18" s="25"/>
      <c r="O18" s="62" t="s">
        <v>2204</v>
      </c>
      <c r="P18" s="40" t="s">
        <v>2147</v>
      </c>
      <c r="Q18" s="78"/>
      <c r="R18" s="78"/>
      <c r="S18" s="84"/>
      <c r="T18" s="78"/>
      <c r="U18" s="85"/>
      <c r="V18" s="86"/>
      <c r="W18" s="86"/>
      <c r="X18" s="87"/>
      <c r="Y18" s="88"/>
      <c r="Z18" s="86"/>
      <c r="AA18" s="78"/>
      <c r="AB18" s="86"/>
      <c r="AC18" s="78"/>
      <c r="AD18" s="78"/>
      <c r="AE18" s="78"/>
      <c r="AF18" s="78"/>
      <c r="AG18" s="78"/>
      <c r="AH18" s="78"/>
      <c r="AI18" s="78"/>
      <c r="AJ18" s="89"/>
      <c r="AK18" s="89"/>
      <c r="AL18" s="90"/>
      <c r="AM18" s="91"/>
      <c r="AN18" s="90"/>
      <c r="AO18" s="92"/>
      <c r="AP18" s="92"/>
      <c r="AQ18" s="78"/>
      <c r="AR18" s="86"/>
      <c r="AS18" s="78"/>
      <c r="AT18" s="87"/>
      <c r="AU18" s="86"/>
      <c r="AV18" s="85"/>
    </row>
    <row r="19" spans="1:48" ht="76.5" hidden="1">
      <c r="A19" s="49" t="s">
        <v>555</v>
      </c>
      <c r="B19" s="52" t="s">
        <v>1659</v>
      </c>
      <c r="C19" s="100" t="s">
        <v>1660</v>
      </c>
      <c r="D19" s="100"/>
      <c r="E19" s="100"/>
      <c r="F19" s="100"/>
      <c r="G19" s="52" t="s">
        <v>2513</v>
      </c>
      <c r="J19" s="52" t="s">
        <v>1206</v>
      </c>
      <c r="O19" s="79" t="s">
        <v>1468</v>
      </c>
      <c r="P19" s="40" t="s">
        <v>2147</v>
      </c>
    </row>
    <row r="20" spans="1:48" s="83" customFormat="1" ht="25.5" hidden="1">
      <c r="A20" s="83" t="s">
        <v>555</v>
      </c>
      <c r="B20" s="52" t="s">
        <v>612</v>
      </c>
      <c r="C20" s="25" t="s">
        <v>1092</v>
      </c>
      <c r="D20" s="25"/>
      <c r="E20" s="25"/>
      <c r="F20" s="25"/>
      <c r="G20" s="25" t="s">
        <v>2513</v>
      </c>
      <c r="H20" s="25"/>
      <c r="I20" s="25"/>
      <c r="J20" s="25"/>
      <c r="K20" s="25"/>
      <c r="L20" s="25"/>
      <c r="M20" s="25"/>
      <c r="N20" s="25"/>
      <c r="O20" s="62" t="s">
        <v>2300</v>
      </c>
      <c r="P20" s="43" t="s">
        <v>2146</v>
      </c>
      <c r="Q20" s="78"/>
      <c r="R20" s="78"/>
      <c r="S20" s="84"/>
      <c r="T20" s="78"/>
      <c r="U20" s="85"/>
      <c r="V20" s="86"/>
      <c r="W20" s="86"/>
      <c r="X20" s="87"/>
      <c r="Y20" s="88"/>
      <c r="Z20" s="86"/>
      <c r="AA20" s="78"/>
      <c r="AB20" s="86"/>
      <c r="AC20" s="78"/>
      <c r="AD20" s="78"/>
      <c r="AE20" s="78"/>
      <c r="AF20" s="78"/>
      <c r="AG20" s="78"/>
      <c r="AH20" s="78"/>
      <c r="AI20" s="78"/>
      <c r="AJ20" s="89"/>
      <c r="AK20" s="89"/>
      <c r="AL20" s="90"/>
      <c r="AM20" s="91"/>
      <c r="AN20" s="90"/>
      <c r="AO20" s="92"/>
      <c r="AP20" s="92"/>
      <c r="AQ20" s="78"/>
      <c r="AR20" s="86"/>
      <c r="AS20" s="78"/>
      <c r="AT20" s="87"/>
      <c r="AU20" s="86"/>
      <c r="AV20" s="85"/>
    </row>
    <row r="21" spans="1:48" s="83" customFormat="1" ht="25.5" hidden="1">
      <c r="A21" s="83" t="s">
        <v>555</v>
      </c>
      <c r="B21" s="52" t="s">
        <v>2070</v>
      </c>
      <c r="C21" s="25" t="s">
        <v>1090</v>
      </c>
      <c r="D21" s="25"/>
      <c r="E21" s="25"/>
      <c r="F21" s="25"/>
      <c r="G21" s="25" t="s">
        <v>2513</v>
      </c>
      <c r="H21" s="25"/>
      <c r="I21" s="25"/>
      <c r="J21" s="25"/>
      <c r="K21" s="25"/>
      <c r="L21" s="25"/>
      <c r="M21" s="25"/>
      <c r="N21" s="25"/>
      <c r="O21" s="62" t="s">
        <v>1283</v>
      </c>
      <c r="P21" s="43" t="s">
        <v>2146</v>
      </c>
      <c r="Q21" s="78"/>
      <c r="R21" s="78"/>
      <c r="S21" s="84"/>
      <c r="T21" s="78"/>
      <c r="U21" s="85"/>
      <c r="V21" s="86"/>
      <c r="W21" s="86"/>
      <c r="X21" s="87"/>
      <c r="Y21" s="88"/>
      <c r="Z21" s="86"/>
      <c r="AA21" s="78"/>
      <c r="AB21" s="86"/>
      <c r="AC21" s="78"/>
      <c r="AD21" s="78"/>
      <c r="AE21" s="78"/>
      <c r="AF21" s="78"/>
      <c r="AG21" s="78"/>
      <c r="AH21" s="78"/>
      <c r="AI21" s="78"/>
      <c r="AJ21" s="89"/>
      <c r="AK21" s="89"/>
      <c r="AL21" s="90"/>
      <c r="AM21" s="91"/>
      <c r="AN21" s="90"/>
      <c r="AO21" s="92"/>
      <c r="AP21" s="92"/>
      <c r="AQ21" s="78"/>
      <c r="AR21" s="86"/>
      <c r="AS21" s="78"/>
      <c r="AT21" s="87"/>
      <c r="AU21" s="86"/>
      <c r="AV21" s="85"/>
    </row>
    <row r="22" spans="1:48" s="83" customFormat="1" ht="89.25" hidden="1">
      <c r="A22" s="83" t="s">
        <v>555</v>
      </c>
      <c r="B22" s="52" t="s">
        <v>2702</v>
      </c>
      <c r="C22" s="25" t="s">
        <v>2700</v>
      </c>
      <c r="D22" s="25"/>
      <c r="E22" s="25"/>
      <c r="F22" s="25"/>
      <c r="G22" s="25" t="s">
        <v>2513</v>
      </c>
      <c r="H22" s="25"/>
      <c r="I22" s="25"/>
      <c r="J22" s="25" t="s">
        <v>1206</v>
      </c>
      <c r="K22" s="25"/>
      <c r="L22" s="25"/>
      <c r="M22" s="25"/>
      <c r="N22" s="25"/>
      <c r="O22" s="62" t="s">
        <v>1909</v>
      </c>
      <c r="P22" s="40" t="s">
        <v>2147</v>
      </c>
      <c r="Q22" s="78"/>
      <c r="R22" s="78"/>
      <c r="S22" s="84"/>
      <c r="T22" s="78"/>
      <c r="U22" s="85"/>
      <c r="V22" s="86"/>
      <c r="W22" s="86"/>
      <c r="X22" s="87"/>
      <c r="Y22" s="88"/>
      <c r="Z22" s="86"/>
      <c r="AA22" s="78"/>
      <c r="AB22" s="86"/>
      <c r="AC22" s="78"/>
      <c r="AD22" s="78"/>
      <c r="AE22" s="78"/>
      <c r="AF22" s="78"/>
      <c r="AG22" s="78"/>
      <c r="AH22" s="78"/>
      <c r="AI22" s="78"/>
      <c r="AJ22" s="89"/>
      <c r="AK22" s="89"/>
      <c r="AL22" s="90"/>
      <c r="AM22" s="91"/>
      <c r="AN22" s="90"/>
      <c r="AO22" s="92"/>
      <c r="AP22" s="92"/>
      <c r="AQ22" s="78"/>
      <c r="AR22" s="86"/>
      <c r="AS22" s="78"/>
      <c r="AT22" s="87"/>
      <c r="AU22" s="86"/>
      <c r="AV22" s="85"/>
    </row>
    <row r="23" spans="1:48" s="83" customFormat="1" ht="51" hidden="1">
      <c r="A23" s="83" t="s">
        <v>555</v>
      </c>
      <c r="B23" s="52" t="s">
        <v>971</v>
      </c>
      <c r="C23" s="25" t="s">
        <v>2705</v>
      </c>
      <c r="D23" s="25"/>
      <c r="E23" s="25"/>
      <c r="F23" s="25"/>
      <c r="G23" s="25" t="s">
        <v>2513</v>
      </c>
      <c r="H23" s="25"/>
      <c r="I23" s="25"/>
      <c r="J23" s="25"/>
      <c r="K23" s="25"/>
      <c r="L23" s="25"/>
      <c r="M23" s="25"/>
      <c r="N23" s="25"/>
      <c r="O23" s="62" t="s">
        <v>532</v>
      </c>
      <c r="P23" s="41" t="s">
        <v>2148</v>
      </c>
      <c r="Q23" s="78"/>
      <c r="R23" s="78"/>
      <c r="S23" s="84"/>
      <c r="T23" s="78"/>
      <c r="U23" s="85"/>
      <c r="V23" s="86"/>
      <c r="W23" s="86"/>
      <c r="X23" s="87"/>
      <c r="Y23" s="88"/>
      <c r="Z23" s="86"/>
      <c r="AA23" s="78"/>
      <c r="AB23" s="86"/>
      <c r="AC23" s="78"/>
      <c r="AD23" s="78"/>
      <c r="AE23" s="78"/>
      <c r="AF23" s="78"/>
      <c r="AG23" s="78"/>
      <c r="AH23" s="78"/>
      <c r="AI23" s="78"/>
      <c r="AJ23" s="89"/>
      <c r="AK23" s="89"/>
      <c r="AL23" s="90"/>
      <c r="AM23" s="91"/>
      <c r="AN23" s="90"/>
      <c r="AO23" s="92"/>
      <c r="AP23" s="92"/>
      <c r="AQ23" s="78"/>
      <c r="AR23" s="86"/>
      <c r="AS23" s="78"/>
      <c r="AT23" s="87"/>
      <c r="AU23" s="86"/>
      <c r="AV23" s="85"/>
    </row>
    <row r="24" spans="1:48" s="83" customFormat="1" ht="25.5" hidden="1">
      <c r="A24" s="83" t="s">
        <v>555</v>
      </c>
      <c r="B24" s="52" t="s">
        <v>971</v>
      </c>
      <c r="C24" s="25" t="s">
        <v>2704</v>
      </c>
      <c r="D24" s="25"/>
      <c r="E24" s="25"/>
      <c r="F24" s="25"/>
      <c r="G24" s="25" t="s">
        <v>2513</v>
      </c>
      <c r="H24" s="25"/>
      <c r="I24" s="25"/>
      <c r="J24" s="25"/>
      <c r="K24" s="25"/>
      <c r="L24" s="25"/>
      <c r="M24" s="25"/>
      <c r="N24" s="25"/>
      <c r="O24" s="62" t="s">
        <v>474</v>
      </c>
      <c r="P24" s="43" t="s">
        <v>2146</v>
      </c>
      <c r="Q24" s="78"/>
      <c r="R24" s="78"/>
      <c r="S24" s="84"/>
      <c r="T24" s="78"/>
      <c r="U24" s="85"/>
      <c r="V24" s="86"/>
      <c r="W24" s="86"/>
      <c r="X24" s="87"/>
      <c r="Y24" s="88"/>
      <c r="Z24" s="86"/>
      <c r="AA24" s="78"/>
      <c r="AB24" s="86"/>
      <c r="AC24" s="78"/>
      <c r="AD24" s="78"/>
      <c r="AE24" s="78"/>
      <c r="AF24" s="78"/>
      <c r="AG24" s="78"/>
      <c r="AH24" s="78"/>
      <c r="AI24" s="78"/>
      <c r="AJ24" s="89"/>
      <c r="AK24" s="89"/>
      <c r="AL24" s="90"/>
      <c r="AM24" s="91"/>
      <c r="AN24" s="90"/>
      <c r="AO24" s="92"/>
      <c r="AP24" s="92"/>
      <c r="AQ24" s="78"/>
      <c r="AR24" s="86"/>
      <c r="AS24" s="78"/>
      <c r="AT24" s="87"/>
      <c r="AU24" s="86"/>
      <c r="AV24" s="85"/>
    </row>
    <row r="25" spans="1:48" ht="25.5" hidden="1">
      <c r="A25" s="49" t="s">
        <v>555</v>
      </c>
      <c r="B25" s="52" t="s">
        <v>971</v>
      </c>
      <c r="C25" s="52" t="s">
        <v>2361</v>
      </c>
      <c r="G25" s="52" t="s">
        <v>2513</v>
      </c>
      <c r="J25" s="52" t="s">
        <v>1206</v>
      </c>
      <c r="O25" s="79" t="s">
        <v>1664</v>
      </c>
      <c r="P25" s="41" t="s">
        <v>2148</v>
      </c>
    </row>
    <row r="26" spans="1:48" ht="51" hidden="1">
      <c r="A26" s="49" t="s">
        <v>555</v>
      </c>
      <c r="B26" s="52" t="s">
        <v>971</v>
      </c>
      <c r="C26" s="52" t="s">
        <v>1303</v>
      </c>
      <c r="G26" s="52" t="s">
        <v>2513</v>
      </c>
      <c r="J26" s="52" t="s">
        <v>1206</v>
      </c>
      <c r="O26" s="79" t="s">
        <v>880</v>
      </c>
      <c r="P26" s="41" t="s">
        <v>2148</v>
      </c>
    </row>
    <row r="27" spans="1:48" s="83" customFormat="1" ht="25.5" hidden="1">
      <c r="A27" s="83" t="s">
        <v>555</v>
      </c>
      <c r="B27" s="52" t="s">
        <v>971</v>
      </c>
      <c r="C27" s="25" t="s">
        <v>2361</v>
      </c>
      <c r="D27" s="25"/>
      <c r="E27" s="25"/>
      <c r="F27" s="25"/>
      <c r="G27" s="25" t="s">
        <v>2513</v>
      </c>
      <c r="H27" s="25"/>
      <c r="I27" s="25"/>
      <c r="J27" s="25" t="s">
        <v>1206</v>
      </c>
      <c r="K27" s="25"/>
      <c r="L27" s="25"/>
      <c r="M27" s="25"/>
      <c r="N27" s="25"/>
      <c r="O27" s="62" t="s">
        <v>1664</v>
      </c>
      <c r="P27" s="41" t="s">
        <v>2148</v>
      </c>
      <c r="Q27" s="78"/>
      <c r="R27" s="78"/>
      <c r="S27" s="84"/>
      <c r="T27" s="78"/>
      <c r="U27" s="85"/>
      <c r="V27" s="86"/>
      <c r="W27" s="86"/>
      <c r="X27" s="87"/>
      <c r="Y27" s="88"/>
      <c r="Z27" s="86"/>
      <c r="AA27" s="78"/>
      <c r="AB27" s="86"/>
      <c r="AC27" s="78"/>
      <c r="AD27" s="78"/>
      <c r="AE27" s="78"/>
      <c r="AF27" s="78"/>
      <c r="AG27" s="78"/>
      <c r="AH27" s="78"/>
      <c r="AI27" s="78"/>
      <c r="AJ27" s="89"/>
      <c r="AK27" s="89"/>
      <c r="AL27" s="90"/>
      <c r="AM27" s="91"/>
      <c r="AN27" s="90"/>
      <c r="AO27" s="92"/>
      <c r="AP27" s="92"/>
      <c r="AQ27" s="78"/>
      <c r="AR27" s="86"/>
      <c r="AS27" s="78"/>
      <c r="AT27" s="87"/>
      <c r="AU27" s="86"/>
      <c r="AV27" s="85"/>
    </row>
    <row r="28" spans="1:48" s="83" customFormat="1" ht="25.5" hidden="1">
      <c r="A28" s="83" t="s">
        <v>555</v>
      </c>
      <c r="B28" s="52" t="s">
        <v>137</v>
      </c>
      <c r="C28" s="25" t="s">
        <v>1088</v>
      </c>
      <c r="D28" s="25"/>
      <c r="E28" s="25"/>
      <c r="F28" s="25"/>
      <c r="G28" s="25" t="s">
        <v>2513</v>
      </c>
      <c r="H28" s="25"/>
      <c r="I28" s="25"/>
      <c r="J28" s="25"/>
      <c r="K28" s="25"/>
      <c r="L28" s="25"/>
      <c r="M28" s="25"/>
      <c r="N28" s="25"/>
      <c r="O28" s="62" t="s">
        <v>475</v>
      </c>
      <c r="P28" s="43" t="s">
        <v>2146</v>
      </c>
      <c r="Q28" s="78"/>
      <c r="R28" s="78"/>
      <c r="S28" s="84"/>
      <c r="T28" s="78"/>
      <c r="U28" s="85"/>
      <c r="V28" s="86"/>
      <c r="W28" s="86"/>
      <c r="X28" s="87"/>
      <c r="Y28" s="88"/>
      <c r="Z28" s="86"/>
      <c r="AA28" s="78"/>
      <c r="AB28" s="86"/>
      <c r="AC28" s="78"/>
      <c r="AD28" s="78"/>
      <c r="AE28" s="78"/>
      <c r="AF28" s="78"/>
      <c r="AG28" s="78"/>
      <c r="AH28" s="78"/>
      <c r="AI28" s="78"/>
      <c r="AJ28" s="89"/>
      <c r="AK28" s="89"/>
      <c r="AL28" s="90"/>
      <c r="AM28" s="91"/>
      <c r="AN28" s="90"/>
      <c r="AO28" s="92"/>
      <c r="AP28" s="92"/>
      <c r="AQ28" s="78"/>
      <c r="AR28" s="86"/>
      <c r="AS28" s="78"/>
      <c r="AT28" s="87"/>
      <c r="AU28" s="86"/>
      <c r="AV28" s="85"/>
    </row>
    <row r="29" spans="1:48" ht="25.5" hidden="1">
      <c r="A29" s="49" t="s">
        <v>555</v>
      </c>
      <c r="B29" s="52" t="s">
        <v>2342</v>
      </c>
      <c r="C29" s="52" t="s">
        <v>2341</v>
      </c>
      <c r="G29" s="52" t="s">
        <v>2513</v>
      </c>
      <c r="J29" s="52" t="s">
        <v>1206</v>
      </c>
      <c r="O29" s="79" t="s">
        <v>811</v>
      </c>
      <c r="P29" s="43" t="s">
        <v>2146</v>
      </c>
    </row>
    <row r="30" spans="1:48" ht="63.75" hidden="1">
      <c r="A30" s="49" t="s">
        <v>555</v>
      </c>
      <c r="B30" s="52" t="s">
        <v>2582</v>
      </c>
      <c r="C30" s="52" t="s">
        <v>1300</v>
      </c>
      <c r="G30" s="52" t="s">
        <v>2513</v>
      </c>
      <c r="J30" s="52" t="s">
        <v>1206</v>
      </c>
      <c r="O30" s="79" t="s">
        <v>2643</v>
      </c>
      <c r="P30" s="41" t="s">
        <v>2148</v>
      </c>
    </row>
    <row r="31" spans="1:48" s="83" customFormat="1" ht="25.5" hidden="1">
      <c r="A31" s="83" t="s">
        <v>555</v>
      </c>
      <c r="B31" s="52" t="s">
        <v>2152</v>
      </c>
      <c r="C31" s="25" t="s">
        <v>2882</v>
      </c>
      <c r="D31" s="25"/>
      <c r="E31" s="25"/>
      <c r="F31" s="25"/>
      <c r="G31" s="25" t="s">
        <v>2513</v>
      </c>
      <c r="H31" s="25"/>
      <c r="I31" s="25"/>
      <c r="J31" s="25"/>
      <c r="K31" s="25"/>
      <c r="L31" s="25"/>
      <c r="M31" s="25"/>
      <c r="N31" s="25"/>
      <c r="O31" s="62" t="s">
        <v>355</v>
      </c>
      <c r="P31" s="43" t="s">
        <v>2146</v>
      </c>
      <c r="Q31" s="78"/>
      <c r="R31" s="78"/>
      <c r="S31" s="84"/>
      <c r="T31" s="78"/>
      <c r="U31" s="85"/>
      <c r="V31" s="86"/>
      <c r="W31" s="86"/>
      <c r="X31" s="87"/>
      <c r="Y31" s="88"/>
      <c r="Z31" s="86"/>
      <c r="AA31" s="78"/>
      <c r="AB31" s="86"/>
      <c r="AC31" s="78"/>
      <c r="AD31" s="78"/>
      <c r="AE31" s="78"/>
      <c r="AF31" s="78"/>
      <c r="AG31" s="78"/>
      <c r="AH31" s="78"/>
      <c r="AI31" s="78"/>
      <c r="AJ31" s="89"/>
      <c r="AK31" s="89"/>
      <c r="AL31" s="90"/>
      <c r="AM31" s="91"/>
      <c r="AN31" s="90"/>
      <c r="AO31" s="92"/>
      <c r="AP31" s="92"/>
      <c r="AQ31" s="78"/>
      <c r="AR31" s="86"/>
      <c r="AS31" s="78"/>
      <c r="AT31" s="87"/>
      <c r="AU31" s="86"/>
      <c r="AV31" s="85"/>
    </row>
    <row r="32" spans="1:48" s="83" customFormat="1" ht="76.5" hidden="1">
      <c r="A32" s="83" t="s">
        <v>555</v>
      </c>
      <c r="B32" s="52" t="s">
        <v>2701</v>
      </c>
      <c r="C32" s="25" t="s">
        <v>2699</v>
      </c>
      <c r="D32" s="25"/>
      <c r="E32" s="25"/>
      <c r="F32" s="25"/>
      <c r="G32" s="25" t="s">
        <v>2513</v>
      </c>
      <c r="H32" s="25"/>
      <c r="I32" s="25"/>
      <c r="J32" s="25" t="s">
        <v>1206</v>
      </c>
      <c r="K32" s="25"/>
      <c r="L32" s="25"/>
      <c r="M32" s="25"/>
      <c r="N32" s="25"/>
      <c r="O32" s="62" t="s">
        <v>1934</v>
      </c>
      <c r="P32" s="41" t="s">
        <v>2148</v>
      </c>
      <c r="Q32" s="78"/>
      <c r="R32" s="78"/>
      <c r="S32" s="84"/>
      <c r="T32" s="78"/>
      <c r="U32" s="85"/>
      <c r="V32" s="86"/>
      <c r="W32" s="86"/>
      <c r="X32" s="87"/>
      <c r="Y32" s="88"/>
      <c r="Z32" s="86"/>
      <c r="AA32" s="78"/>
      <c r="AB32" s="86"/>
      <c r="AC32" s="78"/>
      <c r="AD32" s="78"/>
      <c r="AE32" s="78"/>
      <c r="AF32" s="78"/>
      <c r="AG32" s="78"/>
      <c r="AH32" s="78"/>
      <c r="AI32" s="78"/>
      <c r="AJ32" s="89"/>
      <c r="AK32" s="89"/>
      <c r="AL32" s="90"/>
      <c r="AM32" s="91"/>
      <c r="AN32" s="90"/>
      <c r="AO32" s="92"/>
      <c r="AP32" s="92"/>
      <c r="AQ32" s="78"/>
      <c r="AR32" s="86"/>
      <c r="AS32" s="78"/>
      <c r="AT32" s="87"/>
      <c r="AU32" s="86"/>
      <c r="AV32" s="85"/>
    </row>
    <row r="33" spans="1:48" s="83" customFormat="1" ht="38.25" hidden="1">
      <c r="A33" s="83" t="s">
        <v>555</v>
      </c>
      <c r="B33" s="52" t="s">
        <v>2151</v>
      </c>
      <c r="C33" s="25" t="s">
        <v>1091</v>
      </c>
      <c r="D33" s="25"/>
      <c r="E33" s="25"/>
      <c r="F33" s="25"/>
      <c r="G33" s="25" t="s">
        <v>2513</v>
      </c>
      <c r="H33" s="25"/>
      <c r="I33" s="25"/>
      <c r="J33" s="25"/>
      <c r="K33" s="25"/>
      <c r="L33" s="25"/>
      <c r="M33" s="25"/>
      <c r="N33" s="25"/>
      <c r="O33" s="62" t="s">
        <v>870</v>
      </c>
      <c r="P33" s="43" t="s">
        <v>2146</v>
      </c>
      <c r="Q33" s="78"/>
      <c r="R33" s="78"/>
      <c r="S33" s="84"/>
      <c r="T33" s="78"/>
      <c r="U33" s="85"/>
      <c r="V33" s="86"/>
      <c r="W33" s="86"/>
      <c r="X33" s="87"/>
      <c r="Y33" s="88"/>
      <c r="Z33" s="86"/>
      <c r="AA33" s="78"/>
      <c r="AB33" s="86"/>
      <c r="AC33" s="78"/>
      <c r="AD33" s="78"/>
      <c r="AE33" s="78"/>
      <c r="AF33" s="78"/>
      <c r="AG33" s="78"/>
      <c r="AH33" s="78"/>
      <c r="AI33" s="78"/>
      <c r="AJ33" s="89"/>
      <c r="AK33" s="89"/>
      <c r="AL33" s="90"/>
      <c r="AM33" s="91"/>
      <c r="AN33" s="90"/>
      <c r="AO33" s="92"/>
      <c r="AP33" s="92"/>
      <c r="AQ33" s="78"/>
      <c r="AR33" s="86"/>
      <c r="AS33" s="78"/>
      <c r="AT33" s="87"/>
      <c r="AU33" s="86"/>
      <c r="AV33" s="85"/>
    </row>
    <row r="34" spans="1:48" s="83" customFormat="1" ht="38.25" hidden="1">
      <c r="A34" s="83" t="s">
        <v>555</v>
      </c>
      <c r="B34" s="52" t="s">
        <v>2151</v>
      </c>
      <c r="C34" s="25" t="s">
        <v>2883</v>
      </c>
      <c r="D34" s="25"/>
      <c r="E34" s="25"/>
      <c r="F34" s="25"/>
      <c r="G34" s="25" t="s">
        <v>2513</v>
      </c>
      <c r="H34" s="25"/>
      <c r="I34" s="25"/>
      <c r="J34" s="25"/>
      <c r="K34" s="25"/>
      <c r="L34" s="25"/>
      <c r="M34" s="25"/>
      <c r="N34" s="25"/>
      <c r="O34" s="62" t="s">
        <v>344</v>
      </c>
      <c r="P34" s="40" t="s">
        <v>2147</v>
      </c>
      <c r="Q34" s="78"/>
      <c r="R34" s="78"/>
      <c r="S34" s="84"/>
      <c r="T34" s="78"/>
      <c r="U34" s="85"/>
      <c r="V34" s="86"/>
      <c r="W34" s="86"/>
      <c r="X34" s="87"/>
      <c r="Y34" s="88"/>
      <c r="Z34" s="86"/>
      <c r="AA34" s="78"/>
      <c r="AB34" s="86"/>
      <c r="AC34" s="78"/>
      <c r="AD34" s="78"/>
      <c r="AE34" s="78"/>
      <c r="AF34" s="78"/>
      <c r="AG34" s="78"/>
      <c r="AH34" s="78"/>
      <c r="AI34" s="78"/>
      <c r="AJ34" s="89"/>
      <c r="AK34" s="89"/>
      <c r="AL34" s="90"/>
      <c r="AM34" s="91"/>
      <c r="AN34" s="90"/>
      <c r="AO34" s="92"/>
      <c r="AP34" s="92"/>
      <c r="AQ34" s="78"/>
      <c r="AR34" s="86"/>
      <c r="AS34" s="78"/>
      <c r="AT34" s="87"/>
      <c r="AU34" s="86"/>
      <c r="AV34" s="85"/>
    </row>
    <row r="35" spans="1:48" ht="63.75" hidden="1">
      <c r="A35" s="49" t="s">
        <v>555</v>
      </c>
      <c r="B35" s="52" t="s">
        <v>1301</v>
      </c>
      <c r="C35" s="52" t="s">
        <v>1302</v>
      </c>
      <c r="G35" s="52" t="s">
        <v>2513</v>
      </c>
      <c r="J35" s="52" t="s">
        <v>1206</v>
      </c>
      <c r="O35" s="79" t="s">
        <v>47</v>
      </c>
      <c r="P35" s="41" t="s">
        <v>2148</v>
      </c>
    </row>
    <row r="36" spans="1:48" s="83" customFormat="1" ht="38.25" hidden="1">
      <c r="A36" s="83" t="s">
        <v>555</v>
      </c>
      <c r="B36" s="52" t="s">
        <v>1301</v>
      </c>
      <c r="C36" s="25" t="s">
        <v>2698</v>
      </c>
      <c r="D36" s="25"/>
      <c r="E36" s="25"/>
      <c r="F36" s="25"/>
      <c r="G36" s="25" t="s">
        <v>2513</v>
      </c>
      <c r="H36" s="25"/>
      <c r="I36" s="25"/>
      <c r="J36" s="25" t="s">
        <v>1206</v>
      </c>
      <c r="K36" s="25"/>
      <c r="L36" s="25"/>
      <c r="M36" s="25"/>
      <c r="N36" s="25"/>
      <c r="O36" s="62" t="s">
        <v>254</v>
      </c>
      <c r="P36" s="41" t="s">
        <v>2148</v>
      </c>
      <c r="Q36" s="78"/>
      <c r="R36" s="78"/>
      <c r="S36" s="84"/>
      <c r="T36" s="78"/>
      <c r="U36" s="85"/>
      <c r="V36" s="86"/>
      <c r="W36" s="86"/>
      <c r="X36" s="87"/>
      <c r="Y36" s="88"/>
      <c r="Z36" s="86"/>
      <c r="AA36" s="78"/>
      <c r="AB36" s="86"/>
      <c r="AC36" s="78"/>
      <c r="AD36" s="78"/>
      <c r="AE36" s="78"/>
      <c r="AF36" s="78"/>
      <c r="AG36" s="78"/>
      <c r="AH36" s="78"/>
      <c r="AI36" s="78"/>
      <c r="AJ36" s="89"/>
      <c r="AK36" s="89"/>
      <c r="AL36" s="90"/>
      <c r="AM36" s="91"/>
      <c r="AN36" s="90"/>
      <c r="AO36" s="92"/>
      <c r="AP36" s="92"/>
      <c r="AQ36" s="78"/>
      <c r="AR36" s="86"/>
      <c r="AS36" s="78"/>
      <c r="AT36" s="87"/>
      <c r="AU36" s="86"/>
      <c r="AV36" s="85"/>
    </row>
    <row r="37" spans="1:48" ht="153" hidden="1">
      <c r="A37" s="49" t="s">
        <v>1870</v>
      </c>
      <c r="B37" s="52" t="s">
        <v>770</v>
      </c>
      <c r="C37" s="52" t="s">
        <v>138</v>
      </c>
      <c r="G37" s="52" t="s">
        <v>2513</v>
      </c>
      <c r="J37" s="52" t="s">
        <v>1864</v>
      </c>
      <c r="O37" s="79" t="s">
        <v>172</v>
      </c>
      <c r="P37" s="41" t="s">
        <v>2148</v>
      </c>
    </row>
    <row r="38" spans="1:48" s="83" customFormat="1" ht="82.5" hidden="1" customHeight="1">
      <c r="A38" s="83" t="s">
        <v>555</v>
      </c>
      <c r="B38" s="52" t="s">
        <v>1094</v>
      </c>
      <c r="C38" s="25" t="s">
        <v>1089</v>
      </c>
      <c r="D38" s="25"/>
      <c r="E38" s="25"/>
      <c r="F38" s="25"/>
      <c r="G38" s="25" t="s">
        <v>704</v>
      </c>
      <c r="H38" s="25"/>
      <c r="I38" s="25"/>
      <c r="J38" s="25" t="s">
        <v>1206</v>
      </c>
      <c r="K38" s="25"/>
      <c r="L38" s="25"/>
      <c r="M38" s="25"/>
      <c r="N38" s="25"/>
      <c r="O38" s="62" t="s">
        <v>691</v>
      </c>
      <c r="P38" s="43" t="s">
        <v>2146</v>
      </c>
      <c r="Q38" s="78"/>
      <c r="R38" s="78"/>
      <c r="S38" s="84"/>
      <c r="T38" s="78"/>
      <c r="U38" s="85"/>
      <c r="V38" s="86"/>
      <c r="W38" s="86"/>
      <c r="X38" s="87"/>
      <c r="Y38" s="88"/>
      <c r="Z38" s="86"/>
      <c r="AA38" s="78"/>
      <c r="AB38" s="86"/>
      <c r="AC38" s="78"/>
      <c r="AD38" s="78"/>
      <c r="AE38" s="78"/>
      <c r="AF38" s="78"/>
      <c r="AG38" s="78"/>
      <c r="AH38" s="78"/>
      <c r="AI38" s="78"/>
      <c r="AJ38" s="89"/>
      <c r="AK38" s="89"/>
      <c r="AL38" s="90"/>
      <c r="AM38" s="91"/>
      <c r="AN38" s="90"/>
      <c r="AO38" s="92"/>
      <c r="AP38" s="92"/>
      <c r="AQ38" s="78"/>
      <c r="AR38" s="86"/>
      <c r="AS38" s="78"/>
      <c r="AT38" s="87"/>
      <c r="AU38" s="86"/>
      <c r="AV38" s="85"/>
    </row>
    <row r="39" spans="1:48" ht="38.25" hidden="1">
      <c r="A39" s="49" t="s">
        <v>555</v>
      </c>
      <c r="B39" s="52" t="s">
        <v>2589</v>
      </c>
      <c r="C39" s="52" t="s">
        <v>2590</v>
      </c>
      <c r="G39" s="52" t="s">
        <v>2513</v>
      </c>
      <c r="J39" s="52" t="s">
        <v>1206</v>
      </c>
      <c r="O39" s="79" t="s">
        <v>399</v>
      </c>
      <c r="P39" s="43" t="s">
        <v>2146</v>
      </c>
    </row>
    <row r="40" spans="1:48" s="83" customFormat="1" ht="52.5" hidden="1" customHeight="1">
      <c r="A40" s="83" t="s">
        <v>555</v>
      </c>
      <c r="B40" s="52" t="s">
        <v>2345</v>
      </c>
      <c r="C40" s="25" t="s">
        <v>2642</v>
      </c>
      <c r="D40" s="25"/>
      <c r="E40" s="25"/>
      <c r="F40" s="25"/>
      <c r="G40" s="25" t="s">
        <v>2513</v>
      </c>
      <c r="H40" s="25"/>
      <c r="I40" s="25"/>
      <c r="J40" s="25" t="s">
        <v>1206</v>
      </c>
      <c r="K40" s="25"/>
      <c r="L40" s="25"/>
      <c r="M40" s="25"/>
      <c r="N40" s="25"/>
      <c r="O40" s="62" t="s">
        <v>2776</v>
      </c>
      <c r="P40" s="43" t="s">
        <v>2146</v>
      </c>
      <c r="Q40" s="78"/>
      <c r="R40" s="78"/>
      <c r="S40" s="84"/>
      <c r="T40" s="78"/>
      <c r="U40" s="85"/>
      <c r="V40" s="86"/>
      <c r="W40" s="86"/>
      <c r="X40" s="87"/>
      <c r="Y40" s="88"/>
      <c r="Z40" s="86"/>
      <c r="AA40" s="78"/>
      <c r="AB40" s="86"/>
      <c r="AC40" s="78"/>
      <c r="AD40" s="78"/>
      <c r="AE40" s="78"/>
      <c r="AF40" s="78"/>
      <c r="AG40" s="78"/>
      <c r="AH40" s="78"/>
      <c r="AI40" s="78"/>
      <c r="AJ40" s="89"/>
      <c r="AK40" s="89"/>
      <c r="AL40" s="90"/>
      <c r="AM40" s="91"/>
      <c r="AN40" s="90"/>
      <c r="AO40" s="92"/>
      <c r="AP40" s="92"/>
      <c r="AQ40" s="78"/>
      <c r="AR40" s="86"/>
      <c r="AS40" s="78"/>
      <c r="AT40" s="87"/>
      <c r="AU40" s="86"/>
      <c r="AV40" s="85"/>
    </row>
    <row r="41" spans="1:48" s="83" customFormat="1" ht="63.75" hidden="1">
      <c r="A41" s="83" t="s">
        <v>1870</v>
      </c>
      <c r="B41" s="52" t="s">
        <v>2925</v>
      </c>
      <c r="C41" s="25" t="s">
        <v>2778</v>
      </c>
      <c r="D41" s="25"/>
      <c r="E41" s="25"/>
      <c r="F41" s="25"/>
      <c r="G41" s="25" t="s">
        <v>2513</v>
      </c>
      <c r="H41" s="25"/>
      <c r="I41" s="25"/>
      <c r="J41" s="25" t="s">
        <v>582</v>
      </c>
      <c r="K41" s="25"/>
      <c r="L41" s="25"/>
      <c r="M41" s="25"/>
      <c r="N41" s="25"/>
      <c r="O41" s="62" t="s">
        <v>244</v>
      </c>
      <c r="P41" s="43" t="s">
        <v>2146</v>
      </c>
      <c r="Q41" s="78"/>
      <c r="R41" s="78"/>
      <c r="S41" s="84"/>
      <c r="T41" s="78"/>
      <c r="U41" s="85"/>
      <c r="V41" s="86"/>
      <c r="W41" s="86"/>
      <c r="X41" s="87"/>
      <c r="Y41" s="88"/>
      <c r="Z41" s="86"/>
      <c r="AA41" s="78"/>
      <c r="AB41" s="86"/>
      <c r="AC41" s="78"/>
      <c r="AD41" s="78"/>
      <c r="AE41" s="78"/>
      <c r="AF41" s="78"/>
      <c r="AG41" s="78"/>
      <c r="AH41" s="78"/>
      <c r="AI41" s="78"/>
      <c r="AJ41" s="89"/>
      <c r="AK41" s="89"/>
      <c r="AL41" s="90"/>
      <c r="AM41" s="91"/>
      <c r="AN41" s="90"/>
      <c r="AO41" s="92"/>
      <c r="AP41" s="92"/>
      <c r="AQ41" s="78"/>
      <c r="AR41" s="86"/>
      <c r="AS41" s="78"/>
      <c r="AT41" s="87"/>
      <c r="AU41" s="86"/>
      <c r="AV41" s="85"/>
    </row>
    <row r="42" spans="1:48" ht="114.75" hidden="1">
      <c r="A42" s="49" t="s">
        <v>1870</v>
      </c>
      <c r="B42" s="52" t="s">
        <v>2558</v>
      </c>
      <c r="G42" s="52" t="s">
        <v>2022</v>
      </c>
      <c r="J42" s="52" t="s">
        <v>1864</v>
      </c>
      <c r="O42" s="79" t="s">
        <v>2297</v>
      </c>
      <c r="P42" s="43" t="s">
        <v>2146</v>
      </c>
    </row>
    <row r="43" spans="1:48" ht="89.25" hidden="1">
      <c r="A43" s="49" t="s">
        <v>1870</v>
      </c>
      <c r="B43" s="52" t="s">
        <v>2440</v>
      </c>
      <c r="G43" s="52" t="s">
        <v>2441</v>
      </c>
      <c r="J43" s="52" t="s">
        <v>1864</v>
      </c>
      <c r="O43" s="79" t="s">
        <v>891</v>
      </c>
      <c r="P43" s="43" t="s">
        <v>2146</v>
      </c>
    </row>
    <row r="44" spans="1:48" ht="89.25" hidden="1" customHeight="1">
      <c r="A44" s="49" t="s">
        <v>1870</v>
      </c>
      <c r="B44" s="52" t="s">
        <v>1865</v>
      </c>
      <c r="G44" s="52" t="s">
        <v>2513</v>
      </c>
      <c r="J44" s="52" t="s">
        <v>1206</v>
      </c>
      <c r="O44" s="62" t="s">
        <v>1877</v>
      </c>
      <c r="P44" s="41" t="s">
        <v>2148</v>
      </c>
    </row>
    <row r="45" spans="1:48" ht="255.75" hidden="1" customHeight="1">
      <c r="A45" s="49" t="s">
        <v>1870</v>
      </c>
      <c r="B45" s="52" t="s">
        <v>2772</v>
      </c>
      <c r="G45" s="52" t="s">
        <v>1793</v>
      </c>
      <c r="J45" s="52" t="s">
        <v>1864</v>
      </c>
      <c r="O45" s="79" t="s">
        <v>298</v>
      </c>
      <c r="P45" s="41" t="s">
        <v>2148</v>
      </c>
    </row>
    <row r="46" spans="1:48" ht="204.75" hidden="1" customHeight="1">
      <c r="A46" s="49" t="s">
        <v>1870</v>
      </c>
      <c r="B46" s="52" t="s">
        <v>1255</v>
      </c>
      <c r="G46" s="52" t="s">
        <v>2513</v>
      </c>
      <c r="J46" s="52" t="s">
        <v>1864</v>
      </c>
      <c r="O46" s="79" t="s">
        <v>1151</v>
      </c>
      <c r="P46" s="40" t="s">
        <v>2147</v>
      </c>
    </row>
    <row r="47" spans="1:48" ht="204" hidden="1" customHeight="1">
      <c r="A47" s="49" t="s">
        <v>1870</v>
      </c>
      <c r="B47" s="52" t="s">
        <v>1256</v>
      </c>
      <c r="G47" s="52" t="s">
        <v>2513</v>
      </c>
      <c r="J47" s="52" t="s">
        <v>1864</v>
      </c>
      <c r="O47" s="79" t="s">
        <v>1609</v>
      </c>
      <c r="P47" s="41" t="s">
        <v>2148</v>
      </c>
    </row>
    <row r="48" spans="1:48" ht="178.5" hidden="1">
      <c r="A48" s="49" t="s">
        <v>1870</v>
      </c>
      <c r="B48" s="52" t="s">
        <v>769</v>
      </c>
      <c r="G48" s="52" t="s">
        <v>2513</v>
      </c>
      <c r="J48" s="52" t="s">
        <v>1864</v>
      </c>
      <c r="O48" s="79" t="s">
        <v>2259</v>
      </c>
      <c r="P48" s="40" t="s">
        <v>2147</v>
      </c>
    </row>
    <row r="49" spans="1:48" ht="102" hidden="1">
      <c r="A49" s="49" t="s">
        <v>1870</v>
      </c>
      <c r="B49" s="52" t="s">
        <v>793</v>
      </c>
      <c r="G49" s="52" t="s">
        <v>2513</v>
      </c>
      <c r="J49" s="52" t="s">
        <v>1206</v>
      </c>
      <c r="O49" s="79" t="s">
        <v>20</v>
      </c>
      <c r="P49" s="40" t="s">
        <v>2147</v>
      </c>
    </row>
    <row r="50" spans="1:48" ht="114.75" hidden="1">
      <c r="A50" s="49" t="s">
        <v>1870</v>
      </c>
      <c r="B50" s="52" t="s">
        <v>626</v>
      </c>
      <c r="G50" s="52" t="s">
        <v>627</v>
      </c>
      <c r="J50" s="52" t="s">
        <v>1864</v>
      </c>
      <c r="O50" s="79" t="s">
        <v>2470</v>
      </c>
      <c r="P50" s="43" t="s">
        <v>2146</v>
      </c>
    </row>
    <row r="51" spans="1:48" ht="89.25" hidden="1">
      <c r="A51" s="49" t="s">
        <v>1870</v>
      </c>
      <c r="B51" s="52" t="s">
        <v>2884</v>
      </c>
      <c r="G51" s="52" t="s">
        <v>2513</v>
      </c>
      <c r="J51" s="52" t="s">
        <v>1864</v>
      </c>
      <c r="O51" s="79" t="s">
        <v>1237</v>
      </c>
      <c r="P51" s="43" t="s">
        <v>2146</v>
      </c>
    </row>
    <row r="52" spans="1:48" ht="102" hidden="1">
      <c r="A52" s="49" t="s">
        <v>1870</v>
      </c>
      <c r="B52" s="52" t="s">
        <v>2923</v>
      </c>
      <c r="C52" s="52" t="s">
        <v>1079</v>
      </c>
      <c r="G52" s="52" t="s">
        <v>2513</v>
      </c>
      <c r="J52" s="52" t="s">
        <v>1864</v>
      </c>
      <c r="O52" s="81" t="s">
        <v>2651</v>
      </c>
      <c r="P52" s="43" t="s">
        <v>2146</v>
      </c>
    </row>
    <row r="53" spans="1:48" ht="114.75" hidden="1">
      <c r="A53" s="49" t="s">
        <v>1870</v>
      </c>
      <c r="B53" s="52" t="s">
        <v>2779</v>
      </c>
      <c r="C53" s="52" t="s">
        <v>1573</v>
      </c>
      <c r="G53" s="52" t="s">
        <v>2513</v>
      </c>
      <c r="J53" s="52" t="s">
        <v>1864</v>
      </c>
      <c r="O53" s="79" t="s">
        <v>1217</v>
      </c>
      <c r="P53" s="43" t="s">
        <v>2146</v>
      </c>
    </row>
    <row r="54" spans="1:48" ht="76.5" hidden="1">
      <c r="A54" s="49" t="s">
        <v>1870</v>
      </c>
      <c r="B54" s="52" t="s">
        <v>2921</v>
      </c>
      <c r="C54" s="52" t="s">
        <v>1114</v>
      </c>
      <c r="G54" s="52" t="s">
        <v>2513</v>
      </c>
      <c r="J54" s="52" t="s">
        <v>1864</v>
      </c>
      <c r="O54" s="79" t="s">
        <v>1162</v>
      </c>
      <c r="P54" s="43" t="s">
        <v>2146</v>
      </c>
    </row>
    <row r="55" spans="1:48" s="83" customFormat="1" ht="76.5" hidden="1">
      <c r="A55" s="83" t="s">
        <v>555</v>
      </c>
      <c r="B55" s="52" t="s">
        <v>1094</v>
      </c>
      <c r="C55" s="25" t="s">
        <v>581</v>
      </c>
      <c r="D55" s="25"/>
      <c r="E55" s="25"/>
      <c r="F55" s="25"/>
      <c r="G55" s="25" t="s">
        <v>704</v>
      </c>
      <c r="H55" s="25"/>
      <c r="I55" s="25"/>
      <c r="J55" s="25" t="s">
        <v>1206</v>
      </c>
      <c r="K55" s="25"/>
      <c r="L55" s="25"/>
      <c r="M55" s="25"/>
      <c r="N55" s="25"/>
      <c r="O55" s="62" t="s">
        <v>665</v>
      </c>
      <c r="P55" s="41" t="s">
        <v>2148</v>
      </c>
      <c r="Q55" s="78"/>
      <c r="R55" s="78"/>
      <c r="S55" s="84"/>
      <c r="T55" s="78"/>
      <c r="U55" s="85"/>
      <c r="V55" s="86"/>
      <c r="W55" s="86"/>
      <c r="X55" s="87"/>
      <c r="Y55" s="88"/>
      <c r="Z55" s="86"/>
      <c r="AA55" s="78"/>
      <c r="AB55" s="86"/>
      <c r="AC55" s="78"/>
      <c r="AD55" s="78"/>
      <c r="AE55" s="78"/>
      <c r="AF55" s="78"/>
      <c r="AG55" s="78"/>
      <c r="AH55" s="78"/>
      <c r="AI55" s="78"/>
      <c r="AJ55" s="89"/>
      <c r="AK55" s="89"/>
      <c r="AL55" s="90"/>
      <c r="AM55" s="91"/>
      <c r="AN55" s="90"/>
      <c r="AO55" s="92"/>
      <c r="AP55" s="92"/>
      <c r="AQ55" s="78"/>
      <c r="AR55" s="86"/>
      <c r="AS55" s="78"/>
      <c r="AT55" s="87"/>
      <c r="AU55" s="86"/>
      <c r="AV55" s="85"/>
    </row>
    <row r="56" spans="1:48" s="83" customFormat="1" ht="76.5" hidden="1">
      <c r="A56" s="83" t="s">
        <v>555</v>
      </c>
      <c r="B56" s="52" t="s">
        <v>1081</v>
      </c>
      <c r="C56" s="25" t="s">
        <v>2962</v>
      </c>
      <c r="D56" s="25"/>
      <c r="E56" s="25"/>
      <c r="F56" s="25"/>
      <c r="G56" s="25" t="s">
        <v>2513</v>
      </c>
      <c r="H56" s="25"/>
      <c r="I56" s="25"/>
      <c r="J56" s="25" t="s">
        <v>1206</v>
      </c>
      <c r="K56" s="25"/>
      <c r="L56" s="25"/>
      <c r="M56" s="25"/>
      <c r="N56" s="25"/>
      <c r="O56" s="62" t="s">
        <v>1238</v>
      </c>
      <c r="P56" s="40" t="s">
        <v>2147</v>
      </c>
      <c r="Q56" s="78"/>
      <c r="R56" s="78"/>
      <c r="S56" s="84"/>
      <c r="T56" s="78"/>
      <c r="U56" s="85"/>
      <c r="V56" s="86"/>
      <c r="W56" s="86"/>
      <c r="X56" s="87"/>
      <c r="Y56" s="88"/>
      <c r="Z56" s="86"/>
      <c r="AA56" s="78"/>
      <c r="AB56" s="86"/>
      <c r="AC56" s="78"/>
      <c r="AD56" s="78"/>
      <c r="AE56" s="78"/>
      <c r="AF56" s="78"/>
      <c r="AG56" s="78"/>
      <c r="AH56" s="78"/>
      <c r="AI56" s="78"/>
      <c r="AJ56" s="89"/>
      <c r="AK56" s="89"/>
      <c r="AL56" s="90"/>
      <c r="AM56" s="91"/>
      <c r="AN56" s="90"/>
      <c r="AO56" s="92"/>
      <c r="AP56" s="92"/>
      <c r="AQ56" s="78"/>
      <c r="AR56" s="86"/>
      <c r="AS56" s="78"/>
      <c r="AT56" s="87"/>
      <c r="AU56" s="86"/>
      <c r="AV56" s="85"/>
    </row>
    <row r="57" spans="1:48" ht="178.5" hidden="1">
      <c r="A57" s="49" t="s">
        <v>1870</v>
      </c>
      <c r="B57" s="52" t="s">
        <v>2439</v>
      </c>
      <c r="G57" s="52" t="s">
        <v>2438</v>
      </c>
      <c r="J57" s="52" t="s">
        <v>1864</v>
      </c>
      <c r="O57" s="79" t="s">
        <v>875</v>
      </c>
      <c r="P57" s="43" t="s">
        <v>2146</v>
      </c>
    </row>
    <row r="58" spans="1:48" ht="114.75" hidden="1">
      <c r="A58" s="49" t="s">
        <v>1870</v>
      </c>
      <c r="B58" s="52" t="s">
        <v>768</v>
      </c>
      <c r="G58" s="52" t="s">
        <v>2022</v>
      </c>
      <c r="J58" s="52" t="s">
        <v>1864</v>
      </c>
      <c r="O58" s="79" t="s">
        <v>1419</v>
      </c>
      <c r="P58" s="43" t="s">
        <v>2146</v>
      </c>
    </row>
    <row r="59" spans="1:48" ht="154.5" hidden="1" customHeight="1">
      <c r="A59" s="49" t="s">
        <v>1870</v>
      </c>
      <c r="B59" s="52" t="s">
        <v>2299</v>
      </c>
      <c r="G59" s="52" t="s">
        <v>1863</v>
      </c>
      <c r="J59" s="52" t="s">
        <v>1864</v>
      </c>
      <c r="O59" s="79" t="s">
        <v>1161</v>
      </c>
      <c r="P59" s="43" t="s">
        <v>2146</v>
      </c>
    </row>
    <row r="60" spans="1:48" ht="63.75" hidden="1">
      <c r="A60" s="49" t="s">
        <v>1870</v>
      </c>
      <c r="B60" s="52" t="s">
        <v>2924</v>
      </c>
      <c r="C60" s="52" t="s">
        <v>2192</v>
      </c>
      <c r="G60" s="52" t="s">
        <v>2513</v>
      </c>
      <c r="J60" s="52" t="s">
        <v>1864</v>
      </c>
      <c r="O60" s="79" t="s">
        <v>547</v>
      </c>
      <c r="P60" s="43" t="s">
        <v>2146</v>
      </c>
    </row>
    <row r="61" spans="1:48" s="83" customFormat="1" ht="51" hidden="1">
      <c r="A61" s="83" t="s">
        <v>1465</v>
      </c>
      <c r="B61" s="52" t="s">
        <v>1239</v>
      </c>
      <c r="C61" s="25" t="s">
        <v>2654</v>
      </c>
      <c r="D61" s="25"/>
      <c r="E61" s="25"/>
      <c r="F61" s="25"/>
      <c r="G61" s="25" t="s">
        <v>2655</v>
      </c>
      <c r="H61" s="25"/>
      <c r="I61" s="25"/>
      <c r="J61" s="25" t="s">
        <v>1206</v>
      </c>
      <c r="K61" s="25"/>
      <c r="L61" s="25"/>
      <c r="M61" s="25"/>
      <c r="N61" s="25"/>
      <c r="O61" s="62" t="s">
        <v>543</v>
      </c>
      <c r="P61" s="40" t="s">
        <v>2147</v>
      </c>
      <c r="Q61" s="78"/>
      <c r="R61" s="78"/>
      <c r="S61" s="84"/>
      <c r="T61" s="78"/>
      <c r="U61" s="85"/>
      <c r="V61" s="86"/>
      <c r="W61" s="86"/>
      <c r="X61" s="87"/>
      <c r="Y61" s="88"/>
      <c r="Z61" s="86"/>
      <c r="AA61" s="78"/>
      <c r="AB61" s="86"/>
      <c r="AC61" s="78"/>
      <c r="AD61" s="78"/>
      <c r="AE61" s="78"/>
      <c r="AF61" s="78"/>
      <c r="AG61" s="78"/>
      <c r="AH61" s="78"/>
      <c r="AI61" s="78"/>
      <c r="AJ61" s="89"/>
      <c r="AK61" s="89"/>
      <c r="AL61" s="90"/>
      <c r="AM61" s="91"/>
      <c r="AN61" s="90"/>
      <c r="AO61" s="92"/>
      <c r="AP61" s="92"/>
      <c r="AQ61" s="78"/>
      <c r="AR61" s="86"/>
      <c r="AS61" s="78"/>
      <c r="AT61" s="87"/>
      <c r="AU61" s="86"/>
      <c r="AV61" s="85"/>
    </row>
    <row r="62" spans="1:48" ht="114.75" hidden="1">
      <c r="A62" s="49" t="s">
        <v>1870</v>
      </c>
      <c r="B62" s="52" t="s">
        <v>2963</v>
      </c>
      <c r="C62" s="52" t="s">
        <v>2964</v>
      </c>
      <c r="G62" s="52" t="s">
        <v>2513</v>
      </c>
      <c r="J62" s="52" t="s">
        <v>1864</v>
      </c>
      <c r="O62" s="79" t="s">
        <v>1708</v>
      </c>
      <c r="P62" s="43" t="s">
        <v>2146</v>
      </c>
    </row>
    <row r="63" spans="1:48" ht="114.75" hidden="1">
      <c r="A63" s="49" t="s">
        <v>1870</v>
      </c>
      <c r="B63" s="52" t="s">
        <v>2965</v>
      </c>
      <c r="C63" s="52" t="s">
        <v>2966</v>
      </c>
      <c r="G63" s="52" t="s">
        <v>2513</v>
      </c>
      <c r="J63" s="52" t="s">
        <v>1864</v>
      </c>
      <c r="O63" s="79" t="s">
        <v>1708</v>
      </c>
      <c r="P63" s="43" t="s">
        <v>2146</v>
      </c>
    </row>
    <row r="64" spans="1:48" ht="204" hidden="1">
      <c r="A64" s="49" t="s">
        <v>1870</v>
      </c>
      <c r="B64" s="52" t="s">
        <v>2068</v>
      </c>
      <c r="G64" s="52" t="s">
        <v>386</v>
      </c>
      <c r="J64" s="52" t="s">
        <v>1864</v>
      </c>
      <c r="O64" s="79" t="s">
        <v>1374</v>
      </c>
      <c r="P64" s="43" t="s">
        <v>2146</v>
      </c>
    </row>
    <row r="65" spans="1:48" s="83" customFormat="1" ht="25.5" hidden="1">
      <c r="A65" s="83" t="s">
        <v>1465</v>
      </c>
      <c r="B65" s="52" t="s">
        <v>1239</v>
      </c>
      <c r="C65" s="25" t="s">
        <v>1935</v>
      </c>
      <c r="D65" s="25"/>
      <c r="E65" s="25"/>
      <c r="F65" s="25"/>
      <c r="G65" s="25" t="s">
        <v>2655</v>
      </c>
      <c r="H65" s="25"/>
      <c r="I65" s="25"/>
      <c r="J65" s="25" t="s">
        <v>1206</v>
      </c>
      <c r="K65" s="25"/>
      <c r="L65" s="25"/>
      <c r="M65" s="25"/>
      <c r="N65" s="25"/>
      <c r="O65" s="62" t="s">
        <v>450</v>
      </c>
      <c r="P65" s="43" t="s">
        <v>2146</v>
      </c>
      <c r="Q65" s="78"/>
      <c r="R65" s="78"/>
      <c r="S65" s="84"/>
      <c r="T65" s="78"/>
      <c r="U65" s="85"/>
      <c r="V65" s="86"/>
      <c r="W65" s="86"/>
      <c r="X65" s="87"/>
      <c r="Y65" s="88"/>
      <c r="Z65" s="86"/>
      <c r="AA65" s="78"/>
      <c r="AB65" s="86"/>
      <c r="AC65" s="78"/>
      <c r="AD65" s="78"/>
      <c r="AE65" s="78"/>
      <c r="AF65" s="78"/>
      <c r="AG65" s="78"/>
      <c r="AH65" s="78"/>
      <c r="AI65" s="78"/>
      <c r="AJ65" s="89"/>
      <c r="AK65" s="89"/>
      <c r="AL65" s="90"/>
      <c r="AM65" s="91"/>
      <c r="AN65" s="90"/>
      <c r="AO65" s="92"/>
      <c r="AP65" s="92"/>
      <c r="AQ65" s="78"/>
      <c r="AR65" s="86"/>
      <c r="AS65" s="78"/>
      <c r="AT65" s="87"/>
      <c r="AU65" s="86"/>
      <c r="AV65" s="85"/>
    </row>
    <row r="66" spans="1:48" ht="102" hidden="1">
      <c r="A66" s="49" t="s">
        <v>1870</v>
      </c>
      <c r="B66" s="52" t="s">
        <v>2967</v>
      </c>
      <c r="C66" s="52" t="s">
        <v>2968</v>
      </c>
      <c r="G66" s="52" t="s">
        <v>2513</v>
      </c>
      <c r="J66" s="52" t="s">
        <v>1864</v>
      </c>
      <c r="O66" s="79" t="s">
        <v>2491</v>
      </c>
      <c r="P66" s="43" t="s">
        <v>2146</v>
      </c>
    </row>
    <row r="67" spans="1:48" ht="204" hidden="1">
      <c r="A67" s="49" t="s">
        <v>1870</v>
      </c>
      <c r="B67" s="52" t="s">
        <v>2298</v>
      </c>
      <c r="C67" s="52">
        <v>238483</v>
      </c>
      <c r="G67" s="52" t="s">
        <v>2022</v>
      </c>
      <c r="J67" s="52" t="s">
        <v>1206</v>
      </c>
      <c r="O67" s="79" t="s">
        <v>1949</v>
      </c>
      <c r="P67" s="43" t="s">
        <v>2146</v>
      </c>
    </row>
    <row r="68" spans="1:48" ht="91.5" hidden="1" customHeight="1">
      <c r="A68" s="49" t="s">
        <v>1870</v>
      </c>
      <c r="B68" s="52" t="s">
        <v>2879</v>
      </c>
      <c r="C68" s="52">
        <v>614607196</v>
      </c>
      <c r="G68" s="52" t="s">
        <v>2438</v>
      </c>
      <c r="J68" s="52" t="s">
        <v>1864</v>
      </c>
      <c r="O68" s="79" t="s">
        <v>1735</v>
      </c>
      <c r="P68" s="43" t="s">
        <v>2146</v>
      </c>
    </row>
    <row r="69" spans="1:48" ht="127.5" hidden="1">
      <c r="A69" s="49" t="s">
        <v>1870</v>
      </c>
      <c r="B69" s="52" t="s">
        <v>2922</v>
      </c>
      <c r="C69" s="52" t="s">
        <v>1115</v>
      </c>
      <c r="G69" s="52" t="s">
        <v>2513</v>
      </c>
      <c r="J69" s="52" t="s">
        <v>1206</v>
      </c>
      <c r="O69" s="79" t="s">
        <v>1087</v>
      </c>
      <c r="P69" s="41" t="s">
        <v>2148</v>
      </c>
    </row>
    <row r="70" spans="1:48" ht="204.75" hidden="1" customHeight="1">
      <c r="A70" s="49" t="s">
        <v>1870</v>
      </c>
      <c r="B70" s="52" t="s">
        <v>1093</v>
      </c>
      <c r="C70" s="52" t="s">
        <v>1863</v>
      </c>
      <c r="J70" s="52" t="s">
        <v>1864</v>
      </c>
      <c r="O70" s="81" t="s">
        <v>1032</v>
      </c>
      <c r="P70" s="40" t="s">
        <v>2147</v>
      </c>
      <c r="Q70" s="81">
        <v>39991</v>
      </c>
      <c r="R70" s="101"/>
      <c r="S70" s="93"/>
    </row>
    <row r="71" spans="1:48" ht="102" hidden="1">
      <c r="A71" s="49" t="s">
        <v>1870</v>
      </c>
      <c r="B71" s="52" t="s">
        <v>1030</v>
      </c>
      <c r="C71" s="52" t="s">
        <v>1863</v>
      </c>
      <c r="G71" s="52" t="s">
        <v>173</v>
      </c>
      <c r="J71" s="52" t="s">
        <v>1864</v>
      </c>
      <c r="O71" s="79" t="s">
        <v>1970</v>
      </c>
      <c r="P71" s="43" t="s">
        <v>506</v>
      </c>
      <c r="Q71" s="81">
        <v>40002</v>
      </c>
      <c r="R71" s="25"/>
      <c r="S71" s="93">
        <v>40002</v>
      </c>
    </row>
    <row r="72" spans="1:48" ht="76.5" hidden="1">
      <c r="A72" s="49" t="s">
        <v>1870</v>
      </c>
      <c r="B72" s="52" t="s">
        <v>767</v>
      </c>
      <c r="C72" s="52" t="s">
        <v>386</v>
      </c>
      <c r="G72" s="52">
        <v>6394397579</v>
      </c>
      <c r="O72" s="79" t="s">
        <v>2199</v>
      </c>
      <c r="P72" s="43" t="s">
        <v>2146</v>
      </c>
      <c r="Q72" s="81">
        <v>40003</v>
      </c>
      <c r="R72" s="102"/>
      <c r="S72" s="93"/>
    </row>
    <row r="73" spans="1:48" ht="102" hidden="1">
      <c r="A73" s="49" t="s">
        <v>1870</v>
      </c>
      <c r="B73" s="52" t="s">
        <v>1031</v>
      </c>
      <c r="C73" s="52" t="s">
        <v>1863</v>
      </c>
      <c r="G73" s="52" t="s">
        <v>1906</v>
      </c>
      <c r="J73" s="52" t="s">
        <v>1864</v>
      </c>
      <c r="O73" s="79" t="s">
        <v>1405</v>
      </c>
      <c r="P73" s="43" t="s">
        <v>2146</v>
      </c>
      <c r="Q73" s="81">
        <v>40002</v>
      </c>
      <c r="R73" s="25"/>
      <c r="S73" s="93"/>
    </row>
    <row r="74" spans="1:48" ht="127.5" hidden="1" customHeight="1">
      <c r="A74" s="49" t="s">
        <v>1870</v>
      </c>
      <c r="B74" s="52" t="s">
        <v>1776</v>
      </c>
      <c r="C74" s="52" t="s">
        <v>2513</v>
      </c>
      <c r="G74" s="52" t="s">
        <v>1777</v>
      </c>
      <c r="J74" s="52" t="s">
        <v>1206</v>
      </c>
      <c r="O74" s="79" t="s">
        <v>1469</v>
      </c>
      <c r="P74" s="40" t="s">
        <v>980</v>
      </c>
      <c r="Q74" s="81">
        <v>40001</v>
      </c>
      <c r="R74" s="25"/>
      <c r="S74" s="93"/>
    </row>
    <row r="75" spans="1:48" ht="76.5" hidden="1">
      <c r="A75" s="49" t="s">
        <v>1870</v>
      </c>
      <c r="B75" s="52" t="s">
        <v>2777</v>
      </c>
      <c r="C75" s="52" t="s">
        <v>1863</v>
      </c>
      <c r="G75" s="52" t="s">
        <v>2652</v>
      </c>
      <c r="J75" s="52" t="s">
        <v>1864</v>
      </c>
      <c r="O75" s="79" t="s">
        <v>2744</v>
      </c>
      <c r="P75" s="43" t="s">
        <v>506</v>
      </c>
      <c r="Q75" s="81">
        <v>40003</v>
      </c>
      <c r="R75" s="25"/>
      <c r="S75" s="93"/>
    </row>
    <row r="76" spans="1:48" ht="102" hidden="1">
      <c r="A76" s="49" t="s">
        <v>1870</v>
      </c>
      <c r="B76" s="52" t="s">
        <v>2653</v>
      </c>
      <c r="C76" s="52" t="s">
        <v>1863</v>
      </c>
      <c r="G76" s="52" t="s">
        <v>1907</v>
      </c>
      <c r="J76" s="52" t="s">
        <v>1864</v>
      </c>
      <c r="O76" s="79" t="s">
        <v>1405</v>
      </c>
      <c r="P76" s="43" t="s">
        <v>2146</v>
      </c>
      <c r="Q76" s="81">
        <v>40003</v>
      </c>
      <c r="R76" s="25"/>
      <c r="S76" s="93"/>
    </row>
    <row r="77" spans="1:48" s="73" customFormat="1" ht="60" hidden="1">
      <c r="A77" s="72" t="s">
        <v>515</v>
      </c>
      <c r="B77" s="74" t="s">
        <v>992</v>
      </c>
      <c r="C77" s="74" t="s">
        <v>1863</v>
      </c>
      <c r="D77" s="74" t="s">
        <v>526</v>
      </c>
      <c r="E77" s="74">
        <v>4600016852</v>
      </c>
      <c r="F77" s="74" t="s">
        <v>1155</v>
      </c>
      <c r="G77" s="74" t="s">
        <v>1156</v>
      </c>
      <c r="H77" s="74"/>
      <c r="I77" s="77">
        <v>4215.5</v>
      </c>
      <c r="J77" s="74" t="s">
        <v>519</v>
      </c>
      <c r="K77" s="74"/>
      <c r="L77" s="74"/>
      <c r="M77" s="74"/>
      <c r="N77" s="74"/>
      <c r="O77" s="75" t="s">
        <v>270</v>
      </c>
      <c r="P77" s="95" t="s">
        <v>506</v>
      </c>
      <c r="Q77" s="94">
        <v>40002</v>
      </c>
    </row>
    <row r="78" spans="1:48" s="73" customFormat="1" ht="60" hidden="1">
      <c r="A78" s="72" t="s">
        <v>515</v>
      </c>
      <c r="B78" s="74" t="s">
        <v>993</v>
      </c>
      <c r="C78" s="74" t="s">
        <v>1863</v>
      </c>
      <c r="D78" s="74" t="s">
        <v>526</v>
      </c>
      <c r="E78" s="74">
        <v>4600016798</v>
      </c>
      <c r="F78" s="74" t="s">
        <v>1157</v>
      </c>
      <c r="G78" s="74" t="s">
        <v>1158</v>
      </c>
      <c r="H78" s="74"/>
      <c r="I78" s="77">
        <v>4215.5</v>
      </c>
      <c r="J78" s="74" t="s">
        <v>519</v>
      </c>
      <c r="K78" s="74"/>
      <c r="L78" s="74"/>
      <c r="M78" s="74"/>
      <c r="N78" s="74"/>
      <c r="O78" s="75" t="s">
        <v>270</v>
      </c>
      <c r="P78" s="95" t="s">
        <v>506</v>
      </c>
      <c r="Q78" s="82">
        <v>40002</v>
      </c>
    </row>
    <row r="79" spans="1:48" s="73" customFormat="1" ht="60" hidden="1">
      <c r="A79" s="72" t="s">
        <v>515</v>
      </c>
      <c r="B79" s="74" t="s">
        <v>994</v>
      </c>
      <c r="C79" s="74" t="s">
        <v>1863</v>
      </c>
      <c r="D79" s="74" t="s">
        <v>526</v>
      </c>
      <c r="E79" s="74">
        <v>4600016799</v>
      </c>
      <c r="F79" s="74" t="s">
        <v>2252</v>
      </c>
      <c r="G79" s="74" t="s">
        <v>2115</v>
      </c>
      <c r="H79" s="74"/>
      <c r="I79" s="77">
        <v>4215.5</v>
      </c>
      <c r="J79" s="74" t="s">
        <v>519</v>
      </c>
      <c r="K79" s="74"/>
      <c r="L79" s="74"/>
      <c r="M79" s="74"/>
      <c r="N79" s="74"/>
      <c r="O79" s="75" t="s">
        <v>270</v>
      </c>
      <c r="P79" s="95" t="s">
        <v>506</v>
      </c>
      <c r="Q79" s="82">
        <v>40002</v>
      </c>
    </row>
    <row r="80" spans="1:48" s="73" customFormat="1" ht="48" hidden="1">
      <c r="A80" s="72" t="s">
        <v>515</v>
      </c>
      <c r="B80" s="74" t="s">
        <v>995</v>
      </c>
      <c r="C80" s="74" t="s">
        <v>990</v>
      </c>
      <c r="D80" s="74" t="s">
        <v>520</v>
      </c>
      <c r="E80" s="74">
        <v>4600018238</v>
      </c>
      <c r="F80" s="74">
        <v>40004392</v>
      </c>
      <c r="G80" s="74">
        <v>4811727711</v>
      </c>
      <c r="H80" s="74"/>
      <c r="I80" s="77">
        <v>40140</v>
      </c>
      <c r="J80" s="74" t="s">
        <v>519</v>
      </c>
      <c r="K80" s="74"/>
      <c r="L80" s="74"/>
      <c r="M80" s="74"/>
      <c r="N80" s="74"/>
      <c r="O80" s="75" t="s">
        <v>404</v>
      </c>
      <c r="P80" s="95" t="s">
        <v>506</v>
      </c>
      <c r="Q80" s="82">
        <v>40002</v>
      </c>
    </row>
    <row r="81" spans="1:17" s="73" customFormat="1" ht="60" hidden="1">
      <c r="A81" s="72" t="s">
        <v>515</v>
      </c>
      <c r="B81" s="74" t="s">
        <v>516</v>
      </c>
      <c r="C81" s="74" t="s">
        <v>517</v>
      </c>
      <c r="D81" s="74" t="s">
        <v>518</v>
      </c>
      <c r="E81" s="74">
        <v>4800001744</v>
      </c>
      <c r="F81" s="74" t="s">
        <v>400</v>
      </c>
      <c r="G81" s="74">
        <v>4394588300</v>
      </c>
      <c r="H81" s="74"/>
      <c r="I81" s="77">
        <v>13104</v>
      </c>
      <c r="J81" s="74" t="s">
        <v>519</v>
      </c>
      <c r="K81" s="74"/>
      <c r="L81" s="74"/>
      <c r="M81" s="74"/>
      <c r="N81" s="74"/>
      <c r="O81" s="75" t="s">
        <v>2123</v>
      </c>
      <c r="P81" s="117" t="s">
        <v>506</v>
      </c>
      <c r="Q81" s="82">
        <v>40008</v>
      </c>
    </row>
    <row r="82" spans="1:17" s="73" customFormat="1" ht="60" hidden="1">
      <c r="A82" s="72" t="s">
        <v>515</v>
      </c>
      <c r="B82" s="74" t="s">
        <v>522</v>
      </c>
      <c r="C82" s="74" t="s">
        <v>386</v>
      </c>
      <c r="D82" s="74" t="s">
        <v>518</v>
      </c>
      <c r="E82" s="74">
        <v>4800001692</v>
      </c>
      <c r="F82" s="74" t="s">
        <v>1154</v>
      </c>
      <c r="G82" s="74">
        <v>4394585920</v>
      </c>
      <c r="H82" s="74"/>
      <c r="I82" s="77">
        <v>15140</v>
      </c>
      <c r="J82" s="74" t="s">
        <v>519</v>
      </c>
      <c r="K82" s="74"/>
      <c r="L82" s="74"/>
      <c r="M82" s="74"/>
      <c r="N82" s="74"/>
      <c r="O82" s="75" t="s">
        <v>2124</v>
      </c>
      <c r="P82" s="117" t="s">
        <v>506</v>
      </c>
      <c r="Q82" s="82">
        <v>40008</v>
      </c>
    </row>
    <row r="83" spans="1:17" s="73" customFormat="1" ht="60" hidden="1">
      <c r="A83" s="72" t="s">
        <v>515</v>
      </c>
      <c r="B83" s="74" t="s">
        <v>523</v>
      </c>
      <c r="C83" s="74" t="s">
        <v>524</v>
      </c>
      <c r="D83" s="74" t="s">
        <v>525</v>
      </c>
      <c r="E83" s="74">
        <v>4600016737</v>
      </c>
      <c r="F83" s="74">
        <v>40734679</v>
      </c>
      <c r="G83" s="74">
        <v>100010111</v>
      </c>
      <c r="H83" s="74"/>
      <c r="I83" s="77">
        <v>713.38</v>
      </c>
      <c r="J83" s="74" t="s">
        <v>519</v>
      </c>
      <c r="K83" s="74"/>
      <c r="L83" s="74"/>
      <c r="M83" s="74"/>
      <c r="N83" s="74"/>
      <c r="O83" s="75" t="s">
        <v>1472</v>
      </c>
      <c r="P83" s="117" t="s">
        <v>506</v>
      </c>
      <c r="Q83" s="82">
        <v>40007</v>
      </c>
    </row>
    <row r="84" spans="1:17" s="73" customFormat="1" ht="60" hidden="1">
      <c r="A84" s="72" t="s">
        <v>515</v>
      </c>
      <c r="B84" s="74" t="s">
        <v>991</v>
      </c>
      <c r="C84" s="74" t="s">
        <v>524</v>
      </c>
      <c r="D84" s="74" t="s">
        <v>525</v>
      </c>
      <c r="E84" s="74">
        <v>4600016737</v>
      </c>
      <c r="F84" s="74">
        <v>40733647</v>
      </c>
      <c r="G84" s="74">
        <v>102006643</v>
      </c>
      <c r="H84" s="74"/>
      <c r="I84" s="77">
        <v>4084.4</v>
      </c>
      <c r="J84" s="74" t="s">
        <v>519</v>
      </c>
      <c r="K84" s="74"/>
      <c r="L84" s="74"/>
      <c r="M84" s="74"/>
      <c r="N84" s="74"/>
      <c r="O84" s="75" t="s">
        <v>435</v>
      </c>
      <c r="P84" s="117" t="s">
        <v>506</v>
      </c>
      <c r="Q84" s="82">
        <v>40007</v>
      </c>
    </row>
    <row r="85" spans="1:17" s="31" customFormat="1" ht="63.75" hidden="1">
      <c r="A85" s="52" t="s">
        <v>1870</v>
      </c>
      <c r="B85" s="113" t="s">
        <v>2840</v>
      </c>
      <c r="C85" s="52" t="s">
        <v>2513</v>
      </c>
      <c r="D85" s="113" t="s">
        <v>941</v>
      </c>
      <c r="E85" s="113">
        <v>4600017173</v>
      </c>
      <c r="F85" s="52" t="s">
        <v>1478</v>
      </c>
      <c r="G85" s="52" t="s">
        <v>1908</v>
      </c>
      <c r="H85" s="52"/>
      <c r="I85" s="114">
        <v>23961.599999999999</v>
      </c>
      <c r="J85" s="52" t="s">
        <v>1864</v>
      </c>
      <c r="K85" s="52"/>
      <c r="L85" s="52"/>
      <c r="M85" s="52"/>
      <c r="N85" s="52"/>
      <c r="O85" s="79" t="s">
        <v>1869</v>
      </c>
      <c r="P85" s="43" t="s">
        <v>506</v>
      </c>
      <c r="Q85" s="93">
        <v>40008</v>
      </c>
    </row>
    <row r="86" spans="1:17" s="73" customFormat="1" ht="48" hidden="1">
      <c r="A86" s="72" t="s">
        <v>515</v>
      </c>
      <c r="B86" s="74" t="s">
        <v>1889</v>
      </c>
      <c r="C86" s="74" t="s">
        <v>524</v>
      </c>
      <c r="D86" s="74" t="s">
        <v>525</v>
      </c>
      <c r="E86" s="74">
        <v>4600017724</v>
      </c>
      <c r="F86" s="74">
        <v>40736263</v>
      </c>
      <c r="G86" s="74" t="s">
        <v>1890</v>
      </c>
      <c r="H86" s="74"/>
      <c r="I86" s="77">
        <v>2466</v>
      </c>
      <c r="J86" s="74" t="s">
        <v>519</v>
      </c>
      <c r="K86" s="74"/>
      <c r="L86" s="74"/>
      <c r="M86" s="74"/>
      <c r="N86" s="74"/>
      <c r="O86" s="75" t="s">
        <v>2941</v>
      </c>
      <c r="P86" s="118" t="s">
        <v>506</v>
      </c>
      <c r="Q86" s="82">
        <v>40009</v>
      </c>
    </row>
    <row r="87" spans="1:17" s="73" customFormat="1" ht="48" hidden="1">
      <c r="A87" s="72" t="s">
        <v>515</v>
      </c>
      <c r="B87" s="74" t="s">
        <v>1891</v>
      </c>
      <c r="C87" s="74" t="s">
        <v>524</v>
      </c>
      <c r="D87" s="74" t="s">
        <v>525</v>
      </c>
      <c r="E87" s="74">
        <v>4600016402</v>
      </c>
      <c r="F87" s="74">
        <v>40731530</v>
      </c>
      <c r="G87" s="74" t="s">
        <v>1393</v>
      </c>
      <c r="H87" s="74"/>
      <c r="I87" s="77">
        <v>484</v>
      </c>
      <c r="J87" s="74" t="s">
        <v>519</v>
      </c>
      <c r="K87" s="74"/>
      <c r="L87" s="74"/>
      <c r="M87" s="74"/>
      <c r="N87" s="74"/>
      <c r="O87" s="75" t="s">
        <v>2941</v>
      </c>
      <c r="P87" s="118" t="s">
        <v>506</v>
      </c>
      <c r="Q87" s="82">
        <v>40009</v>
      </c>
    </row>
    <row r="88" spans="1:17" s="73" customFormat="1" ht="48" hidden="1">
      <c r="A88" s="72" t="s">
        <v>515</v>
      </c>
      <c r="B88" s="74" t="s">
        <v>1394</v>
      </c>
      <c r="C88" s="74" t="s">
        <v>524</v>
      </c>
      <c r="D88" s="74" t="s">
        <v>525</v>
      </c>
      <c r="E88" s="74">
        <v>4600016737</v>
      </c>
      <c r="F88" s="74">
        <v>40735509</v>
      </c>
      <c r="G88" s="74" t="s">
        <v>490</v>
      </c>
      <c r="H88" s="74"/>
      <c r="I88" s="77">
        <v>3192</v>
      </c>
      <c r="J88" s="74" t="s">
        <v>519</v>
      </c>
      <c r="K88" s="74"/>
      <c r="L88" s="74"/>
      <c r="M88" s="74"/>
      <c r="N88" s="74"/>
      <c r="O88" s="75" t="s">
        <v>2941</v>
      </c>
      <c r="P88" s="118" t="s">
        <v>506</v>
      </c>
      <c r="Q88" s="82">
        <v>40009</v>
      </c>
    </row>
    <row r="89" spans="1:17" s="31" customFormat="1" ht="89.25" hidden="1">
      <c r="A89" s="52" t="s">
        <v>1870</v>
      </c>
      <c r="B89" s="113" t="s">
        <v>1872</v>
      </c>
      <c r="C89" s="52" t="s">
        <v>2513</v>
      </c>
      <c r="D89" s="113" t="s">
        <v>521</v>
      </c>
      <c r="E89" s="113">
        <v>4600016593</v>
      </c>
      <c r="F89" s="52">
        <v>5001224037</v>
      </c>
      <c r="G89" s="52" t="s">
        <v>937</v>
      </c>
      <c r="H89" s="52"/>
      <c r="I89" s="114">
        <v>31288.99</v>
      </c>
      <c r="J89" s="52" t="s">
        <v>1206</v>
      </c>
      <c r="K89" s="52"/>
      <c r="L89" s="52"/>
      <c r="M89" s="52"/>
      <c r="N89" s="52"/>
      <c r="O89" s="79" t="s">
        <v>2940</v>
      </c>
      <c r="P89" s="41" t="s">
        <v>1080</v>
      </c>
      <c r="Q89" s="93">
        <v>40009</v>
      </c>
    </row>
    <row r="90" spans="1:17" s="31" customFormat="1" ht="51" hidden="1">
      <c r="A90" s="52" t="s">
        <v>1870</v>
      </c>
      <c r="B90" s="113" t="s">
        <v>1876</v>
      </c>
      <c r="C90" s="52" t="s">
        <v>2513</v>
      </c>
      <c r="D90" s="113" t="s">
        <v>521</v>
      </c>
      <c r="E90" s="113">
        <v>4600017919</v>
      </c>
      <c r="F90" s="52">
        <v>5001292673</v>
      </c>
      <c r="G90" s="52">
        <v>614607290</v>
      </c>
      <c r="H90" s="52"/>
      <c r="I90" s="114">
        <v>33672.160000000003</v>
      </c>
      <c r="J90" s="52" t="s">
        <v>1864</v>
      </c>
      <c r="K90" s="52"/>
      <c r="L90" s="52"/>
      <c r="M90" s="52"/>
      <c r="N90" s="52"/>
      <c r="O90" s="79" t="s">
        <v>300</v>
      </c>
      <c r="P90" s="43" t="s">
        <v>506</v>
      </c>
      <c r="Q90" s="93">
        <v>40010</v>
      </c>
    </row>
    <row r="91" spans="1:17" s="31" customFormat="1" ht="51" hidden="1">
      <c r="A91" s="52" t="s">
        <v>1870</v>
      </c>
      <c r="B91" s="113" t="s">
        <v>2514</v>
      </c>
      <c r="C91" s="52" t="s">
        <v>2513</v>
      </c>
      <c r="D91" s="113" t="s">
        <v>521</v>
      </c>
      <c r="E91" s="115" t="s">
        <v>685</v>
      </c>
      <c r="F91" s="100" t="s">
        <v>50</v>
      </c>
      <c r="G91" s="52" t="s">
        <v>1610</v>
      </c>
      <c r="H91" s="52"/>
      <c r="I91" s="114">
        <v>32611.81</v>
      </c>
      <c r="J91" s="52" t="s">
        <v>1864</v>
      </c>
      <c r="K91" s="52"/>
      <c r="L91" s="52"/>
      <c r="M91" s="52"/>
      <c r="N91" s="52"/>
      <c r="O91" s="79" t="s">
        <v>1506</v>
      </c>
      <c r="P91" s="43" t="s">
        <v>506</v>
      </c>
      <c r="Q91" s="93">
        <v>40009</v>
      </c>
    </row>
    <row r="92" spans="1:17" s="31" customFormat="1" ht="25.5" hidden="1">
      <c r="A92" s="49"/>
      <c r="B92" s="26" t="s">
        <v>1618</v>
      </c>
      <c r="C92" s="26" t="s">
        <v>1063</v>
      </c>
      <c r="D92" s="27" t="s">
        <v>525</v>
      </c>
      <c r="E92" s="27" t="s">
        <v>1137</v>
      </c>
      <c r="F92" s="25" t="s">
        <v>1138</v>
      </c>
      <c r="G92" s="25">
        <v>5395644694</v>
      </c>
      <c r="H92" s="25"/>
      <c r="I92" s="119">
        <v>136800</v>
      </c>
      <c r="J92" s="25" t="s">
        <v>582</v>
      </c>
      <c r="K92" s="25"/>
      <c r="L92" s="25"/>
      <c r="M92" s="25"/>
      <c r="N92" s="25"/>
      <c r="O92" s="62" t="s">
        <v>2257</v>
      </c>
      <c r="P92" s="120" t="s">
        <v>506</v>
      </c>
      <c r="Q92" s="93">
        <v>40010</v>
      </c>
    </row>
    <row r="93" spans="1:17" s="31" customFormat="1" ht="38.25" hidden="1">
      <c r="A93" s="49"/>
      <c r="B93" s="26" t="s">
        <v>95</v>
      </c>
      <c r="C93" s="26" t="s">
        <v>1063</v>
      </c>
      <c r="D93" s="27" t="s">
        <v>525</v>
      </c>
      <c r="E93" s="27" t="s">
        <v>16</v>
      </c>
      <c r="F93" s="25" t="s">
        <v>384</v>
      </c>
      <c r="G93" s="25">
        <v>5395642032</v>
      </c>
      <c r="H93" s="25"/>
      <c r="I93" s="119">
        <v>38000</v>
      </c>
      <c r="J93" s="25" t="s">
        <v>582</v>
      </c>
      <c r="K93" s="25"/>
      <c r="L93" s="25"/>
      <c r="M93" s="25"/>
      <c r="N93" s="25"/>
      <c r="O93" s="62" t="s">
        <v>1616</v>
      </c>
      <c r="P93" s="120" t="s">
        <v>506</v>
      </c>
      <c r="Q93" s="93">
        <v>40009</v>
      </c>
    </row>
    <row r="94" spans="1:17" s="31" customFormat="1" ht="38.25" hidden="1">
      <c r="A94" s="49"/>
      <c r="B94" s="26" t="s">
        <v>1617</v>
      </c>
      <c r="C94" s="26" t="s">
        <v>1063</v>
      </c>
      <c r="D94" s="27" t="s">
        <v>525</v>
      </c>
      <c r="E94" s="27" t="s">
        <v>16</v>
      </c>
      <c r="F94" s="25" t="s">
        <v>1136</v>
      </c>
      <c r="G94" s="25">
        <v>5395644342</v>
      </c>
      <c r="H94" s="25"/>
      <c r="I94" s="119">
        <v>8550</v>
      </c>
      <c r="J94" s="25" t="s">
        <v>582</v>
      </c>
      <c r="K94" s="25"/>
      <c r="L94" s="25"/>
      <c r="M94" s="25"/>
      <c r="N94" s="25"/>
      <c r="O94" s="62" t="s">
        <v>1824</v>
      </c>
      <c r="P94" s="120" t="s">
        <v>506</v>
      </c>
      <c r="Q94" s="93">
        <v>40009</v>
      </c>
    </row>
    <row r="95" spans="1:17" s="31" customFormat="1" ht="140.25" hidden="1">
      <c r="A95" s="52" t="s">
        <v>1870</v>
      </c>
      <c r="B95" s="113" t="s">
        <v>1874</v>
      </c>
      <c r="C95" s="52" t="s">
        <v>2513</v>
      </c>
      <c r="D95" s="113" t="s">
        <v>521</v>
      </c>
      <c r="E95" s="113">
        <v>4600017214</v>
      </c>
      <c r="F95" s="52">
        <v>5001256476</v>
      </c>
      <c r="G95" s="52" t="s">
        <v>939</v>
      </c>
      <c r="H95" s="52"/>
      <c r="I95" s="114">
        <v>49455.5</v>
      </c>
      <c r="J95" s="52" t="s">
        <v>1206</v>
      </c>
      <c r="K95" s="52"/>
      <c r="L95" s="52"/>
      <c r="M95" s="52"/>
      <c r="N95" s="52"/>
      <c r="O95" s="79" t="s">
        <v>1515</v>
      </c>
      <c r="P95" s="41" t="s">
        <v>1080</v>
      </c>
      <c r="Q95" s="93">
        <v>40011</v>
      </c>
    </row>
    <row r="96" spans="1:17" s="31" customFormat="1" ht="114.75" hidden="1">
      <c r="A96" s="52" t="s">
        <v>1870</v>
      </c>
      <c r="B96" s="113" t="s">
        <v>1875</v>
      </c>
      <c r="C96" s="52" t="s">
        <v>627</v>
      </c>
      <c r="D96" s="113" t="s">
        <v>525</v>
      </c>
      <c r="E96" s="113">
        <v>4600016762</v>
      </c>
      <c r="F96" s="52" t="s">
        <v>940</v>
      </c>
      <c r="G96" s="52">
        <v>611215073</v>
      </c>
      <c r="H96" s="52"/>
      <c r="I96" s="114">
        <v>8000</v>
      </c>
      <c r="J96" s="52" t="s">
        <v>1864</v>
      </c>
      <c r="K96" s="52"/>
      <c r="L96" s="52"/>
      <c r="M96" s="52"/>
      <c r="N96" s="52"/>
      <c r="O96" s="79" t="s">
        <v>668</v>
      </c>
      <c r="P96" s="121" t="s">
        <v>506</v>
      </c>
      <c r="Q96" s="93">
        <v>40011</v>
      </c>
    </row>
    <row r="97" spans="1:17" s="31" customFormat="1" ht="89.25" hidden="1">
      <c r="A97" s="52" t="s">
        <v>1870</v>
      </c>
      <c r="B97" s="113" t="s">
        <v>2834</v>
      </c>
      <c r="C97" s="52" t="s">
        <v>386</v>
      </c>
      <c r="D97" s="113" t="s">
        <v>941</v>
      </c>
      <c r="E97" s="113">
        <v>4600016836</v>
      </c>
      <c r="F97" s="52" t="s">
        <v>942</v>
      </c>
      <c r="G97" s="52">
        <v>6394400585</v>
      </c>
      <c r="H97" s="52"/>
      <c r="I97" s="114">
        <v>5610</v>
      </c>
      <c r="J97" s="52" t="s">
        <v>1864</v>
      </c>
      <c r="K97" s="52"/>
      <c r="L97" s="52"/>
      <c r="M97" s="52"/>
      <c r="N97" s="52"/>
      <c r="O97" s="79" t="s">
        <v>2498</v>
      </c>
      <c r="P97" s="43" t="s">
        <v>506</v>
      </c>
      <c r="Q97" s="93">
        <v>40012</v>
      </c>
    </row>
    <row r="98" spans="1:17" s="31" customFormat="1" ht="114.75" hidden="1">
      <c r="A98" s="52" t="s">
        <v>1870</v>
      </c>
      <c r="B98" s="113" t="s">
        <v>2838</v>
      </c>
      <c r="C98" s="52" t="s">
        <v>2513</v>
      </c>
      <c r="D98" s="113" t="s">
        <v>521</v>
      </c>
      <c r="E98" s="113">
        <v>4600018053</v>
      </c>
      <c r="F98" s="52">
        <v>5001300542</v>
      </c>
      <c r="G98" s="52">
        <v>614607377</v>
      </c>
      <c r="H98" s="52"/>
      <c r="I98" s="114">
        <v>20476.64</v>
      </c>
      <c r="J98" s="52" t="s">
        <v>1864</v>
      </c>
      <c r="K98" s="52"/>
      <c r="L98" s="52"/>
      <c r="M98" s="52"/>
      <c r="N98" s="52"/>
      <c r="O98" s="79" t="s">
        <v>629</v>
      </c>
      <c r="P98" s="43" t="s">
        <v>506</v>
      </c>
      <c r="Q98" s="93">
        <v>40012</v>
      </c>
    </row>
    <row r="99" spans="1:17" s="31" customFormat="1" ht="63.75" hidden="1">
      <c r="A99" s="52" t="s">
        <v>1870</v>
      </c>
      <c r="B99" s="113" t="s">
        <v>2836</v>
      </c>
      <c r="C99" s="52" t="s">
        <v>627</v>
      </c>
      <c r="D99" s="113" t="s">
        <v>525</v>
      </c>
      <c r="E99" s="113"/>
      <c r="F99" s="100" t="s">
        <v>944</v>
      </c>
      <c r="G99" s="52">
        <v>238802</v>
      </c>
      <c r="H99" s="52"/>
      <c r="I99" s="114">
        <v>11200</v>
      </c>
      <c r="J99" s="52" t="s">
        <v>1864</v>
      </c>
      <c r="K99" s="52"/>
      <c r="L99" s="52"/>
      <c r="M99" s="52"/>
      <c r="N99" s="52"/>
      <c r="O99" s="79" t="s">
        <v>152</v>
      </c>
      <c r="P99" s="43" t="s">
        <v>506</v>
      </c>
      <c r="Q99" s="93">
        <v>40016</v>
      </c>
    </row>
    <row r="100" spans="1:17" s="31" customFormat="1" ht="102" hidden="1">
      <c r="A100" s="52" t="s">
        <v>1870</v>
      </c>
      <c r="B100" s="113" t="s">
        <v>2837</v>
      </c>
      <c r="C100" s="52" t="s">
        <v>2513</v>
      </c>
      <c r="D100" s="113" t="s">
        <v>521</v>
      </c>
      <c r="E100" s="115" t="s">
        <v>871</v>
      </c>
      <c r="F100" s="100" t="s">
        <v>1476</v>
      </c>
      <c r="G100" s="52" t="s">
        <v>1775</v>
      </c>
      <c r="H100" s="52"/>
      <c r="I100" s="114">
        <v>48887.43</v>
      </c>
      <c r="J100" s="52" t="s">
        <v>1206</v>
      </c>
      <c r="K100" s="52"/>
      <c r="L100" s="52"/>
      <c r="M100" s="52"/>
      <c r="N100" s="52"/>
      <c r="O100" s="79" t="s">
        <v>103</v>
      </c>
      <c r="P100" s="43" t="s">
        <v>506</v>
      </c>
      <c r="Q100" s="93">
        <v>40015</v>
      </c>
    </row>
    <row r="101" spans="1:17" s="31" customFormat="1" ht="38.25" hidden="1">
      <c r="A101" s="52" t="s">
        <v>1870</v>
      </c>
      <c r="B101" s="113" t="s">
        <v>1871</v>
      </c>
      <c r="C101" s="52" t="s">
        <v>2513</v>
      </c>
      <c r="D101" s="113" t="s">
        <v>521</v>
      </c>
      <c r="E101" s="113">
        <v>4600016525</v>
      </c>
      <c r="F101" s="52">
        <v>5001224190</v>
      </c>
      <c r="G101" s="52" t="s">
        <v>936</v>
      </c>
      <c r="H101" s="52"/>
      <c r="I101" s="114">
        <v>41053.919999999998</v>
      </c>
      <c r="J101" s="52" t="s">
        <v>1206</v>
      </c>
      <c r="K101" s="52"/>
      <c r="L101" s="52"/>
      <c r="M101" s="52"/>
      <c r="N101" s="52"/>
      <c r="O101" s="62" t="s">
        <v>2732</v>
      </c>
      <c r="P101" s="43" t="s">
        <v>506</v>
      </c>
      <c r="Q101" s="93">
        <v>40015</v>
      </c>
    </row>
    <row r="102" spans="1:17" s="73" customFormat="1" ht="36" hidden="1">
      <c r="A102" s="72"/>
      <c r="B102" s="74" t="s">
        <v>840</v>
      </c>
      <c r="C102" s="74" t="s">
        <v>841</v>
      </c>
      <c r="D102" s="74" t="s">
        <v>941</v>
      </c>
      <c r="E102" s="74">
        <v>4600018874</v>
      </c>
      <c r="F102" s="74" t="s">
        <v>1083</v>
      </c>
      <c r="G102" s="74" t="s">
        <v>1084</v>
      </c>
      <c r="H102" s="74"/>
      <c r="I102" s="77">
        <v>6320.16</v>
      </c>
      <c r="J102" s="74" t="s">
        <v>582</v>
      </c>
      <c r="K102" s="74"/>
      <c r="L102" s="74"/>
      <c r="M102" s="74"/>
      <c r="N102" s="74"/>
      <c r="O102" s="75" t="s">
        <v>2279</v>
      </c>
      <c r="P102" s="122" t="s">
        <v>1080</v>
      </c>
      <c r="Q102" s="82">
        <v>40014</v>
      </c>
    </row>
    <row r="103" spans="1:17" s="31" customFormat="1" ht="165.75" hidden="1">
      <c r="A103" s="52" t="s">
        <v>1870</v>
      </c>
      <c r="B103" s="113" t="s">
        <v>933</v>
      </c>
      <c r="C103" s="52" t="s">
        <v>2125</v>
      </c>
      <c r="D103" s="113" t="s">
        <v>941</v>
      </c>
      <c r="E103" s="113">
        <v>4600017583</v>
      </c>
      <c r="F103" s="52" t="s">
        <v>51</v>
      </c>
      <c r="G103" s="52" t="s">
        <v>2042</v>
      </c>
      <c r="H103" s="52"/>
      <c r="I103" s="114">
        <v>12804</v>
      </c>
      <c r="J103" s="52" t="s">
        <v>1864</v>
      </c>
      <c r="K103" s="52"/>
      <c r="L103" s="52"/>
      <c r="M103" s="52"/>
      <c r="N103" s="52"/>
      <c r="O103" s="126" t="s">
        <v>1420</v>
      </c>
      <c r="P103" s="43" t="s">
        <v>506</v>
      </c>
      <c r="Q103" s="93">
        <v>40016</v>
      </c>
    </row>
    <row r="104" spans="1:17" s="31" customFormat="1" ht="89.25" hidden="1">
      <c r="A104" s="52" t="s">
        <v>1870</v>
      </c>
      <c r="B104" s="113" t="s">
        <v>1885</v>
      </c>
      <c r="C104" s="113" t="s">
        <v>2513</v>
      </c>
      <c r="D104" s="113" t="s">
        <v>521</v>
      </c>
      <c r="E104" s="113">
        <v>4600018632</v>
      </c>
      <c r="F104" s="52">
        <v>5001303953</v>
      </c>
      <c r="G104" s="52" t="s">
        <v>1800</v>
      </c>
      <c r="H104" s="52"/>
      <c r="I104" s="114">
        <v>48329.47</v>
      </c>
      <c r="J104" s="52" t="s">
        <v>1864</v>
      </c>
      <c r="K104" s="52"/>
      <c r="L104" s="52"/>
      <c r="M104" s="52"/>
      <c r="N104" s="52"/>
      <c r="O104" s="79" t="s">
        <v>403</v>
      </c>
      <c r="P104" s="43" t="s">
        <v>506</v>
      </c>
      <c r="Q104" s="93">
        <v>40018</v>
      </c>
    </row>
    <row r="105" spans="1:17" s="31" customFormat="1" ht="76.5" hidden="1">
      <c r="A105" s="52" t="s">
        <v>1870</v>
      </c>
      <c r="B105" s="113" t="s">
        <v>440</v>
      </c>
      <c r="C105" s="113" t="s">
        <v>2513</v>
      </c>
      <c r="D105" s="113" t="s">
        <v>521</v>
      </c>
      <c r="E105" s="113">
        <v>4600017860</v>
      </c>
      <c r="F105" s="100" t="s">
        <v>1882</v>
      </c>
      <c r="G105" s="52" t="s">
        <v>1797</v>
      </c>
      <c r="H105" s="52"/>
      <c r="I105" s="114">
        <v>49131.360000000001</v>
      </c>
      <c r="J105" s="52" t="s">
        <v>1864</v>
      </c>
      <c r="K105" s="52"/>
      <c r="L105" s="52"/>
      <c r="M105" s="52"/>
      <c r="N105" s="52"/>
      <c r="O105" s="79" t="s">
        <v>174</v>
      </c>
      <c r="P105" s="43" t="s">
        <v>506</v>
      </c>
      <c r="Q105" s="93">
        <v>40018</v>
      </c>
    </row>
    <row r="106" spans="1:17" s="31" customFormat="1" ht="76.5" hidden="1">
      <c r="A106" s="52" t="s">
        <v>1870</v>
      </c>
      <c r="B106" s="113" t="s">
        <v>1883</v>
      </c>
      <c r="C106" s="113" t="s">
        <v>2513</v>
      </c>
      <c r="D106" s="113" t="s">
        <v>521</v>
      </c>
      <c r="E106" s="113">
        <v>4600017860</v>
      </c>
      <c r="F106" s="52">
        <v>5001303222</v>
      </c>
      <c r="G106" s="52" t="s">
        <v>1798</v>
      </c>
      <c r="H106" s="52"/>
      <c r="I106" s="114">
        <v>109221.12</v>
      </c>
      <c r="J106" s="52" t="s">
        <v>1864</v>
      </c>
      <c r="K106" s="52"/>
      <c r="L106" s="52"/>
      <c r="M106" s="52"/>
      <c r="N106" s="52"/>
      <c r="O106" s="79" t="s">
        <v>810</v>
      </c>
      <c r="P106" s="43" t="s">
        <v>506</v>
      </c>
      <c r="Q106" s="93">
        <v>40018</v>
      </c>
    </row>
    <row r="107" spans="1:17" s="31" customFormat="1" ht="102" hidden="1">
      <c r="A107" s="52" t="s">
        <v>1870</v>
      </c>
      <c r="B107" s="113" t="s">
        <v>491</v>
      </c>
      <c r="C107" s="113" t="s">
        <v>2513</v>
      </c>
      <c r="D107" s="113" t="s">
        <v>521</v>
      </c>
      <c r="E107" s="113">
        <v>4600018629</v>
      </c>
      <c r="F107" s="52">
        <v>5001305980</v>
      </c>
      <c r="G107" s="52" t="s">
        <v>1801</v>
      </c>
      <c r="H107" s="52"/>
      <c r="I107" s="114">
        <v>180263.02</v>
      </c>
      <c r="J107" s="52" t="s">
        <v>1864</v>
      </c>
      <c r="K107" s="52"/>
      <c r="L107" s="52"/>
      <c r="M107" s="52"/>
      <c r="N107" s="52"/>
      <c r="O107" s="32" t="s">
        <v>80</v>
      </c>
      <c r="P107" s="43" t="s">
        <v>506</v>
      </c>
      <c r="Q107" s="93">
        <v>40018</v>
      </c>
    </row>
    <row r="108" spans="1:17" s="31" customFormat="1" ht="76.5" hidden="1">
      <c r="A108" s="52" t="s">
        <v>1870</v>
      </c>
      <c r="B108" s="113" t="s">
        <v>2942</v>
      </c>
      <c r="C108" s="115" t="s">
        <v>2943</v>
      </c>
      <c r="D108" s="113" t="s">
        <v>941</v>
      </c>
      <c r="E108" s="113">
        <v>4600017863</v>
      </c>
      <c r="F108" s="52" t="s">
        <v>2944</v>
      </c>
      <c r="G108" s="52" t="s">
        <v>2945</v>
      </c>
      <c r="H108" s="52"/>
      <c r="I108" s="114">
        <v>17971.2</v>
      </c>
      <c r="J108" s="52" t="s">
        <v>1864</v>
      </c>
      <c r="K108" s="52"/>
      <c r="L108" s="52"/>
      <c r="M108" s="52"/>
      <c r="N108" s="52"/>
      <c r="O108" s="32" t="s">
        <v>39</v>
      </c>
      <c r="P108" s="43" t="s">
        <v>506</v>
      </c>
      <c r="Q108" s="93">
        <v>40018</v>
      </c>
    </row>
    <row r="109" spans="1:17" s="73" customFormat="1" ht="60" hidden="1">
      <c r="A109" s="72"/>
      <c r="B109" s="74" t="s">
        <v>1443</v>
      </c>
      <c r="C109" s="74" t="s">
        <v>841</v>
      </c>
      <c r="D109" s="74" t="s">
        <v>941</v>
      </c>
      <c r="E109" s="74">
        <v>46000018868</v>
      </c>
      <c r="F109" s="116" t="s">
        <v>1444</v>
      </c>
      <c r="G109" s="74" t="s">
        <v>1445</v>
      </c>
      <c r="H109" s="74"/>
      <c r="I109" s="77">
        <v>26764.799999999999</v>
      </c>
      <c r="J109" s="74" t="s">
        <v>582</v>
      </c>
      <c r="K109" s="74"/>
      <c r="L109" s="74"/>
      <c r="M109" s="74"/>
      <c r="N109" s="74"/>
      <c r="O109" s="75" t="s">
        <v>2682</v>
      </c>
      <c r="P109" s="122" t="s">
        <v>1080</v>
      </c>
      <c r="Q109" s="82">
        <v>40016</v>
      </c>
    </row>
    <row r="110" spans="1:17" s="73" customFormat="1" ht="24" hidden="1">
      <c r="A110" s="72"/>
      <c r="B110" s="74" t="s">
        <v>613</v>
      </c>
      <c r="C110" s="74" t="s">
        <v>2649</v>
      </c>
      <c r="D110" s="74" t="s">
        <v>525</v>
      </c>
      <c r="E110" s="74">
        <v>4600018988</v>
      </c>
      <c r="F110" s="74" t="s">
        <v>2031</v>
      </c>
      <c r="G110" s="74">
        <v>710102167</v>
      </c>
      <c r="H110" s="74"/>
      <c r="I110" s="77">
        <v>18216</v>
      </c>
      <c r="J110" s="74" t="s">
        <v>582</v>
      </c>
      <c r="K110" s="74"/>
      <c r="L110" s="74"/>
      <c r="M110" s="74"/>
      <c r="N110" s="74"/>
      <c r="O110" s="75" t="s">
        <v>2468</v>
      </c>
      <c r="P110" s="122" t="s">
        <v>1080</v>
      </c>
      <c r="Q110" s="82">
        <v>40018</v>
      </c>
    </row>
    <row r="111" spans="1:17" s="73" customFormat="1" hidden="1">
      <c r="A111" s="72"/>
      <c r="B111" s="74" t="s">
        <v>2032</v>
      </c>
      <c r="C111" s="74" t="s">
        <v>841</v>
      </c>
      <c r="D111" s="74" t="s">
        <v>941</v>
      </c>
      <c r="E111" s="74">
        <v>4600019040</v>
      </c>
      <c r="F111" s="74" t="s">
        <v>2515</v>
      </c>
      <c r="G111" s="74" t="s">
        <v>2516</v>
      </c>
      <c r="H111" s="74"/>
      <c r="I111" s="77">
        <v>23876.16</v>
      </c>
      <c r="J111" s="74" t="s">
        <v>582</v>
      </c>
      <c r="K111" s="74"/>
      <c r="L111" s="74"/>
      <c r="M111" s="74"/>
      <c r="N111" s="74"/>
      <c r="O111" s="75" t="s">
        <v>2469</v>
      </c>
      <c r="P111" s="122" t="s">
        <v>1080</v>
      </c>
      <c r="Q111" s="82">
        <v>40018</v>
      </c>
    </row>
    <row r="112" spans="1:17" s="73" customFormat="1" hidden="1">
      <c r="A112" s="72"/>
      <c r="B112" s="74" t="s">
        <v>2517</v>
      </c>
      <c r="C112" s="74" t="s">
        <v>2518</v>
      </c>
      <c r="D112" s="74" t="s">
        <v>941</v>
      </c>
      <c r="E112" s="74">
        <v>4600019039</v>
      </c>
      <c r="F112" s="74" t="s">
        <v>664</v>
      </c>
      <c r="G112" s="74" t="s">
        <v>387</v>
      </c>
      <c r="H112" s="74"/>
      <c r="I112" s="77">
        <v>10980</v>
      </c>
      <c r="J112" s="74" t="s">
        <v>582</v>
      </c>
      <c r="K112" s="74"/>
      <c r="L112" s="74"/>
      <c r="M112" s="74"/>
      <c r="N112" s="74"/>
      <c r="O112" s="76" t="s">
        <v>2469</v>
      </c>
      <c r="P112" s="122" t="s">
        <v>1080</v>
      </c>
      <c r="Q112" s="82">
        <v>40018</v>
      </c>
    </row>
    <row r="113" spans="1:17" s="73" customFormat="1" hidden="1">
      <c r="A113" s="72"/>
      <c r="B113" s="74" t="s">
        <v>388</v>
      </c>
      <c r="C113" s="74" t="s">
        <v>841</v>
      </c>
      <c r="D113" s="74" t="s">
        <v>941</v>
      </c>
      <c r="E113" s="74">
        <v>4600019040</v>
      </c>
      <c r="F113" s="74" t="s">
        <v>389</v>
      </c>
      <c r="G113" s="74" t="s">
        <v>390</v>
      </c>
      <c r="H113" s="74"/>
      <c r="I113" s="77">
        <v>9072</v>
      </c>
      <c r="J113" s="74" t="s">
        <v>582</v>
      </c>
      <c r="K113" s="74"/>
      <c r="L113" s="74"/>
      <c r="M113" s="74"/>
      <c r="N113" s="74"/>
      <c r="O113" s="76" t="s">
        <v>2469</v>
      </c>
      <c r="P113" s="122" t="s">
        <v>1080</v>
      </c>
      <c r="Q113" s="82">
        <v>40018</v>
      </c>
    </row>
    <row r="114" spans="1:17" s="73" customFormat="1" ht="24" hidden="1">
      <c r="A114" s="72"/>
      <c r="B114" s="74" t="s">
        <v>391</v>
      </c>
      <c r="C114" s="74" t="s">
        <v>841</v>
      </c>
      <c r="D114" s="74" t="s">
        <v>941</v>
      </c>
      <c r="E114" s="74">
        <v>4600019058</v>
      </c>
      <c r="F114" s="74" t="s">
        <v>392</v>
      </c>
      <c r="G114" s="74" t="s">
        <v>1445</v>
      </c>
      <c r="H114" s="74"/>
      <c r="I114" s="77">
        <v>3345.6</v>
      </c>
      <c r="J114" s="74" t="s">
        <v>582</v>
      </c>
      <c r="K114" s="74"/>
      <c r="L114" s="74"/>
      <c r="M114" s="74"/>
      <c r="N114" s="74"/>
      <c r="O114" s="75" t="s">
        <v>2954</v>
      </c>
      <c r="P114" s="122" t="s">
        <v>1080</v>
      </c>
      <c r="Q114" s="82">
        <v>40018</v>
      </c>
    </row>
    <row r="115" spans="1:17" s="73" customFormat="1" ht="24" hidden="1">
      <c r="A115" s="72"/>
      <c r="B115" s="74" t="s">
        <v>177</v>
      </c>
      <c r="C115" s="74" t="s">
        <v>178</v>
      </c>
      <c r="D115" s="74" t="s">
        <v>941</v>
      </c>
      <c r="E115" s="74">
        <v>4600019062</v>
      </c>
      <c r="F115" s="74" t="s">
        <v>179</v>
      </c>
      <c r="G115" s="74" t="s">
        <v>245</v>
      </c>
      <c r="H115" s="74"/>
      <c r="I115" s="77">
        <v>28032</v>
      </c>
      <c r="J115" s="74" t="s">
        <v>582</v>
      </c>
      <c r="K115" s="74"/>
      <c r="L115" s="74"/>
      <c r="M115" s="74"/>
      <c r="N115" s="74"/>
      <c r="O115" s="75" t="s">
        <v>2955</v>
      </c>
      <c r="P115" s="122" t="s">
        <v>1080</v>
      </c>
      <c r="Q115" s="82">
        <v>40018</v>
      </c>
    </row>
    <row r="116" spans="1:17" s="73" customFormat="1" ht="72" hidden="1">
      <c r="A116" s="72" t="s">
        <v>2707</v>
      </c>
      <c r="B116" s="74" t="s">
        <v>569</v>
      </c>
      <c r="C116" s="74" t="s">
        <v>570</v>
      </c>
      <c r="D116" s="74" t="s">
        <v>571</v>
      </c>
      <c r="E116" s="74">
        <v>5800000027</v>
      </c>
      <c r="F116" s="116" t="s">
        <v>572</v>
      </c>
      <c r="G116" s="74" t="s">
        <v>573</v>
      </c>
      <c r="H116" s="74"/>
      <c r="I116" s="77">
        <v>337396.8</v>
      </c>
      <c r="J116" s="74" t="s">
        <v>582</v>
      </c>
      <c r="K116" s="74"/>
      <c r="L116" s="74"/>
      <c r="M116" s="74"/>
      <c r="N116" s="74"/>
      <c r="O116" s="75" t="s">
        <v>1475</v>
      </c>
      <c r="P116" s="117" t="s">
        <v>506</v>
      </c>
      <c r="Q116" s="82">
        <v>40015</v>
      </c>
    </row>
    <row r="117" spans="1:17" s="73" customFormat="1" ht="72" hidden="1">
      <c r="A117" s="72" t="s">
        <v>2707</v>
      </c>
      <c r="B117" s="74" t="s">
        <v>574</v>
      </c>
      <c r="C117" s="74" t="s">
        <v>570</v>
      </c>
      <c r="D117" s="74" t="s">
        <v>571</v>
      </c>
      <c r="E117" s="74">
        <v>5800000013</v>
      </c>
      <c r="F117" s="116" t="s">
        <v>575</v>
      </c>
      <c r="G117" s="74" t="s">
        <v>576</v>
      </c>
      <c r="H117" s="74"/>
      <c r="I117" s="77">
        <v>6195</v>
      </c>
      <c r="J117" s="74" t="s">
        <v>582</v>
      </c>
      <c r="K117" s="74"/>
      <c r="L117" s="74"/>
      <c r="M117" s="74"/>
      <c r="N117" s="74"/>
      <c r="O117" s="75" t="s">
        <v>818</v>
      </c>
      <c r="P117" s="117" t="s">
        <v>506</v>
      </c>
      <c r="Q117" s="82">
        <v>40015</v>
      </c>
    </row>
    <row r="118" spans="1:17" s="73" customFormat="1" ht="36" hidden="1">
      <c r="A118" s="72"/>
      <c r="B118" s="74" t="s">
        <v>1144</v>
      </c>
      <c r="C118" s="74" t="s">
        <v>2518</v>
      </c>
      <c r="D118" s="74" t="s">
        <v>941</v>
      </c>
      <c r="E118" s="74">
        <v>4600019059</v>
      </c>
      <c r="F118" s="74" t="s">
        <v>2463</v>
      </c>
      <c r="G118" s="74" t="s">
        <v>2464</v>
      </c>
      <c r="H118" s="74"/>
      <c r="I118" s="77">
        <v>4017.6</v>
      </c>
      <c r="J118" s="74" t="s">
        <v>582</v>
      </c>
      <c r="K118" s="74"/>
      <c r="L118" s="74"/>
      <c r="M118" s="74"/>
      <c r="N118" s="74"/>
      <c r="O118" s="75" t="s">
        <v>876</v>
      </c>
      <c r="P118" s="122" t="s">
        <v>1080</v>
      </c>
      <c r="Q118" s="82">
        <v>40021</v>
      </c>
    </row>
    <row r="119" spans="1:17" s="73" customFormat="1" ht="36" hidden="1">
      <c r="A119" s="72"/>
      <c r="B119" s="74" t="s">
        <v>2465</v>
      </c>
      <c r="C119" s="74" t="s">
        <v>2518</v>
      </c>
      <c r="D119" s="74" t="s">
        <v>941</v>
      </c>
      <c r="E119" s="74">
        <v>4600019059</v>
      </c>
      <c r="F119" s="74" t="s">
        <v>2466</v>
      </c>
      <c r="G119" s="74" t="s">
        <v>2467</v>
      </c>
      <c r="H119" s="74"/>
      <c r="I119" s="77">
        <v>3744</v>
      </c>
      <c r="J119" s="74" t="s">
        <v>582</v>
      </c>
      <c r="K119" s="74"/>
      <c r="L119" s="74"/>
      <c r="M119" s="74"/>
      <c r="N119" s="74"/>
      <c r="O119" s="75" t="s">
        <v>2785</v>
      </c>
      <c r="P119" s="122" t="s">
        <v>1080</v>
      </c>
      <c r="Q119" s="82">
        <v>40021</v>
      </c>
    </row>
    <row r="120" spans="1:17" s="31" customFormat="1" ht="114.75" hidden="1">
      <c r="A120" s="52" t="s">
        <v>1870</v>
      </c>
      <c r="B120" s="52" t="s">
        <v>476</v>
      </c>
      <c r="C120" s="52" t="s">
        <v>2067</v>
      </c>
      <c r="D120" s="52" t="s">
        <v>941</v>
      </c>
      <c r="E120" s="52">
        <v>4600017601</v>
      </c>
      <c r="F120" s="52" t="s">
        <v>1709</v>
      </c>
      <c r="G120" s="52" t="s">
        <v>477</v>
      </c>
      <c r="H120" s="52"/>
      <c r="I120" s="114">
        <v>5358</v>
      </c>
      <c r="J120" s="52" t="s">
        <v>1864</v>
      </c>
      <c r="K120" s="52"/>
      <c r="L120" s="52"/>
      <c r="M120" s="52"/>
      <c r="N120" s="52"/>
      <c r="O120" s="79" t="s">
        <v>710</v>
      </c>
      <c r="P120" s="43" t="s">
        <v>506</v>
      </c>
      <c r="Q120" s="93">
        <v>40023</v>
      </c>
    </row>
    <row r="121" spans="1:17" s="73" customFormat="1" ht="24" hidden="1">
      <c r="A121" s="72"/>
      <c r="B121" s="74" t="s">
        <v>6</v>
      </c>
      <c r="C121" s="74" t="s">
        <v>2518</v>
      </c>
      <c r="D121" s="74" t="s">
        <v>941</v>
      </c>
      <c r="E121" s="74">
        <v>4600019177</v>
      </c>
      <c r="F121" s="74" t="s">
        <v>7</v>
      </c>
      <c r="G121" s="74" t="s">
        <v>387</v>
      </c>
      <c r="H121" s="74"/>
      <c r="I121" s="77">
        <v>633.6</v>
      </c>
      <c r="J121" s="74" t="s">
        <v>582</v>
      </c>
      <c r="K121" s="74"/>
      <c r="L121" s="74"/>
      <c r="M121" s="74"/>
      <c r="N121" s="74"/>
      <c r="O121" s="75" t="s">
        <v>2019</v>
      </c>
      <c r="P121" s="131" t="s">
        <v>1080</v>
      </c>
      <c r="Q121" s="82">
        <v>40023</v>
      </c>
    </row>
    <row r="122" spans="1:17" s="73" customFormat="1" ht="48" hidden="1">
      <c r="A122" s="72"/>
      <c r="B122" s="74" t="s">
        <v>895</v>
      </c>
      <c r="C122" s="74" t="s">
        <v>896</v>
      </c>
      <c r="D122" s="74" t="s">
        <v>525</v>
      </c>
      <c r="E122" s="74">
        <v>4600019038</v>
      </c>
      <c r="F122" s="74" t="s">
        <v>897</v>
      </c>
      <c r="G122" s="74">
        <v>5395628546</v>
      </c>
      <c r="H122" s="74"/>
      <c r="I122" s="77">
        <v>1900</v>
      </c>
      <c r="J122" s="74" t="s">
        <v>582</v>
      </c>
      <c r="K122" s="74"/>
      <c r="L122" s="74"/>
      <c r="M122" s="74"/>
      <c r="N122" s="74"/>
      <c r="O122" s="75" t="s">
        <v>836</v>
      </c>
      <c r="P122" s="127" t="s">
        <v>980</v>
      </c>
      <c r="Q122" s="82">
        <v>40024</v>
      </c>
    </row>
    <row r="123" spans="1:17" s="73" customFormat="1" ht="36" hidden="1">
      <c r="A123" s="72"/>
      <c r="B123" s="74" t="s">
        <v>2116</v>
      </c>
      <c r="C123" s="74" t="s">
        <v>2649</v>
      </c>
      <c r="D123" s="74" t="s">
        <v>525</v>
      </c>
      <c r="E123" s="74">
        <v>4600019148</v>
      </c>
      <c r="F123" s="74" t="s">
        <v>2018</v>
      </c>
      <c r="G123" s="74">
        <v>710102167</v>
      </c>
      <c r="H123" s="74"/>
      <c r="I123" s="77">
        <v>18216</v>
      </c>
      <c r="J123" s="74" t="s">
        <v>582</v>
      </c>
      <c r="K123" s="74"/>
      <c r="L123" s="74"/>
      <c r="M123" s="74"/>
      <c r="N123" s="74"/>
      <c r="O123" s="75" t="s">
        <v>2865</v>
      </c>
      <c r="P123" s="131" t="s">
        <v>1080</v>
      </c>
      <c r="Q123" s="82">
        <v>40029</v>
      </c>
    </row>
    <row r="124" spans="1:17" s="73" customFormat="1" ht="60" hidden="1">
      <c r="A124" s="72"/>
      <c r="B124" s="74" t="s">
        <v>1390</v>
      </c>
      <c r="C124" s="74" t="s">
        <v>2649</v>
      </c>
      <c r="D124" s="74" t="s">
        <v>525</v>
      </c>
      <c r="E124" s="74">
        <v>4600019170</v>
      </c>
      <c r="F124" s="74" t="s">
        <v>1391</v>
      </c>
      <c r="G124" s="74" t="s">
        <v>1392</v>
      </c>
      <c r="H124" s="74"/>
      <c r="I124" s="77">
        <v>27900</v>
      </c>
      <c r="J124" s="74" t="s">
        <v>582</v>
      </c>
      <c r="K124" s="74"/>
      <c r="L124" s="74"/>
      <c r="M124" s="74"/>
      <c r="N124" s="74"/>
      <c r="O124" s="75" t="s">
        <v>2774</v>
      </c>
      <c r="P124" s="131" t="s">
        <v>1080</v>
      </c>
      <c r="Q124" s="82">
        <v>40029</v>
      </c>
    </row>
    <row r="125" spans="1:17" s="73" customFormat="1" ht="48" hidden="1">
      <c r="A125" s="72"/>
      <c r="B125" s="74" t="s">
        <v>2627</v>
      </c>
      <c r="C125" s="74" t="s">
        <v>896</v>
      </c>
      <c r="D125" s="74" t="s">
        <v>525</v>
      </c>
      <c r="E125" s="74">
        <v>4600019172</v>
      </c>
      <c r="F125" s="74" t="s">
        <v>2626</v>
      </c>
      <c r="G125" s="74">
        <v>5395628546</v>
      </c>
      <c r="H125" s="74"/>
      <c r="I125" s="77">
        <v>13300</v>
      </c>
      <c r="J125" s="74" t="s">
        <v>582</v>
      </c>
      <c r="K125" s="74"/>
      <c r="L125" s="74"/>
      <c r="M125" s="74"/>
      <c r="N125" s="74"/>
      <c r="O125" s="75" t="s">
        <v>2775</v>
      </c>
      <c r="P125" s="131" t="s">
        <v>1080</v>
      </c>
      <c r="Q125" s="82">
        <v>40029</v>
      </c>
    </row>
    <row r="126" spans="1:17" s="73" customFormat="1" ht="48" hidden="1">
      <c r="A126" s="72"/>
      <c r="B126" s="74" t="s">
        <v>2628</v>
      </c>
      <c r="C126" s="74" t="s">
        <v>896</v>
      </c>
      <c r="D126" s="74" t="s">
        <v>525</v>
      </c>
      <c r="E126" s="74">
        <v>4600019172</v>
      </c>
      <c r="F126" s="74" t="s">
        <v>2629</v>
      </c>
      <c r="G126" s="74">
        <v>5391594670</v>
      </c>
      <c r="H126" s="74"/>
      <c r="I126" s="77">
        <v>30100</v>
      </c>
      <c r="J126" s="74" t="s">
        <v>582</v>
      </c>
      <c r="K126" s="74"/>
      <c r="L126" s="74"/>
      <c r="M126" s="74"/>
      <c r="N126" s="74"/>
      <c r="O126" s="75" t="s">
        <v>2775</v>
      </c>
      <c r="P126" s="131" t="s">
        <v>1080</v>
      </c>
      <c r="Q126" s="82">
        <v>40029</v>
      </c>
    </row>
    <row r="127" spans="1:17" s="31" customFormat="1" ht="127.5" hidden="1">
      <c r="A127" s="52" t="s">
        <v>1870</v>
      </c>
      <c r="B127" s="113" t="s">
        <v>2280</v>
      </c>
      <c r="C127" s="115" t="s">
        <v>2513</v>
      </c>
      <c r="D127" s="113" t="s">
        <v>521</v>
      </c>
      <c r="E127" s="115" t="s">
        <v>1297</v>
      </c>
      <c r="F127" s="100" t="s">
        <v>1298</v>
      </c>
      <c r="G127" s="52" t="s">
        <v>1299</v>
      </c>
      <c r="H127" s="52"/>
      <c r="I127" s="114">
        <v>23344.799999999999</v>
      </c>
      <c r="J127" s="52" t="s">
        <v>1864</v>
      </c>
      <c r="K127" s="52"/>
      <c r="L127" s="52"/>
      <c r="M127" s="52"/>
      <c r="N127" s="52"/>
      <c r="O127" s="32" t="s">
        <v>2916</v>
      </c>
      <c r="P127" s="41" t="s">
        <v>1080</v>
      </c>
      <c r="Q127" s="93">
        <v>40030</v>
      </c>
    </row>
    <row r="128" spans="1:17" s="31" customFormat="1" ht="76.5" hidden="1">
      <c r="A128" s="52" t="s">
        <v>1870</v>
      </c>
      <c r="B128" s="113" t="s">
        <v>825</v>
      </c>
      <c r="C128" s="115" t="s">
        <v>2513</v>
      </c>
      <c r="D128" s="113" t="s">
        <v>521</v>
      </c>
      <c r="E128" s="115">
        <v>4600018897</v>
      </c>
      <c r="F128" s="100">
        <v>5001307446</v>
      </c>
      <c r="G128" s="52" t="s">
        <v>826</v>
      </c>
      <c r="H128" s="52"/>
      <c r="I128" s="114">
        <v>48329.47</v>
      </c>
      <c r="J128" s="52" t="s">
        <v>1864</v>
      </c>
      <c r="K128" s="52"/>
      <c r="L128" s="52"/>
      <c r="M128" s="52"/>
      <c r="N128" s="52"/>
      <c r="O128" s="32" t="s">
        <v>711</v>
      </c>
      <c r="P128" s="43" t="s">
        <v>506</v>
      </c>
      <c r="Q128" s="93">
        <v>40030</v>
      </c>
    </row>
    <row r="129" spans="1:17" s="31" customFormat="1" ht="89.25" hidden="1">
      <c r="A129" s="52" t="s">
        <v>1870</v>
      </c>
      <c r="B129" s="113" t="s">
        <v>821</v>
      </c>
      <c r="C129" s="115" t="s">
        <v>2513</v>
      </c>
      <c r="D129" s="113" t="s">
        <v>521</v>
      </c>
      <c r="E129" s="115" t="s">
        <v>822</v>
      </c>
      <c r="F129" s="100" t="s">
        <v>823</v>
      </c>
      <c r="G129" s="52" t="s">
        <v>824</v>
      </c>
      <c r="H129" s="52"/>
      <c r="I129" s="114">
        <v>64071</v>
      </c>
      <c r="J129" s="52" t="s">
        <v>1864</v>
      </c>
      <c r="K129" s="52"/>
      <c r="L129" s="52"/>
      <c r="M129" s="52"/>
      <c r="N129" s="52"/>
      <c r="O129" s="32" t="s">
        <v>1768</v>
      </c>
      <c r="P129" s="40" t="s">
        <v>980</v>
      </c>
      <c r="Q129" s="93">
        <v>40030</v>
      </c>
    </row>
    <row r="130" spans="1:17" s="73" customFormat="1" ht="24" hidden="1">
      <c r="A130" s="72"/>
      <c r="B130" s="74" t="s">
        <v>1743</v>
      </c>
      <c r="C130" s="74" t="s">
        <v>896</v>
      </c>
      <c r="D130" s="74" t="s">
        <v>525</v>
      </c>
      <c r="E130" s="74">
        <v>4600019172</v>
      </c>
      <c r="F130" s="74" t="s">
        <v>1744</v>
      </c>
      <c r="G130" s="74">
        <v>5395641746</v>
      </c>
      <c r="H130" s="74"/>
      <c r="I130" s="77">
        <v>1075</v>
      </c>
      <c r="J130" s="74" t="s">
        <v>582</v>
      </c>
      <c r="K130" s="74"/>
      <c r="L130" s="74"/>
      <c r="M130" s="74"/>
      <c r="N130" s="74"/>
      <c r="O130" s="75" t="s">
        <v>703</v>
      </c>
      <c r="P130" s="138" t="s">
        <v>506</v>
      </c>
      <c r="Q130" s="82">
        <v>40030</v>
      </c>
    </row>
    <row r="131" spans="1:17" s="73" customFormat="1" ht="36" hidden="1">
      <c r="A131" s="72"/>
      <c r="B131" s="74" t="s">
        <v>1745</v>
      </c>
      <c r="C131" s="74" t="s">
        <v>896</v>
      </c>
      <c r="D131" s="74" t="s">
        <v>525</v>
      </c>
      <c r="E131" s="74">
        <v>4600019172</v>
      </c>
      <c r="F131" s="74" t="s">
        <v>310</v>
      </c>
      <c r="G131" s="74">
        <v>5395643385</v>
      </c>
      <c r="H131" s="74"/>
      <c r="I131" s="77">
        <v>1075</v>
      </c>
      <c r="J131" s="74" t="s">
        <v>582</v>
      </c>
      <c r="K131" s="74"/>
      <c r="L131" s="74"/>
      <c r="M131" s="74"/>
      <c r="N131" s="74"/>
      <c r="O131" s="75" t="s">
        <v>249</v>
      </c>
      <c r="P131" s="131" t="s">
        <v>1080</v>
      </c>
      <c r="Q131" s="82">
        <v>40030</v>
      </c>
    </row>
    <row r="132" spans="1:17" s="73" customFormat="1" ht="48" hidden="1">
      <c r="A132" s="72"/>
      <c r="B132" s="74" t="s">
        <v>314</v>
      </c>
      <c r="C132" s="74" t="s">
        <v>896</v>
      </c>
      <c r="D132" s="74" t="s">
        <v>525</v>
      </c>
      <c r="E132" s="74">
        <v>4600019172</v>
      </c>
      <c r="F132" s="74" t="s">
        <v>315</v>
      </c>
      <c r="G132" s="74">
        <v>5531044651</v>
      </c>
      <c r="H132" s="74"/>
      <c r="I132" s="77">
        <v>15200</v>
      </c>
      <c r="J132" s="74" t="s">
        <v>582</v>
      </c>
      <c r="K132" s="74"/>
      <c r="L132" s="74"/>
      <c r="M132" s="74"/>
      <c r="N132" s="74"/>
      <c r="O132" s="75" t="s">
        <v>2895</v>
      </c>
      <c r="P132" s="131" t="s">
        <v>1080</v>
      </c>
      <c r="Q132" s="82">
        <v>40030</v>
      </c>
    </row>
    <row r="133" spans="1:17" s="31" customFormat="1" ht="102" hidden="1">
      <c r="A133" s="52" t="s">
        <v>1870</v>
      </c>
      <c r="B133" s="113" t="s">
        <v>1884</v>
      </c>
      <c r="C133" s="113" t="s">
        <v>2513</v>
      </c>
      <c r="D133" s="113" t="s">
        <v>521</v>
      </c>
      <c r="E133" s="113">
        <v>4600018633</v>
      </c>
      <c r="F133" s="52">
        <v>5001303954</v>
      </c>
      <c r="G133" s="52" t="s">
        <v>1799</v>
      </c>
      <c r="H133" s="52"/>
      <c r="I133" s="114">
        <v>48329.47</v>
      </c>
      <c r="J133" s="52" t="s">
        <v>1206</v>
      </c>
      <c r="K133" s="52"/>
      <c r="L133" s="52"/>
      <c r="M133" s="52"/>
      <c r="N133" s="52"/>
      <c r="O133" s="79" t="s">
        <v>382</v>
      </c>
      <c r="P133" s="43" t="s">
        <v>506</v>
      </c>
      <c r="Q133" s="93">
        <v>40031</v>
      </c>
    </row>
    <row r="134" spans="1:17" s="73" customFormat="1" ht="24" hidden="1">
      <c r="A134" s="72"/>
      <c r="B134" s="74" t="s">
        <v>2917</v>
      </c>
      <c r="C134" s="74" t="s">
        <v>896</v>
      </c>
      <c r="D134" s="74" t="s">
        <v>525</v>
      </c>
      <c r="E134" s="74">
        <v>4600019171</v>
      </c>
      <c r="F134" s="74" t="s">
        <v>2918</v>
      </c>
      <c r="G134" s="74">
        <v>5395657487</v>
      </c>
      <c r="H134" s="74"/>
      <c r="I134" s="77">
        <v>50350</v>
      </c>
      <c r="J134" s="74" t="s">
        <v>582</v>
      </c>
      <c r="K134" s="74"/>
      <c r="L134" s="74"/>
      <c r="M134" s="74"/>
      <c r="N134" s="74"/>
      <c r="O134" s="75" t="s">
        <v>2663</v>
      </c>
      <c r="P134" s="131" t="s">
        <v>1080</v>
      </c>
      <c r="Q134" s="82">
        <v>40031</v>
      </c>
    </row>
    <row r="135" spans="1:17" s="73" customFormat="1" ht="24" hidden="1">
      <c r="A135" s="72"/>
      <c r="B135" s="74" t="s">
        <v>2919</v>
      </c>
      <c r="C135" s="74" t="s">
        <v>896</v>
      </c>
      <c r="D135" s="74" t="s">
        <v>525</v>
      </c>
      <c r="E135" s="74">
        <v>4600019171</v>
      </c>
      <c r="F135" s="74" t="s">
        <v>1069</v>
      </c>
      <c r="G135" s="74">
        <v>5531045707</v>
      </c>
      <c r="H135" s="74"/>
      <c r="I135" s="77">
        <v>6650</v>
      </c>
      <c r="J135" s="74" t="s">
        <v>582</v>
      </c>
      <c r="K135" s="74"/>
      <c r="L135" s="74"/>
      <c r="M135" s="74"/>
      <c r="N135" s="74"/>
      <c r="O135" s="75" t="s">
        <v>2663</v>
      </c>
      <c r="P135" s="131" t="s">
        <v>1080</v>
      </c>
      <c r="Q135" s="82">
        <v>40031</v>
      </c>
    </row>
    <row r="136" spans="1:17" s="73" customFormat="1" hidden="1">
      <c r="A136" s="72"/>
      <c r="B136" s="74" t="s">
        <v>383</v>
      </c>
      <c r="C136" s="74" t="s">
        <v>2518</v>
      </c>
      <c r="D136" s="74" t="s">
        <v>941</v>
      </c>
      <c r="E136" s="74">
        <v>4600019409</v>
      </c>
      <c r="F136" s="74" t="s">
        <v>1958</v>
      </c>
      <c r="G136" s="74" t="s">
        <v>2467</v>
      </c>
      <c r="H136" s="74"/>
      <c r="I136" s="77">
        <v>11102.4</v>
      </c>
      <c r="J136" s="74" t="s">
        <v>582</v>
      </c>
      <c r="K136" s="74"/>
      <c r="L136" s="74"/>
      <c r="M136" s="74"/>
      <c r="N136" s="74"/>
      <c r="O136" s="75" t="s">
        <v>1463</v>
      </c>
      <c r="P136" s="131" t="s">
        <v>1080</v>
      </c>
      <c r="Q136" s="82">
        <v>40031</v>
      </c>
    </row>
    <row r="137" spans="1:17" s="73" customFormat="1" ht="24" hidden="1">
      <c r="A137" s="72"/>
      <c r="B137" s="74" t="s">
        <v>1687</v>
      </c>
      <c r="C137" s="74" t="s">
        <v>896</v>
      </c>
      <c r="D137" s="74" t="s">
        <v>2896</v>
      </c>
      <c r="E137" s="74">
        <v>4800001812</v>
      </c>
      <c r="F137" s="74" t="s">
        <v>1688</v>
      </c>
      <c r="G137" s="74">
        <v>5391628575</v>
      </c>
      <c r="H137" s="74"/>
      <c r="I137" s="77">
        <v>67500</v>
      </c>
      <c r="J137" s="74" t="s">
        <v>582</v>
      </c>
      <c r="K137" s="74"/>
      <c r="L137" s="74"/>
      <c r="M137" s="74"/>
      <c r="N137" s="74"/>
      <c r="O137" s="75" t="s">
        <v>1464</v>
      </c>
      <c r="P137" s="138" t="s">
        <v>506</v>
      </c>
      <c r="Q137" s="82">
        <v>40031</v>
      </c>
    </row>
    <row r="138" spans="1:17" s="31" customFormat="1" ht="153" hidden="1">
      <c r="A138" s="52" t="s">
        <v>1870</v>
      </c>
      <c r="B138" s="113" t="s">
        <v>2831</v>
      </c>
      <c r="C138" s="52" t="s">
        <v>1863</v>
      </c>
      <c r="D138" s="113" t="s">
        <v>941</v>
      </c>
      <c r="E138" s="113">
        <v>4600017292</v>
      </c>
      <c r="F138" s="52" t="s">
        <v>934</v>
      </c>
      <c r="G138" s="52" t="s">
        <v>935</v>
      </c>
      <c r="H138" s="52"/>
      <c r="I138" s="114">
        <v>92761.16</v>
      </c>
      <c r="J138" s="52" t="s">
        <v>1864</v>
      </c>
      <c r="K138" s="52"/>
      <c r="L138" s="52"/>
      <c r="M138" s="52"/>
      <c r="N138" s="52"/>
      <c r="O138" s="79" t="s">
        <v>1481</v>
      </c>
      <c r="P138" s="41" t="s">
        <v>1080</v>
      </c>
      <c r="Q138" s="93">
        <v>40035</v>
      </c>
    </row>
    <row r="139" spans="1:17" s="31" customFormat="1" ht="114.75" hidden="1">
      <c r="A139" s="52" t="s">
        <v>1870</v>
      </c>
      <c r="B139" s="52" t="s">
        <v>2956</v>
      </c>
      <c r="C139" s="100" t="s">
        <v>9</v>
      </c>
      <c r="D139" s="52" t="s">
        <v>941</v>
      </c>
      <c r="E139" s="52">
        <v>4600019085</v>
      </c>
      <c r="F139" s="52" t="s">
        <v>8</v>
      </c>
      <c r="G139" s="52" t="s">
        <v>2957</v>
      </c>
      <c r="H139" s="52"/>
      <c r="I139" s="114">
        <v>17971.2</v>
      </c>
      <c r="J139" s="52" t="s">
        <v>1864</v>
      </c>
      <c r="K139" s="52"/>
      <c r="L139" s="52"/>
      <c r="M139" s="52"/>
      <c r="N139" s="52"/>
      <c r="O139" s="79" t="s">
        <v>354</v>
      </c>
      <c r="P139" s="43" t="s">
        <v>506</v>
      </c>
      <c r="Q139" s="93">
        <v>40033</v>
      </c>
    </row>
    <row r="140" spans="1:17" customFormat="1" ht="89.25" hidden="1">
      <c r="A140" s="72"/>
      <c r="B140" s="72" t="s">
        <v>311</v>
      </c>
      <c r="C140" s="72" t="s">
        <v>312</v>
      </c>
      <c r="D140" s="72" t="s">
        <v>571</v>
      </c>
      <c r="E140" s="72">
        <v>5800000028</v>
      </c>
      <c r="F140" s="134" t="s">
        <v>1789</v>
      </c>
      <c r="G140" s="72" t="s">
        <v>313</v>
      </c>
      <c r="H140" s="72"/>
      <c r="I140" s="135">
        <v>3115</v>
      </c>
      <c r="J140" s="72" t="s">
        <v>582</v>
      </c>
      <c r="K140" s="72"/>
      <c r="L140" s="72"/>
      <c r="M140" s="72"/>
      <c r="N140" s="72"/>
      <c r="O140" s="136" t="s">
        <v>766</v>
      </c>
      <c r="P140" s="137" t="s">
        <v>506</v>
      </c>
      <c r="Q140" s="142">
        <v>40032</v>
      </c>
    </row>
    <row r="141" spans="1:17" customFormat="1" ht="89.25" hidden="1">
      <c r="A141" s="72"/>
      <c r="B141" s="72" t="s">
        <v>316</v>
      </c>
      <c r="C141" s="72" t="s">
        <v>317</v>
      </c>
      <c r="D141" s="72" t="s">
        <v>571</v>
      </c>
      <c r="E141" s="72">
        <v>5800000031</v>
      </c>
      <c r="F141" s="134" t="s">
        <v>318</v>
      </c>
      <c r="G141" s="72" t="s">
        <v>2273</v>
      </c>
      <c r="H141" s="72"/>
      <c r="I141" s="135">
        <v>36633.599999999999</v>
      </c>
      <c r="J141" s="72" t="s">
        <v>582</v>
      </c>
      <c r="K141" s="72"/>
      <c r="L141" s="72"/>
      <c r="M141" s="72"/>
      <c r="N141" s="72"/>
      <c r="O141" s="136" t="s">
        <v>1697</v>
      </c>
      <c r="P141" s="137" t="s">
        <v>506</v>
      </c>
      <c r="Q141" s="142">
        <v>40032</v>
      </c>
    </row>
    <row r="142" spans="1:17" customFormat="1" ht="89.25" hidden="1">
      <c r="A142" s="72"/>
      <c r="B142" s="72" t="s">
        <v>2274</v>
      </c>
      <c r="C142" s="72" t="s">
        <v>317</v>
      </c>
      <c r="D142" s="72" t="s">
        <v>571</v>
      </c>
      <c r="E142" s="72">
        <v>5800000031</v>
      </c>
      <c r="F142" s="134" t="s">
        <v>2275</v>
      </c>
      <c r="G142" s="72" t="s">
        <v>2276</v>
      </c>
      <c r="H142" s="72"/>
      <c r="I142" s="135">
        <v>36633.599999999999</v>
      </c>
      <c r="J142" s="72" t="s">
        <v>582</v>
      </c>
      <c r="K142" s="72"/>
      <c r="L142" s="72"/>
      <c r="M142" s="72"/>
      <c r="N142" s="72"/>
      <c r="O142" s="136" t="s">
        <v>1697</v>
      </c>
      <c r="P142" s="137" t="s">
        <v>506</v>
      </c>
      <c r="Q142" s="142">
        <v>40032</v>
      </c>
    </row>
    <row r="143" spans="1:17" s="73" customFormat="1" ht="24" hidden="1">
      <c r="A143" s="72"/>
      <c r="B143" s="74" t="s">
        <v>1521</v>
      </c>
      <c r="C143" s="74" t="s">
        <v>2518</v>
      </c>
      <c r="D143" s="74" t="s">
        <v>941</v>
      </c>
      <c r="E143" s="74">
        <v>4600019410</v>
      </c>
      <c r="F143" s="74" t="s">
        <v>1522</v>
      </c>
      <c r="G143" s="74" t="s">
        <v>2467</v>
      </c>
      <c r="H143" s="74"/>
      <c r="I143" s="77">
        <v>22204.799999999999</v>
      </c>
      <c r="J143" s="74" t="s">
        <v>582</v>
      </c>
      <c r="K143" s="74"/>
      <c r="L143" s="74"/>
      <c r="M143" s="74"/>
      <c r="N143" s="74"/>
      <c r="O143" s="75" t="s">
        <v>454</v>
      </c>
      <c r="P143" s="138" t="s">
        <v>506</v>
      </c>
      <c r="Q143" s="82">
        <v>40032</v>
      </c>
    </row>
    <row r="144" spans="1:17" s="73" customFormat="1" hidden="1">
      <c r="A144" s="72"/>
      <c r="B144" s="74" t="s">
        <v>2205</v>
      </c>
      <c r="C144" s="74" t="s">
        <v>2649</v>
      </c>
      <c r="D144" s="74" t="s">
        <v>525</v>
      </c>
      <c r="E144" s="74">
        <v>4600019353</v>
      </c>
      <c r="F144" s="74" t="s">
        <v>2206</v>
      </c>
      <c r="G144" s="74" t="s">
        <v>1392</v>
      </c>
      <c r="H144" s="74"/>
      <c r="I144" s="77">
        <v>13500</v>
      </c>
      <c r="J144" s="74" t="s">
        <v>582</v>
      </c>
      <c r="K144" s="74"/>
      <c r="L144" s="74"/>
      <c r="M144" s="74"/>
      <c r="N144" s="74"/>
      <c r="O144" s="75" t="s">
        <v>757</v>
      </c>
      <c r="P144" s="131" t="s">
        <v>1080</v>
      </c>
      <c r="Q144" s="82">
        <v>40032</v>
      </c>
    </row>
    <row r="145" spans="1:17" s="73" customFormat="1" ht="24" hidden="1">
      <c r="A145" s="72"/>
      <c r="B145" s="74" t="s">
        <v>2708</v>
      </c>
      <c r="C145" s="74" t="s">
        <v>896</v>
      </c>
      <c r="D145" s="74" t="s">
        <v>525</v>
      </c>
      <c r="E145" s="74">
        <v>4600019354</v>
      </c>
      <c r="F145" s="74" t="s">
        <v>782</v>
      </c>
      <c r="G145" s="74">
        <v>5531044651</v>
      </c>
      <c r="H145" s="74"/>
      <c r="I145" s="77">
        <v>22800</v>
      </c>
      <c r="J145" s="74" t="s">
        <v>582</v>
      </c>
      <c r="K145" s="74"/>
      <c r="L145" s="74"/>
      <c r="M145" s="74"/>
      <c r="N145" s="74"/>
      <c r="O145" s="75" t="s">
        <v>2453</v>
      </c>
      <c r="P145" s="131" t="s">
        <v>1080</v>
      </c>
      <c r="Q145" s="82">
        <v>40032</v>
      </c>
    </row>
    <row r="146" spans="1:17" s="73" customFormat="1" ht="24" hidden="1">
      <c r="A146" s="72"/>
      <c r="B146" s="74" t="s">
        <v>2709</v>
      </c>
      <c r="C146" s="74" t="s">
        <v>896</v>
      </c>
      <c r="D146" s="74" t="s">
        <v>525</v>
      </c>
      <c r="E146" s="74">
        <v>4600019354</v>
      </c>
      <c r="F146" s="74" t="s">
        <v>783</v>
      </c>
      <c r="G146" s="74">
        <v>5531047170</v>
      </c>
      <c r="H146" s="74"/>
      <c r="I146" s="77">
        <v>3800</v>
      </c>
      <c r="J146" s="74" t="s">
        <v>582</v>
      </c>
      <c r="K146" s="74"/>
      <c r="L146" s="74"/>
      <c r="M146" s="74"/>
      <c r="N146" s="74"/>
      <c r="O146" s="75" t="s">
        <v>1395</v>
      </c>
      <c r="P146" s="131" t="s">
        <v>1080</v>
      </c>
      <c r="Q146" s="82">
        <v>40032</v>
      </c>
    </row>
    <row r="147" spans="1:17" s="73" customFormat="1" ht="24" hidden="1">
      <c r="A147" s="72"/>
      <c r="B147" s="74" t="s">
        <v>2710</v>
      </c>
      <c r="C147" s="74" t="s">
        <v>896</v>
      </c>
      <c r="D147" s="74" t="s">
        <v>525</v>
      </c>
      <c r="E147" s="74">
        <v>4600019354</v>
      </c>
      <c r="F147" s="74" t="s">
        <v>1284</v>
      </c>
      <c r="G147" s="74">
        <v>5531045707</v>
      </c>
      <c r="H147" s="74"/>
      <c r="I147" s="77">
        <v>9500</v>
      </c>
      <c r="J147" s="74" t="s">
        <v>582</v>
      </c>
      <c r="K147" s="74"/>
      <c r="L147" s="74"/>
      <c r="M147" s="74"/>
      <c r="N147" s="74"/>
      <c r="O147" s="75" t="s">
        <v>1396</v>
      </c>
      <c r="P147" s="138" t="s">
        <v>506</v>
      </c>
      <c r="Q147" s="82">
        <v>40032</v>
      </c>
    </row>
    <row r="148" spans="1:17" s="73" customFormat="1" ht="24" hidden="1">
      <c r="A148" s="72"/>
      <c r="B148" s="74" t="s">
        <v>2711</v>
      </c>
      <c r="C148" s="74" t="s">
        <v>896</v>
      </c>
      <c r="D148" s="74" t="s">
        <v>525</v>
      </c>
      <c r="E148" s="74">
        <v>4600019354</v>
      </c>
      <c r="F148" s="74" t="s">
        <v>1285</v>
      </c>
      <c r="G148" s="74">
        <v>5531048094</v>
      </c>
      <c r="H148" s="74"/>
      <c r="I148" s="77">
        <v>32300</v>
      </c>
      <c r="J148" s="74" t="s">
        <v>582</v>
      </c>
      <c r="K148" s="74"/>
      <c r="L148" s="74"/>
      <c r="M148" s="74"/>
      <c r="N148" s="74"/>
      <c r="O148" s="75" t="s">
        <v>1396</v>
      </c>
      <c r="P148" s="138" t="s">
        <v>506</v>
      </c>
      <c r="Q148" s="82">
        <v>40032</v>
      </c>
    </row>
    <row r="149" spans="1:17" s="73" customFormat="1" ht="24" hidden="1">
      <c r="A149" s="72"/>
      <c r="B149" s="74" t="s">
        <v>2712</v>
      </c>
      <c r="C149" s="74" t="s">
        <v>896</v>
      </c>
      <c r="D149" s="74" t="s">
        <v>525</v>
      </c>
      <c r="E149" s="74">
        <v>4600019354</v>
      </c>
      <c r="F149" s="74" t="s">
        <v>1286</v>
      </c>
      <c r="G149" s="74">
        <v>5395643385</v>
      </c>
      <c r="H149" s="74"/>
      <c r="I149" s="77">
        <v>40850</v>
      </c>
      <c r="J149" s="74" t="s">
        <v>582</v>
      </c>
      <c r="K149" s="74"/>
      <c r="L149" s="74"/>
      <c r="M149" s="74"/>
      <c r="N149" s="74"/>
      <c r="O149" s="75" t="s">
        <v>1395</v>
      </c>
      <c r="P149" s="131" t="s">
        <v>1080</v>
      </c>
      <c r="Q149" s="82">
        <v>40032</v>
      </c>
    </row>
    <row r="150" spans="1:17" s="73" customFormat="1" ht="24" hidden="1">
      <c r="A150" s="72"/>
      <c r="B150" s="74" t="s">
        <v>2713</v>
      </c>
      <c r="C150" s="74" t="s">
        <v>896</v>
      </c>
      <c r="D150" s="74" t="s">
        <v>525</v>
      </c>
      <c r="E150" s="74">
        <v>4600019354</v>
      </c>
      <c r="F150" s="74" t="s">
        <v>1287</v>
      </c>
      <c r="G150" s="74">
        <v>5395657498</v>
      </c>
      <c r="H150" s="74"/>
      <c r="I150" s="77">
        <v>7525</v>
      </c>
      <c r="J150" s="74" t="s">
        <v>582</v>
      </c>
      <c r="K150" s="74"/>
      <c r="L150" s="74"/>
      <c r="M150" s="74"/>
      <c r="N150" s="74"/>
      <c r="O150" s="75" t="s">
        <v>1396</v>
      </c>
      <c r="P150" s="138" t="s">
        <v>506</v>
      </c>
      <c r="Q150" s="82">
        <v>40032</v>
      </c>
    </row>
    <row r="151" spans="1:17" s="73" customFormat="1" ht="24" hidden="1">
      <c r="A151" s="72"/>
      <c r="B151" s="74" t="s">
        <v>2078</v>
      </c>
      <c r="C151" s="74" t="s">
        <v>896</v>
      </c>
      <c r="D151" s="74" t="s">
        <v>525</v>
      </c>
      <c r="E151" s="74">
        <v>4600019354</v>
      </c>
      <c r="F151" s="74" t="s">
        <v>1288</v>
      </c>
      <c r="G151" s="74">
        <v>5395657751</v>
      </c>
      <c r="H151" s="74"/>
      <c r="I151" s="77">
        <v>29025</v>
      </c>
      <c r="J151" s="74" t="s">
        <v>582</v>
      </c>
      <c r="K151" s="74"/>
      <c r="L151" s="74"/>
      <c r="M151" s="74"/>
      <c r="N151" s="74"/>
      <c r="O151" s="75" t="s">
        <v>1396</v>
      </c>
      <c r="P151" s="138" t="s">
        <v>506</v>
      </c>
      <c r="Q151" s="82">
        <v>40032</v>
      </c>
    </row>
    <row r="152" spans="1:17" s="31" customFormat="1" ht="89.25" hidden="1">
      <c r="A152" s="52" t="s">
        <v>1870</v>
      </c>
      <c r="B152" s="113" t="s">
        <v>2839</v>
      </c>
      <c r="C152" s="52" t="s">
        <v>386</v>
      </c>
      <c r="D152" s="113" t="s">
        <v>941</v>
      </c>
      <c r="E152" s="113">
        <v>4600017748</v>
      </c>
      <c r="F152" s="52" t="s">
        <v>1477</v>
      </c>
      <c r="G152" s="52">
        <v>6394403549</v>
      </c>
      <c r="H152" s="52"/>
      <c r="I152" s="114">
        <v>12312</v>
      </c>
      <c r="J152" s="52" t="s">
        <v>1864</v>
      </c>
      <c r="K152" s="52"/>
      <c r="L152" s="52"/>
      <c r="M152" s="52"/>
      <c r="N152" s="52"/>
      <c r="O152" s="79" t="s">
        <v>2662</v>
      </c>
      <c r="P152" s="43" t="s">
        <v>506</v>
      </c>
      <c r="Q152" s="93">
        <v>40036</v>
      </c>
    </row>
    <row r="153" spans="1:17" s="73" customFormat="1" ht="36" hidden="1">
      <c r="A153" s="72"/>
      <c r="B153" s="74" t="s">
        <v>1482</v>
      </c>
      <c r="C153" s="74" t="s">
        <v>841</v>
      </c>
      <c r="D153" s="74" t="s">
        <v>941</v>
      </c>
      <c r="E153" s="74">
        <v>4600019437</v>
      </c>
      <c r="F153" s="74" t="s">
        <v>1483</v>
      </c>
      <c r="G153" s="74" t="s">
        <v>2516</v>
      </c>
      <c r="H153" s="74"/>
      <c r="I153" s="77">
        <v>3220.14</v>
      </c>
      <c r="J153" s="74" t="s">
        <v>582</v>
      </c>
      <c r="K153" s="74"/>
      <c r="L153" s="74"/>
      <c r="M153" s="74"/>
      <c r="N153" s="74"/>
      <c r="O153" s="75" t="s">
        <v>578</v>
      </c>
      <c r="P153" s="131" t="s">
        <v>1080</v>
      </c>
      <c r="Q153" s="82">
        <v>40035</v>
      </c>
    </row>
    <row r="154" spans="1:17" s="73" customFormat="1" ht="36" hidden="1">
      <c r="A154" s="72"/>
      <c r="B154" s="74" t="s">
        <v>642</v>
      </c>
      <c r="C154" s="74" t="s">
        <v>841</v>
      </c>
      <c r="D154" s="74" t="s">
        <v>941</v>
      </c>
      <c r="E154" s="74">
        <v>4600019437</v>
      </c>
      <c r="F154" s="74" t="s">
        <v>643</v>
      </c>
      <c r="G154" s="74" t="s">
        <v>644</v>
      </c>
      <c r="H154" s="74"/>
      <c r="I154" s="77">
        <v>36364.019999999997</v>
      </c>
      <c r="J154" s="74" t="s">
        <v>582</v>
      </c>
      <c r="K154" s="74"/>
      <c r="L154" s="74"/>
      <c r="M154" s="74"/>
      <c r="N154" s="74"/>
      <c r="O154" s="75" t="s">
        <v>579</v>
      </c>
      <c r="P154" s="138" t="s">
        <v>506</v>
      </c>
      <c r="Q154" s="82">
        <v>40035</v>
      </c>
    </row>
    <row r="155" spans="1:17" s="73" customFormat="1" ht="36" hidden="1">
      <c r="A155" s="72"/>
      <c r="B155" s="74" t="s">
        <v>645</v>
      </c>
      <c r="C155" s="74" t="s">
        <v>914</v>
      </c>
      <c r="D155" s="74" t="s">
        <v>941</v>
      </c>
      <c r="E155" s="74">
        <v>4600019436</v>
      </c>
      <c r="F155" s="74" t="s">
        <v>2961</v>
      </c>
      <c r="G155" s="74" t="s">
        <v>2475</v>
      </c>
      <c r="H155" s="74"/>
      <c r="I155" s="77">
        <v>4084.8</v>
      </c>
      <c r="J155" s="74" t="s">
        <v>582</v>
      </c>
      <c r="K155" s="74"/>
      <c r="L155" s="74"/>
      <c r="M155" s="74"/>
      <c r="N155" s="74"/>
      <c r="O155" s="75" t="s">
        <v>2325</v>
      </c>
      <c r="P155" s="131" t="s">
        <v>1080</v>
      </c>
      <c r="Q155" s="82">
        <v>40035</v>
      </c>
    </row>
    <row r="156" spans="1:17" s="73" customFormat="1" ht="36" hidden="1">
      <c r="A156" s="72"/>
      <c r="B156" s="74" t="s">
        <v>1397</v>
      </c>
      <c r="C156" s="74" t="s">
        <v>841</v>
      </c>
      <c r="D156" s="74" t="s">
        <v>941</v>
      </c>
      <c r="E156" s="74">
        <v>4600019442</v>
      </c>
      <c r="F156" s="74" t="s">
        <v>1398</v>
      </c>
      <c r="G156" s="74" t="s">
        <v>1445</v>
      </c>
      <c r="H156" s="74"/>
      <c r="I156" s="77">
        <v>16728</v>
      </c>
      <c r="J156" s="74" t="s">
        <v>582</v>
      </c>
      <c r="K156" s="74"/>
      <c r="L156" s="74"/>
      <c r="M156" s="74"/>
      <c r="N156" s="74"/>
      <c r="O156" s="75" t="s">
        <v>578</v>
      </c>
      <c r="P156" s="131" t="s">
        <v>1080</v>
      </c>
      <c r="Q156" s="82">
        <v>40035</v>
      </c>
    </row>
    <row r="157" spans="1:17" s="31" customFormat="1" ht="63.75" hidden="1">
      <c r="A157" s="52" t="s">
        <v>1870</v>
      </c>
      <c r="B157" s="52" t="s">
        <v>1382</v>
      </c>
      <c r="C157" s="52" t="s">
        <v>2513</v>
      </c>
      <c r="D157" s="52" t="s">
        <v>521</v>
      </c>
      <c r="E157" s="100">
        <v>4600018269</v>
      </c>
      <c r="F157" s="100">
        <v>5001319696</v>
      </c>
      <c r="G157" s="52" t="s">
        <v>1383</v>
      </c>
      <c r="H157" s="52"/>
      <c r="I157" s="114">
        <v>122570.81</v>
      </c>
      <c r="J157" s="52" t="s">
        <v>1864</v>
      </c>
      <c r="K157" s="52"/>
      <c r="L157" s="52"/>
      <c r="M157" s="52"/>
      <c r="N157" s="52"/>
      <c r="O157" s="79" t="s">
        <v>2953</v>
      </c>
      <c r="P157" s="43" t="s">
        <v>506</v>
      </c>
      <c r="Q157" s="93">
        <v>40037</v>
      </c>
    </row>
    <row r="158" spans="1:17" customFormat="1" ht="72" hidden="1">
      <c r="A158" s="139"/>
      <c r="B158" s="140" t="s">
        <v>1455</v>
      </c>
      <c r="C158" s="74" t="s">
        <v>780</v>
      </c>
      <c r="D158" s="74" t="s">
        <v>518</v>
      </c>
      <c r="E158" s="74">
        <v>4800001804</v>
      </c>
      <c r="F158" s="74" t="s">
        <v>552</v>
      </c>
      <c r="G158" s="74">
        <v>4394596937</v>
      </c>
      <c r="H158" s="74"/>
      <c r="I158" s="77">
        <v>6552</v>
      </c>
      <c r="J158" s="74" t="s">
        <v>519</v>
      </c>
      <c r="K158" s="74"/>
      <c r="L158" s="74"/>
      <c r="M158" s="74"/>
      <c r="N158" s="74"/>
      <c r="O158" s="75" t="s">
        <v>2454</v>
      </c>
      <c r="P158" s="143" t="s">
        <v>506</v>
      </c>
      <c r="Q158" s="145">
        <v>40036</v>
      </c>
    </row>
    <row r="159" spans="1:17" customFormat="1" ht="48" hidden="1">
      <c r="A159" s="139"/>
      <c r="B159" s="140" t="s">
        <v>550</v>
      </c>
      <c r="C159" s="74" t="s">
        <v>524</v>
      </c>
      <c r="D159" s="74" t="s">
        <v>525</v>
      </c>
      <c r="E159" s="116" t="s">
        <v>553</v>
      </c>
      <c r="F159" s="116" t="s">
        <v>554</v>
      </c>
      <c r="G159" s="74" t="s">
        <v>551</v>
      </c>
      <c r="H159" s="74"/>
      <c r="I159" s="77">
        <v>7900.92</v>
      </c>
      <c r="J159" s="74" t="s">
        <v>519</v>
      </c>
      <c r="K159" s="74"/>
      <c r="L159" s="74"/>
      <c r="M159" s="74"/>
      <c r="N159" s="74"/>
      <c r="O159" s="75" t="s">
        <v>1803</v>
      </c>
      <c r="P159" s="143" t="s">
        <v>506</v>
      </c>
      <c r="Q159" s="145">
        <v>40037</v>
      </c>
    </row>
    <row r="160" spans="1:17" s="31" customFormat="1" ht="89.25" hidden="1">
      <c r="A160" s="52" t="s">
        <v>1870</v>
      </c>
      <c r="B160" s="52" t="s">
        <v>1376</v>
      </c>
      <c r="C160" s="52" t="s">
        <v>2513</v>
      </c>
      <c r="D160" s="52" t="s">
        <v>521</v>
      </c>
      <c r="E160" s="100" t="s">
        <v>1377</v>
      </c>
      <c r="F160" s="100" t="s">
        <v>1378</v>
      </c>
      <c r="G160" s="52" t="s">
        <v>1379</v>
      </c>
      <c r="H160" s="52"/>
      <c r="I160" s="114">
        <v>49556.6</v>
      </c>
      <c r="J160" s="52" t="s">
        <v>1864</v>
      </c>
      <c r="K160" s="52"/>
      <c r="L160" s="52"/>
      <c r="M160" s="52"/>
      <c r="N160" s="52"/>
      <c r="O160" s="79" t="s">
        <v>715</v>
      </c>
      <c r="P160" s="43" t="s">
        <v>506</v>
      </c>
      <c r="Q160" s="93">
        <v>40038</v>
      </c>
    </row>
    <row r="161" spans="1:17" s="31" customFormat="1" ht="102" hidden="1">
      <c r="A161" s="52" t="s">
        <v>1870</v>
      </c>
      <c r="B161" s="113" t="s">
        <v>2833</v>
      </c>
      <c r="C161" s="52" t="s">
        <v>2513</v>
      </c>
      <c r="D161" s="113" t="s">
        <v>521</v>
      </c>
      <c r="E161" s="113">
        <v>4600017726</v>
      </c>
      <c r="F161" s="52">
        <v>500129280</v>
      </c>
      <c r="G161" s="52" t="s">
        <v>376</v>
      </c>
      <c r="H161" s="52"/>
      <c r="I161" s="114">
        <v>49455.5</v>
      </c>
      <c r="J161" s="52" t="s">
        <v>1206</v>
      </c>
      <c r="K161" s="52"/>
      <c r="L161" s="52"/>
      <c r="M161" s="52"/>
      <c r="N161" s="52"/>
      <c r="O161" s="79" t="s">
        <v>395</v>
      </c>
      <c r="P161" s="41" t="s">
        <v>1080</v>
      </c>
      <c r="Q161" s="93">
        <v>40038</v>
      </c>
    </row>
    <row r="162" spans="1:17" s="73" customFormat="1" ht="36" hidden="1">
      <c r="A162" s="72"/>
      <c r="B162" s="74" t="s">
        <v>901</v>
      </c>
      <c r="C162" s="74" t="s">
        <v>841</v>
      </c>
      <c r="D162" s="74" t="s">
        <v>525</v>
      </c>
      <c r="E162" s="74">
        <v>4600019502</v>
      </c>
      <c r="F162" s="116" t="s">
        <v>1367</v>
      </c>
      <c r="G162" s="74" t="s">
        <v>644</v>
      </c>
      <c r="H162" s="74"/>
      <c r="I162" s="77">
        <v>6048</v>
      </c>
      <c r="J162" s="74" t="s">
        <v>582</v>
      </c>
      <c r="K162" s="74"/>
      <c r="L162" s="74"/>
      <c r="M162" s="74"/>
      <c r="N162" s="74"/>
      <c r="O162" s="75" t="s">
        <v>397</v>
      </c>
      <c r="P162" s="131" t="s">
        <v>1080</v>
      </c>
      <c r="Q162" s="82">
        <v>40037</v>
      </c>
    </row>
    <row r="163" spans="1:17" s="73" customFormat="1" ht="36" hidden="1">
      <c r="A163" s="72"/>
      <c r="B163" s="74" t="s">
        <v>2301</v>
      </c>
      <c r="C163" s="74" t="s">
        <v>2518</v>
      </c>
      <c r="D163" s="74" t="s">
        <v>525</v>
      </c>
      <c r="E163" s="74">
        <v>4600019503</v>
      </c>
      <c r="F163" s="116" t="s">
        <v>2302</v>
      </c>
      <c r="G163" s="74" t="s">
        <v>2464</v>
      </c>
      <c r="H163" s="74"/>
      <c r="I163" s="77">
        <v>3974.4</v>
      </c>
      <c r="J163" s="74" t="s">
        <v>582</v>
      </c>
      <c r="K163" s="74"/>
      <c r="L163" s="74"/>
      <c r="M163" s="74"/>
      <c r="N163" s="74"/>
      <c r="O163" s="75" t="s">
        <v>542</v>
      </c>
      <c r="P163" s="131" t="s">
        <v>1080</v>
      </c>
      <c r="Q163" s="82">
        <v>40038</v>
      </c>
    </row>
    <row r="164" spans="1:17" s="73" customFormat="1" ht="36" hidden="1">
      <c r="A164" s="72"/>
      <c r="B164" s="74" t="s">
        <v>2303</v>
      </c>
      <c r="C164" s="74" t="s">
        <v>2518</v>
      </c>
      <c r="D164" s="74" t="s">
        <v>525</v>
      </c>
      <c r="E164" s="74">
        <v>4600019503</v>
      </c>
      <c r="F164" s="116" t="s">
        <v>1110</v>
      </c>
      <c r="G164" s="74" t="s">
        <v>2467</v>
      </c>
      <c r="H164" s="74"/>
      <c r="I164" s="77">
        <v>26179.200000000001</v>
      </c>
      <c r="J164" s="74" t="s">
        <v>582</v>
      </c>
      <c r="K164" s="74"/>
      <c r="L164" s="74"/>
      <c r="M164" s="74"/>
      <c r="N164" s="74"/>
      <c r="O164" s="75" t="s">
        <v>542</v>
      </c>
      <c r="P164" s="131" t="s">
        <v>1080</v>
      </c>
      <c r="Q164" s="82">
        <v>40038</v>
      </c>
    </row>
    <row r="165" spans="1:17" s="73" customFormat="1" ht="72" hidden="1">
      <c r="A165" s="72"/>
      <c r="B165" s="74" t="s">
        <v>2079</v>
      </c>
      <c r="C165" s="74" t="s">
        <v>2080</v>
      </c>
      <c r="D165" s="74" t="s">
        <v>525</v>
      </c>
      <c r="E165" s="74">
        <v>4600019446</v>
      </c>
      <c r="F165" s="116" t="s">
        <v>2091</v>
      </c>
      <c r="G165" s="74">
        <v>9010130</v>
      </c>
      <c r="H165" s="74"/>
      <c r="I165" s="77">
        <v>6276.2</v>
      </c>
      <c r="J165" s="74" t="s">
        <v>582</v>
      </c>
      <c r="K165" s="74"/>
      <c r="L165" s="74"/>
      <c r="M165" s="74"/>
      <c r="N165" s="74"/>
      <c r="O165" s="75" t="s">
        <v>2043</v>
      </c>
      <c r="P165" s="131" t="s">
        <v>1080</v>
      </c>
      <c r="Q165" s="82">
        <v>40039</v>
      </c>
    </row>
    <row r="166" spans="1:17" s="73" customFormat="1" ht="36" hidden="1">
      <c r="A166" s="72"/>
      <c r="B166" s="74" t="s">
        <v>1112</v>
      </c>
      <c r="C166" s="74" t="s">
        <v>2649</v>
      </c>
      <c r="D166" s="74" t="s">
        <v>525</v>
      </c>
      <c r="E166" s="74">
        <v>4600019283</v>
      </c>
      <c r="F166" s="116" t="s">
        <v>1113</v>
      </c>
      <c r="G166" s="74">
        <v>710102167</v>
      </c>
      <c r="H166" s="74"/>
      <c r="I166" s="77">
        <v>9108</v>
      </c>
      <c r="J166" s="74" t="s">
        <v>582</v>
      </c>
      <c r="K166" s="74"/>
      <c r="L166" s="74"/>
      <c r="M166" s="74"/>
      <c r="N166" s="74"/>
      <c r="O166" s="75" t="s">
        <v>2044</v>
      </c>
      <c r="P166" s="131" t="s">
        <v>1080</v>
      </c>
      <c r="Q166" s="82">
        <v>40039</v>
      </c>
    </row>
    <row r="167" spans="1:17" s="73" customFormat="1" ht="24" hidden="1">
      <c r="A167" s="72"/>
      <c r="B167" s="74" t="s">
        <v>1710</v>
      </c>
      <c r="C167" s="74" t="s">
        <v>896</v>
      </c>
      <c r="D167" s="74" t="s">
        <v>525</v>
      </c>
      <c r="E167" s="74">
        <v>4600019514</v>
      </c>
      <c r="F167" s="116" t="s">
        <v>1711</v>
      </c>
      <c r="G167" s="74">
        <v>5531045707</v>
      </c>
      <c r="H167" s="74"/>
      <c r="I167" s="77">
        <v>28500</v>
      </c>
      <c r="J167" s="74" t="s">
        <v>582</v>
      </c>
      <c r="K167" s="74"/>
      <c r="L167" s="74"/>
      <c r="M167" s="74"/>
      <c r="N167" s="74"/>
      <c r="O167" s="75" t="s">
        <v>2045</v>
      </c>
      <c r="P167" s="131" t="s">
        <v>1080</v>
      </c>
      <c r="Q167" s="82">
        <v>40039</v>
      </c>
    </row>
    <row r="168" spans="1:17" customFormat="1" ht="114.75" hidden="1">
      <c r="A168" s="139"/>
      <c r="B168" s="72" t="s">
        <v>758</v>
      </c>
      <c r="C168" s="72" t="s">
        <v>759</v>
      </c>
      <c r="D168" s="72" t="s">
        <v>571</v>
      </c>
      <c r="E168" s="72">
        <v>5800000032</v>
      </c>
      <c r="F168" s="134" t="s">
        <v>760</v>
      </c>
      <c r="G168" s="72" t="s">
        <v>761</v>
      </c>
      <c r="H168" s="72"/>
      <c r="I168" s="135">
        <v>63590.400000000001</v>
      </c>
      <c r="J168" s="72" t="s">
        <v>582</v>
      </c>
      <c r="K168" s="72"/>
      <c r="L168" s="72"/>
      <c r="M168" s="72"/>
      <c r="N168" s="72"/>
      <c r="O168" s="141" t="s">
        <v>219</v>
      </c>
      <c r="P168" s="137" t="s">
        <v>506</v>
      </c>
      <c r="Q168" s="145">
        <v>40038</v>
      </c>
    </row>
    <row r="169" spans="1:17" customFormat="1" ht="127.5" hidden="1">
      <c r="A169" s="139"/>
      <c r="B169" s="72" t="s">
        <v>762</v>
      </c>
      <c r="C169" s="72" t="s">
        <v>763</v>
      </c>
      <c r="D169" s="72" t="s">
        <v>571</v>
      </c>
      <c r="E169" s="72">
        <v>5800000027</v>
      </c>
      <c r="F169" s="134" t="s">
        <v>764</v>
      </c>
      <c r="G169" s="72" t="s">
        <v>765</v>
      </c>
      <c r="H169" s="72"/>
      <c r="I169" s="135">
        <v>217405.44</v>
      </c>
      <c r="J169" s="72" t="s">
        <v>582</v>
      </c>
      <c r="K169" s="72"/>
      <c r="L169" s="72"/>
      <c r="M169" s="72"/>
      <c r="N169" s="72"/>
      <c r="O169" s="141" t="s">
        <v>427</v>
      </c>
      <c r="P169" s="137" t="s">
        <v>506</v>
      </c>
      <c r="Q169" s="145">
        <v>40038</v>
      </c>
    </row>
    <row r="170" spans="1:17" s="31" customFormat="1" ht="178.5" hidden="1">
      <c r="A170" s="52" t="s">
        <v>1870</v>
      </c>
      <c r="B170" s="113" t="s">
        <v>1516</v>
      </c>
      <c r="C170" s="115" t="s">
        <v>1863</v>
      </c>
      <c r="D170" s="113" t="s">
        <v>53</v>
      </c>
      <c r="E170" s="113">
        <v>4600017751</v>
      </c>
      <c r="F170" s="52" t="s">
        <v>1517</v>
      </c>
      <c r="G170" s="52" t="s">
        <v>1518</v>
      </c>
      <c r="H170" s="52"/>
      <c r="I170" s="114">
        <v>210265.46</v>
      </c>
      <c r="J170" s="52" t="s">
        <v>1864</v>
      </c>
      <c r="K170" s="52"/>
      <c r="L170" s="52"/>
      <c r="M170" s="52"/>
      <c r="N170" s="52"/>
      <c r="O170" s="32" t="s">
        <v>2305</v>
      </c>
      <c r="P170" s="43" t="s">
        <v>506</v>
      </c>
      <c r="Q170" s="93">
        <v>40040</v>
      </c>
    </row>
    <row r="171" spans="1:17" customFormat="1" ht="84" hidden="1">
      <c r="A171" s="139"/>
      <c r="B171" s="140" t="s">
        <v>1453</v>
      </c>
      <c r="C171" s="74" t="s">
        <v>386</v>
      </c>
      <c r="D171" s="74" t="s">
        <v>518</v>
      </c>
      <c r="E171" s="74">
        <v>4800001756</v>
      </c>
      <c r="F171" s="74" t="s">
        <v>1454</v>
      </c>
      <c r="G171" s="74">
        <v>4394594399</v>
      </c>
      <c r="H171" s="74"/>
      <c r="I171" s="77">
        <v>15140</v>
      </c>
      <c r="J171" s="74" t="s">
        <v>519</v>
      </c>
      <c r="K171" s="74"/>
      <c r="L171" s="74"/>
      <c r="M171" s="74"/>
      <c r="N171" s="74"/>
      <c r="O171" s="75" t="s">
        <v>396</v>
      </c>
      <c r="P171" s="144" t="s">
        <v>980</v>
      </c>
      <c r="Q171" s="145">
        <v>40038</v>
      </c>
    </row>
    <row r="172" spans="1:17" s="16" customFormat="1" ht="76.5" hidden="1">
      <c r="A172" s="146"/>
      <c r="B172" s="147" t="s">
        <v>1399</v>
      </c>
      <c r="C172" s="148" t="s">
        <v>1400</v>
      </c>
      <c r="D172" s="148" t="s">
        <v>941</v>
      </c>
      <c r="E172" s="149">
        <v>4600019011</v>
      </c>
      <c r="F172" s="149" t="s">
        <v>1401</v>
      </c>
      <c r="G172" s="148">
        <v>414607662</v>
      </c>
      <c r="H172" s="148"/>
      <c r="I172" s="150">
        <v>8256</v>
      </c>
      <c r="J172" s="148" t="s">
        <v>519</v>
      </c>
      <c r="K172" s="148"/>
      <c r="L172" s="148"/>
      <c r="M172" s="148"/>
      <c r="N172" s="148"/>
      <c r="O172" s="151" t="s">
        <v>1878</v>
      </c>
      <c r="P172" s="152" t="s">
        <v>506</v>
      </c>
      <c r="Q172" s="133">
        <v>40039</v>
      </c>
    </row>
    <row r="173" spans="1:17" s="31" customFormat="1" ht="89.25" hidden="1">
      <c r="A173" s="52" t="s">
        <v>1870</v>
      </c>
      <c r="B173" s="52" t="s">
        <v>1384</v>
      </c>
      <c r="C173" s="52" t="s">
        <v>2513</v>
      </c>
      <c r="D173" s="52" t="s">
        <v>521</v>
      </c>
      <c r="E173" s="100" t="s">
        <v>1385</v>
      </c>
      <c r="F173" s="100" t="s">
        <v>1386</v>
      </c>
      <c r="G173" s="52" t="s">
        <v>1387</v>
      </c>
      <c r="H173" s="52"/>
      <c r="I173" s="114">
        <v>78532.69</v>
      </c>
      <c r="J173" s="52" t="s">
        <v>1864</v>
      </c>
      <c r="K173" s="52"/>
      <c r="L173" s="52"/>
      <c r="M173" s="52"/>
      <c r="N173" s="52"/>
      <c r="O173" s="79" t="s">
        <v>2114</v>
      </c>
      <c r="P173" s="41" t="s">
        <v>1080</v>
      </c>
      <c r="Q173" s="93">
        <v>40043</v>
      </c>
    </row>
    <row r="174" spans="1:17" s="16" customFormat="1" ht="191.25" hidden="1">
      <c r="A174" s="146"/>
      <c r="B174" s="147" t="s">
        <v>1402</v>
      </c>
      <c r="C174" s="148" t="s">
        <v>1400</v>
      </c>
      <c r="D174" s="148" t="s">
        <v>941</v>
      </c>
      <c r="E174" s="149">
        <v>4600019011</v>
      </c>
      <c r="F174" s="149" t="s">
        <v>1403</v>
      </c>
      <c r="G174" s="148" t="s">
        <v>568</v>
      </c>
      <c r="H174" s="148"/>
      <c r="I174" s="150">
        <v>6000</v>
      </c>
      <c r="J174" s="148" t="s">
        <v>519</v>
      </c>
      <c r="K174" s="148"/>
      <c r="L174" s="148"/>
      <c r="M174" s="148"/>
      <c r="N174" s="148"/>
      <c r="O174" s="151" t="s">
        <v>2685</v>
      </c>
      <c r="P174" s="152" t="s">
        <v>506</v>
      </c>
      <c r="Q174" s="133">
        <v>40043</v>
      </c>
    </row>
    <row r="175" spans="1:17" s="73" customFormat="1" ht="48" hidden="1">
      <c r="A175" s="72"/>
      <c r="B175" s="74" t="s">
        <v>1109</v>
      </c>
      <c r="C175" s="74" t="s">
        <v>896</v>
      </c>
      <c r="D175" s="74" t="s">
        <v>525</v>
      </c>
      <c r="E175" s="74">
        <v>4600019477</v>
      </c>
      <c r="F175" s="116" t="s">
        <v>1111</v>
      </c>
      <c r="G175" s="74">
        <v>5395657487</v>
      </c>
      <c r="H175" s="74"/>
      <c r="I175" s="77">
        <v>139650</v>
      </c>
      <c r="J175" s="74" t="s">
        <v>582</v>
      </c>
      <c r="K175" s="74"/>
      <c r="L175" s="74"/>
      <c r="M175" s="74"/>
      <c r="N175" s="74"/>
      <c r="O175" s="75" t="s">
        <v>796</v>
      </c>
      <c r="P175" s="131" t="s">
        <v>1080</v>
      </c>
      <c r="Q175" s="82">
        <v>40042</v>
      </c>
    </row>
    <row r="176" spans="1:17" s="73" customFormat="1" ht="36" hidden="1">
      <c r="A176" s="72"/>
      <c r="B176" s="74" t="s">
        <v>1712</v>
      </c>
      <c r="C176" s="74" t="s">
        <v>896</v>
      </c>
      <c r="D176" s="74" t="s">
        <v>525</v>
      </c>
      <c r="E176" s="74">
        <v>4600019514</v>
      </c>
      <c r="F176" s="116" t="s">
        <v>1713</v>
      </c>
      <c r="G176" s="74">
        <v>5531047170</v>
      </c>
      <c r="H176" s="74"/>
      <c r="I176" s="77">
        <v>1900</v>
      </c>
      <c r="J176" s="74" t="s">
        <v>582</v>
      </c>
      <c r="K176" s="74"/>
      <c r="L176" s="74"/>
      <c r="M176" s="74"/>
      <c r="N176" s="74"/>
      <c r="O176" s="75" t="s">
        <v>2598</v>
      </c>
      <c r="P176" s="131" t="s">
        <v>1080</v>
      </c>
      <c r="Q176" s="82">
        <v>40042</v>
      </c>
    </row>
    <row r="177" spans="1:17" s="73" customFormat="1" ht="36" hidden="1">
      <c r="A177" s="72"/>
      <c r="B177" s="74" t="s">
        <v>1714</v>
      </c>
      <c r="C177" s="74" t="s">
        <v>896</v>
      </c>
      <c r="D177" s="74" t="s">
        <v>525</v>
      </c>
      <c r="E177" s="74">
        <v>4600019514</v>
      </c>
      <c r="F177" s="116" t="s">
        <v>1715</v>
      </c>
      <c r="G177" s="74">
        <v>5395657498</v>
      </c>
      <c r="H177" s="74"/>
      <c r="I177" s="77">
        <v>49450</v>
      </c>
      <c r="J177" s="74" t="s">
        <v>582</v>
      </c>
      <c r="K177" s="74"/>
      <c r="L177" s="74"/>
      <c r="M177" s="74"/>
      <c r="N177" s="74"/>
      <c r="O177" s="75" t="s">
        <v>2598</v>
      </c>
      <c r="P177" s="131" t="s">
        <v>1080</v>
      </c>
      <c r="Q177" s="82">
        <v>40042</v>
      </c>
    </row>
    <row r="178" spans="1:17" s="73" customFormat="1" ht="36" hidden="1">
      <c r="A178" s="72"/>
      <c r="B178" s="74" t="s">
        <v>1716</v>
      </c>
      <c r="C178" s="74" t="s">
        <v>896</v>
      </c>
      <c r="D178" s="74" t="s">
        <v>525</v>
      </c>
      <c r="E178" s="74">
        <v>4600019514</v>
      </c>
      <c r="F178" s="116" t="s">
        <v>1717</v>
      </c>
      <c r="G178" s="74">
        <v>5395666870</v>
      </c>
      <c r="H178" s="74"/>
      <c r="I178" s="77">
        <v>15050</v>
      </c>
      <c r="J178" s="74" t="s">
        <v>582</v>
      </c>
      <c r="K178" s="74"/>
      <c r="L178" s="74"/>
      <c r="M178" s="74"/>
      <c r="N178" s="74"/>
      <c r="O178" s="75" t="s">
        <v>2598</v>
      </c>
      <c r="P178" s="131" t="s">
        <v>1080</v>
      </c>
      <c r="Q178" s="82">
        <v>40042</v>
      </c>
    </row>
    <row r="179" spans="1:17" s="73" customFormat="1" ht="36" hidden="1">
      <c r="A179" s="72"/>
      <c r="B179" s="74" t="s">
        <v>2049</v>
      </c>
      <c r="C179" s="74" t="s">
        <v>2649</v>
      </c>
      <c r="D179" s="74" t="s">
        <v>525</v>
      </c>
      <c r="E179" s="74">
        <v>4600019175</v>
      </c>
      <c r="F179" s="116" t="s">
        <v>2050</v>
      </c>
      <c r="G179" s="74" t="s">
        <v>2051</v>
      </c>
      <c r="H179" s="74"/>
      <c r="I179" s="77">
        <v>52992</v>
      </c>
      <c r="J179" s="74" t="s">
        <v>582</v>
      </c>
      <c r="K179" s="74"/>
      <c r="L179" s="74"/>
      <c r="M179" s="74"/>
      <c r="N179" s="74"/>
      <c r="O179" s="75" t="s">
        <v>1117</v>
      </c>
      <c r="P179" s="131" t="s">
        <v>1080</v>
      </c>
      <c r="Q179" s="82">
        <v>40043</v>
      </c>
    </row>
    <row r="180" spans="1:17" s="73" customFormat="1" ht="36" hidden="1">
      <c r="A180" s="72"/>
      <c r="B180" s="74" t="s">
        <v>2052</v>
      </c>
      <c r="C180" s="74" t="s">
        <v>2649</v>
      </c>
      <c r="D180" s="74" t="s">
        <v>525</v>
      </c>
      <c r="E180" s="74">
        <v>4600019370</v>
      </c>
      <c r="F180" s="116" t="s">
        <v>2053</v>
      </c>
      <c r="G180" s="74" t="s">
        <v>2051</v>
      </c>
      <c r="H180" s="74"/>
      <c r="I180" s="77">
        <v>26496</v>
      </c>
      <c r="J180" s="74" t="s">
        <v>582</v>
      </c>
      <c r="K180" s="74"/>
      <c r="L180" s="74"/>
      <c r="M180" s="74"/>
      <c r="N180" s="74"/>
      <c r="O180" s="75" t="s">
        <v>1117</v>
      </c>
      <c r="P180" s="131" t="s">
        <v>1080</v>
      </c>
      <c r="Q180" s="82">
        <v>40043</v>
      </c>
    </row>
    <row r="181" spans="1:17" s="73" customFormat="1" ht="36" hidden="1">
      <c r="A181" s="72"/>
      <c r="B181" s="74" t="s">
        <v>2046</v>
      </c>
      <c r="C181" s="74" t="s">
        <v>841</v>
      </c>
      <c r="D181" s="74" t="s">
        <v>525</v>
      </c>
      <c r="E181" s="74">
        <v>4600019581</v>
      </c>
      <c r="F181" s="116" t="s">
        <v>2047</v>
      </c>
      <c r="G181" s="74" t="s">
        <v>644</v>
      </c>
      <c r="H181" s="74"/>
      <c r="I181" s="77">
        <v>13116.18</v>
      </c>
      <c r="J181" s="74" t="s">
        <v>582</v>
      </c>
      <c r="K181" s="74"/>
      <c r="L181" s="74"/>
      <c r="M181" s="74"/>
      <c r="N181" s="74"/>
      <c r="O181" s="75" t="s">
        <v>201</v>
      </c>
      <c r="P181" s="131" t="s">
        <v>1080</v>
      </c>
      <c r="Q181" s="82">
        <v>40043</v>
      </c>
    </row>
    <row r="182" spans="1:17" s="73" customFormat="1" ht="24" hidden="1">
      <c r="A182" s="72"/>
      <c r="B182" s="74" t="s">
        <v>2054</v>
      </c>
      <c r="C182" s="74" t="s">
        <v>841</v>
      </c>
      <c r="D182" s="74" t="s">
        <v>525</v>
      </c>
      <c r="E182" s="74">
        <v>4600019580</v>
      </c>
      <c r="F182" s="116" t="s">
        <v>2055</v>
      </c>
      <c r="G182" s="74" t="s">
        <v>2056</v>
      </c>
      <c r="H182" s="74"/>
      <c r="I182" s="77">
        <v>12730.56</v>
      </c>
      <c r="J182" s="74" t="s">
        <v>582</v>
      </c>
      <c r="K182" s="74"/>
      <c r="L182" s="74"/>
      <c r="M182" s="74"/>
      <c r="N182" s="74"/>
      <c r="O182" s="75" t="s">
        <v>2730</v>
      </c>
      <c r="P182" s="131" t="s">
        <v>1080</v>
      </c>
      <c r="Q182" s="82">
        <v>40042</v>
      </c>
    </row>
    <row r="183" spans="1:17" s="73" customFormat="1" ht="36" hidden="1">
      <c r="A183" s="72"/>
      <c r="B183" s="74" t="s">
        <v>2057</v>
      </c>
      <c r="C183" s="74" t="s">
        <v>841</v>
      </c>
      <c r="D183" s="74" t="s">
        <v>525</v>
      </c>
      <c r="E183" s="74">
        <v>4600019580</v>
      </c>
      <c r="F183" s="116" t="s">
        <v>2058</v>
      </c>
      <c r="G183" s="74" t="s">
        <v>1445</v>
      </c>
      <c r="H183" s="74"/>
      <c r="I183" s="77">
        <v>3417.6</v>
      </c>
      <c r="J183" s="74" t="s">
        <v>582</v>
      </c>
      <c r="K183" s="74"/>
      <c r="L183" s="74"/>
      <c r="M183" s="74"/>
      <c r="N183" s="74"/>
      <c r="O183" s="75" t="s">
        <v>201</v>
      </c>
      <c r="P183" s="131" t="s">
        <v>1080</v>
      </c>
      <c r="Q183" s="82">
        <v>40043</v>
      </c>
    </row>
    <row r="184" spans="1:17" customFormat="1" ht="36" hidden="1">
      <c r="A184" s="139"/>
      <c r="B184" s="140" t="s">
        <v>1587</v>
      </c>
      <c r="C184" s="74" t="s">
        <v>780</v>
      </c>
      <c r="D184" s="74" t="s">
        <v>1588</v>
      </c>
      <c r="E184" s="74">
        <v>4800001830</v>
      </c>
      <c r="F184" s="74" t="s">
        <v>1589</v>
      </c>
      <c r="G184" s="74">
        <v>4394600447</v>
      </c>
      <c r="H184" s="74"/>
      <c r="I184" s="77">
        <v>26208</v>
      </c>
      <c r="J184" s="74" t="s">
        <v>519</v>
      </c>
      <c r="K184" s="74"/>
      <c r="L184" s="74"/>
      <c r="M184" s="74"/>
      <c r="N184" s="74"/>
      <c r="O184" s="75" t="s">
        <v>2739</v>
      </c>
      <c r="P184" s="143" t="s">
        <v>506</v>
      </c>
      <c r="Q184" s="145">
        <v>40044</v>
      </c>
    </row>
    <row r="185" spans="1:17" customFormat="1" ht="84" hidden="1">
      <c r="A185" s="139"/>
      <c r="B185" s="140" t="s">
        <v>724</v>
      </c>
      <c r="C185" s="74" t="s">
        <v>2441</v>
      </c>
      <c r="D185" s="74" t="s">
        <v>525</v>
      </c>
      <c r="E185" s="116">
        <v>4600019118</v>
      </c>
      <c r="F185" s="116" t="s">
        <v>725</v>
      </c>
      <c r="G185" s="74" t="s">
        <v>726</v>
      </c>
      <c r="H185" s="74"/>
      <c r="I185" s="77">
        <v>3844.8</v>
      </c>
      <c r="J185" s="74" t="s">
        <v>519</v>
      </c>
      <c r="K185" s="74"/>
      <c r="L185" s="74"/>
      <c r="M185" s="74"/>
      <c r="N185" s="74"/>
      <c r="O185" s="75" t="s">
        <v>30</v>
      </c>
      <c r="P185" s="143" t="s">
        <v>506</v>
      </c>
      <c r="Q185" s="145">
        <v>40044</v>
      </c>
    </row>
    <row r="186" spans="1:17" customFormat="1" ht="72" hidden="1">
      <c r="A186" s="139"/>
      <c r="B186" s="140" t="s">
        <v>779</v>
      </c>
      <c r="C186" s="74" t="s">
        <v>780</v>
      </c>
      <c r="D186" s="74" t="s">
        <v>518</v>
      </c>
      <c r="E186" s="74">
        <v>4800001824</v>
      </c>
      <c r="F186" s="74" t="s">
        <v>781</v>
      </c>
      <c r="G186" s="74">
        <v>4394595244</v>
      </c>
      <c r="H186" s="74"/>
      <c r="I186" s="77">
        <v>13104</v>
      </c>
      <c r="J186" s="74" t="s">
        <v>519</v>
      </c>
      <c r="K186" s="74"/>
      <c r="L186" s="74"/>
      <c r="M186" s="74"/>
      <c r="N186" s="74"/>
      <c r="O186" s="75" t="s">
        <v>1406</v>
      </c>
      <c r="P186" s="143" t="s">
        <v>506</v>
      </c>
      <c r="Q186" s="145">
        <v>40043</v>
      </c>
    </row>
    <row r="187" spans="1:17" customFormat="1" ht="60" hidden="1">
      <c r="A187" s="139"/>
      <c r="B187" s="140" t="s">
        <v>899</v>
      </c>
      <c r="C187" s="74" t="s">
        <v>900</v>
      </c>
      <c r="D187" s="74" t="s">
        <v>521</v>
      </c>
      <c r="E187" s="116">
        <v>4600018514</v>
      </c>
      <c r="F187" s="116">
        <v>4023010</v>
      </c>
      <c r="G187" s="74">
        <v>414607669</v>
      </c>
      <c r="H187" s="74"/>
      <c r="I187" s="77">
        <v>460</v>
      </c>
      <c r="J187" s="74" t="s">
        <v>519</v>
      </c>
      <c r="K187" s="74"/>
      <c r="L187" s="74"/>
      <c r="M187" s="74"/>
      <c r="N187" s="74"/>
      <c r="O187" s="75" t="s">
        <v>34</v>
      </c>
      <c r="P187" s="143" t="s">
        <v>506</v>
      </c>
      <c r="Q187" s="145">
        <v>40043</v>
      </c>
    </row>
    <row r="188" spans="1:17" customFormat="1" ht="72" hidden="1">
      <c r="A188" s="139"/>
      <c r="B188" s="140" t="s">
        <v>2261</v>
      </c>
      <c r="C188" s="74" t="s">
        <v>2262</v>
      </c>
      <c r="D188" s="74" t="s">
        <v>2263</v>
      </c>
      <c r="E188" s="116">
        <v>4800001837</v>
      </c>
      <c r="F188" s="116" t="s">
        <v>2264</v>
      </c>
      <c r="G188" s="74">
        <v>4394599484</v>
      </c>
      <c r="H188" s="74"/>
      <c r="I188" s="77">
        <v>1485.12</v>
      </c>
      <c r="J188" s="74" t="s">
        <v>519</v>
      </c>
      <c r="K188" s="74"/>
      <c r="L188" s="74"/>
      <c r="M188" s="74"/>
      <c r="N188" s="74"/>
      <c r="O188" s="75" t="s">
        <v>697</v>
      </c>
      <c r="P188" s="143" t="s">
        <v>506</v>
      </c>
      <c r="Q188" s="145">
        <v>40045</v>
      </c>
    </row>
    <row r="189" spans="1:17" customFormat="1" ht="72" hidden="1">
      <c r="A189" s="139"/>
      <c r="B189" s="140" t="s">
        <v>75</v>
      </c>
      <c r="C189" s="74" t="s">
        <v>76</v>
      </c>
      <c r="D189" s="74" t="s">
        <v>521</v>
      </c>
      <c r="E189" s="116">
        <v>4600019246</v>
      </c>
      <c r="F189" s="116" t="s">
        <v>898</v>
      </c>
      <c r="G189" s="74">
        <v>414607142</v>
      </c>
      <c r="H189" s="74"/>
      <c r="I189" s="77">
        <v>90.75</v>
      </c>
      <c r="J189" s="74" t="s">
        <v>519</v>
      </c>
      <c r="K189" s="74"/>
      <c r="L189" s="74"/>
      <c r="M189" s="74"/>
      <c r="N189" s="74"/>
      <c r="O189" s="75" t="s">
        <v>2452</v>
      </c>
      <c r="P189" s="143" t="s">
        <v>506</v>
      </c>
      <c r="Q189" s="145">
        <v>40044</v>
      </c>
    </row>
    <row r="190" spans="1:17" customFormat="1" ht="48" hidden="1">
      <c r="A190" s="139"/>
      <c r="B190" s="140" t="s">
        <v>352</v>
      </c>
      <c r="C190" s="74" t="s">
        <v>990</v>
      </c>
      <c r="D190" s="74" t="s">
        <v>520</v>
      </c>
      <c r="E190" s="116">
        <v>4600019278</v>
      </c>
      <c r="F190" s="116">
        <v>4004548</v>
      </c>
      <c r="G190" s="74">
        <v>4811731082</v>
      </c>
      <c r="H190" s="74"/>
      <c r="I190" s="77">
        <v>44415</v>
      </c>
      <c r="J190" s="74" t="s">
        <v>519</v>
      </c>
      <c r="K190" s="74"/>
      <c r="L190" s="74"/>
      <c r="M190" s="74"/>
      <c r="N190" s="74"/>
      <c r="O190" s="75" t="s">
        <v>1456</v>
      </c>
      <c r="P190" s="143" t="s">
        <v>506</v>
      </c>
      <c r="Q190" s="145">
        <v>40044</v>
      </c>
    </row>
    <row r="191" spans="1:17" s="31" customFormat="1" ht="204" hidden="1">
      <c r="A191" s="52" t="s">
        <v>1870</v>
      </c>
      <c r="B191" s="52" t="s">
        <v>2706</v>
      </c>
      <c r="C191" s="52" t="s">
        <v>1863</v>
      </c>
      <c r="D191" s="52" t="s">
        <v>941</v>
      </c>
      <c r="E191" s="52">
        <v>4600016884</v>
      </c>
      <c r="F191" s="100" t="s">
        <v>912</v>
      </c>
      <c r="G191" s="52" t="s">
        <v>5</v>
      </c>
      <c r="H191" s="52"/>
      <c r="I191" s="114">
        <v>92761.16</v>
      </c>
      <c r="J191" s="52" t="s">
        <v>1864</v>
      </c>
      <c r="K191" s="52"/>
      <c r="L191" s="52"/>
      <c r="M191" s="52"/>
      <c r="N191" s="52"/>
      <c r="O191" s="79" t="s">
        <v>773</v>
      </c>
      <c r="P191" s="41" t="s">
        <v>1080</v>
      </c>
      <c r="Q191" s="93">
        <v>40045</v>
      </c>
    </row>
    <row r="192" spans="1:17" customFormat="1" ht="120" hidden="1">
      <c r="A192" s="139"/>
      <c r="B192" s="140" t="s">
        <v>722</v>
      </c>
      <c r="C192" s="74" t="s">
        <v>524</v>
      </c>
      <c r="D192" s="74" t="s">
        <v>525</v>
      </c>
      <c r="E192" s="116">
        <v>4600019078</v>
      </c>
      <c r="F192" s="116">
        <v>40740698</v>
      </c>
      <c r="G192" s="74" t="s">
        <v>723</v>
      </c>
      <c r="H192" s="74"/>
      <c r="I192" s="77">
        <v>245.8</v>
      </c>
      <c r="J192" s="74" t="s">
        <v>519</v>
      </c>
      <c r="K192" s="74"/>
      <c r="L192" s="74"/>
      <c r="M192" s="74"/>
      <c r="N192" s="74"/>
      <c r="O192" s="75" t="s">
        <v>1096</v>
      </c>
      <c r="P192" s="143" t="s">
        <v>506</v>
      </c>
      <c r="Q192" s="145">
        <v>40045</v>
      </c>
    </row>
    <row r="193" spans="1:17" s="16" customFormat="1" ht="108" hidden="1">
      <c r="A193" s="146"/>
      <c r="B193" s="147" t="s">
        <v>2048</v>
      </c>
      <c r="C193" s="148" t="s">
        <v>2518</v>
      </c>
      <c r="D193" s="148" t="s">
        <v>525</v>
      </c>
      <c r="E193" s="148">
        <v>4600019643</v>
      </c>
      <c r="F193" s="148">
        <v>2020007277</v>
      </c>
      <c r="G193" s="148">
        <v>512050</v>
      </c>
      <c r="H193" s="148"/>
      <c r="I193" s="150">
        <v>2476</v>
      </c>
      <c r="J193" s="148" t="s">
        <v>519</v>
      </c>
      <c r="K193" s="148"/>
      <c r="L193" s="148"/>
      <c r="M193" s="148"/>
      <c r="N193" s="148"/>
      <c r="O193" s="154" t="s">
        <v>195</v>
      </c>
      <c r="P193" s="152" t="s">
        <v>506</v>
      </c>
      <c r="Q193" s="133">
        <v>40046</v>
      </c>
    </row>
    <row r="194" spans="1:17" s="73" customFormat="1" ht="24" hidden="1">
      <c r="A194" s="72"/>
      <c r="B194" s="74" t="s">
        <v>774</v>
      </c>
      <c r="C194" s="74" t="s">
        <v>914</v>
      </c>
      <c r="D194" s="74" t="s">
        <v>775</v>
      </c>
      <c r="E194" s="74">
        <v>4600019711</v>
      </c>
      <c r="F194" s="74" t="s">
        <v>776</v>
      </c>
      <c r="G194" s="74" t="s">
        <v>2475</v>
      </c>
      <c r="H194" s="74"/>
      <c r="I194" s="77">
        <v>2974.8</v>
      </c>
      <c r="J194" s="74" t="s">
        <v>582</v>
      </c>
      <c r="K194" s="74"/>
      <c r="L194" s="74"/>
      <c r="M194" s="74"/>
      <c r="N194" s="74"/>
      <c r="O194" s="75" t="s">
        <v>200</v>
      </c>
      <c r="P194" s="153" t="s">
        <v>1080</v>
      </c>
      <c r="Q194" s="82">
        <v>40045</v>
      </c>
    </row>
    <row r="195" spans="1:17" s="31" customFormat="1" ht="344.25" hidden="1">
      <c r="A195" s="52" t="s">
        <v>1870</v>
      </c>
      <c r="B195" s="113" t="s">
        <v>2835</v>
      </c>
      <c r="C195" s="52" t="s">
        <v>1863</v>
      </c>
      <c r="D195" s="113" t="s">
        <v>53</v>
      </c>
      <c r="E195" s="113">
        <v>4600016801</v>
      </c>
      <c r="F195" s="52" t="s">
        <v>943</v>
      </c>
      <c r="G195" s="52" t="s">
        <v>1905</v>
      </c>
      <c r="H195" s="52"/>
      <c r="I195" s="114">
        <v>190530.44</v>
      </c>
      <c r="J195" s="52" t="s">
        <v>1864</v>
      </c>
      <c r="K195" s="52"/>
      <c r="L195" s="52"/>
      <c r="M195" s="52"/>
      <c r="N195" s="52"/>
      <c r="O195" s="79" t="s">
        <v>1537</v>
      </c>
      <c r="P195" s="43" t="s">
        <v>506</v>
      </c>
      <c r="Q195" s="93">
        <v>40046</v>
      </c>
    </row>
    <row r="196" spans="1:17" customFormat="1" ht="60" hidden="1">
      <c r="A196" s="139"/>
      <c r="B196" s="140" t="s">
        <v>719</v>
      </c>
      <c r="C196" s="74" t="s">
        <v>1863</v>
      </c>
      <c r="D196" s="74" t="s">
        <v>520</v>
      </c>
      <c r="E196" s="116">
        <v>4600019275</v>
      </c>
      <c r="F196" s="116" t="s">
        <v>720</v>
      </c>
      <c r="G196" s="74" t="s">
        <v>718</v>
      </c>
      <c r="H196" s="74"/>
      <c r="I196" s="77">
        <v>35829</v>
      </c>
      <c r="J196" s="74" t="s">
        <v>519</v>
      </c>
      <c r="K196" s="74"/>
      <c r="L196" s="74"/>
      <c r="M196" s="74"/>
      <c r="N196" s="74"/>
      <c r="O196" s="75" t="s">
        <v>1332</v>
      </c>
      <c r="P196" s="159" t="s">
        <v>506</v>
      </c>
      <c r="Q196" s="145">
        <v>40046</v>
      </c>
    </row>
    <row r="197" spans="1:17" customFormat="1" ht="60" hidden="1">
      <c r="A197" s="139"/>
      <c r="B197" s="140" t="s">
        <v>716</v>
      </c>
      <c r="C197" s="74" t="s">
        <v>1863</v>
      </c>
      <c r="D197" s="74" t="s">
        <v>525</v>
      </c>
      <c r="E197" s="116">
        <v>4600019379</v>
      </c>
      <c r="F197" s="116" t="s">
        <v>717</v>
      </c>
      <c r="G197" s="74" t="s">
        <v>721</v>
      </c>
      <c r="H197" s="74"/>
      <c r="I197" s="77">
        <v>12941.24</v>
      </c>
      <c r="J197" s="74" t="s">
        <v>519</v>
      </c>
      <c r="K197" s="74"/>
      <c r="L197" s="74"/>
      <c r="M197" s="74"/>
      <c r="N197" s="74"/>
      <c r="O197" s="75" t="s">
        <v>1331</v>
      </c>
      <c r="P197" s="159" t="s">
        <v>506</v>
      </c>
      <c r="Q197" s="145">
        <v>40046</v>
      </c>
    </row>
    <row r="198" spans="1:17" customFormat="1" ht="48" hidden="1">
      <c r="A198" s="139"/>
      <c r="B198" s="140" t="s">
        <v>1099</v>
      </c>
      <c r="C198" s="74" t="s">
        <v>524</v>
      </c>
      <c r="D198" s="74" t="s">
        <v>525</v>
      </c>
      <c r="E198" s="74">
        <v>4600018587</v>
      </c>
      <c r="F198" s="74">
        <v>40742066</v>
      </c>
      <c r="G198" s="74" t="s">
        <v>1100</v>
      </c>
      <c r="H198" s="74"/>
      <c r="I198" s="77">
        <v>2450.4</v>
      </c>
      <c r="J198" s="74" t="s">
        <v>519</v>
      </c>
      <c r="K198" s="74"/>
      <c r="L198" s="74"/>
      <c r="M198" s="74"/>
      <c r="N198" s="74"/>
      <c r="O198" s="75" t="s">
        <v>2740</v>
      </c>
      <c r="P198" s="159" t="s">
        <v>506</v>
      </c>
      <c r="Q198" s="145">
        <v>40046</v>
      </c>
    </row>
    <row r="199" spans="1:17" customFormat="1" ht="48" hidden="1">
      <c r="A199" s="139"/>
      <c r="B199" s="140" t="s">
        <v>1101</v>
      </c>
      <c r="C199" s="74" t="s">
        <v>524</v>
      </c>
      <c r="D199" s="74" t="s">
        <v>525</v>
      </c>
      <c r="E199" s="116" t="s">
        <v>1102</v>
      </c>
      <c r="F199" s="116" t="s">
        <v>1103</v>
      </c>
      <c r="G199" s="74" t="s">
        <v>1104</v>
      </c>
      <c r="H199" s="74"/>
      <c r="I199" s="77">
        <v>2194.5</v>
      </c>
      <c r="J199" s="74" t="s">
        <v>519</v>
      </c>
      <c r="K199" s="74"/>
      <c r="L199" s="74"/>
      <c r="M199" s="74"/>
      <c r="N199" s="74"/>
      <c r="O199" s="75" t="s">
        <v>2740</v>
      </c>
      <c r="P199" s="159" t="s">
        <v>506</v>
      </c>
      <c r="Q199" s="145">
        <v>40046</v>
      </c>
    </row>
    <row r="200" spans="1:17" customFormat="1" ht="48" hidden="1">
      <c r="A200" s="139"/>
      <c r="B200" s="140" t="s">
        <v>1105</v>
      </c>
      <c r="C200" s="74" t="s">
        <v>524</v>
      </c>
      <c r="D200" s="74" t="s">
        <v>525</v>
      </c>
      <c r="E200" s="116">
        <v>4600019078</v>
      </c>
      <c r="F200" s="116">
        <v>40741685</v>
      </c>
      <c r="G200" s="74" t="s">
        <v>1106</v>
      </c>
      <c r="H200" s="74"/>
      <c r="I200" s="77">
        <v>907.5</v>
      </c>
      <c r="J200" s="74" t="s">
        <v>519</v>
      </c>
      <c r="K200" s="74"/>
      <c r="L200" s="74"/>
      <c r="M200" s="74"/>
      <c r="N200" s="74"/>
      <c r="O200" s="75" t="s">
        <v>2740</v>
      </c>
      <c r="P200" s="159" t="s">
        <v>506</v>
      </c>
      <c r="Q200" s="145">
        <v>40046</v>
      </c>
    </row>
    <row r="201" spans="1:17" s="73" customFormat="1" ht="24" hidden="1">
      <c r="A201" s="72"/>
      <c r="B201" s="74" t="s">
        <v>1769</v>
      </c>
      <c r="C201" s="74" t="s">
        <v>841</v>
      </c>
      <c r="D201" s="74" t="s">
        <v>525</v>
      </c>
      <c r="E201" s="74">
        <v>4600019722</v>
      </c>
      <c r="F201" s="74" t="s">
        <v>448</v>
      </c>
      <c r="G201" s="74" t="s">
        <v>644</v>
      </c>
      <c r="H201" s="74"/>
      <c r="I201" s="77">
        <v>1388.52</v>
      </c>
      <c r="J201" s="74" t="s">
        <v>582</v>
      </c>
      <c r="K201" s="74"/>
      <c r="L201" s="74"/>
      <c r="M201" s="74"/>
      <c r="N201" s="74"/>
      <c r="O201" s="75" t="s">
        <v>1442</v>
      </c>
      <c r="P201" s="153" t="s">
        <v>1080</v>
      </c>
      <c r="Q201" s="82">
        <v>40046</v>
      </c>
    </row>
    <row r="202" spans="1:17" s="31" customFormat="1" ht="165.75" hidden="1">
      <c r="A202" s="52" t="s">
        <v>1870</v>
      </c>
      <c r="B202" s="113" t="s">
        <v>52</v>
      </c>
      <c r="C202" s="113" t="s">
        <v>1793</v>
      </c>
      <c r="D202" s="113" t="s">
        <v>53</v>
      </c>
      <c r="E202" s="113">
        <v>4600017233</v>
      </c>
      <c r="F202" s="100" t="s">
        <v>913</v>
      </c>
      <c r="G202" s="52" t="s">
        <v>813</v>
      </c>
      <c r="H202" s="52"/>
      <c r="I202" s="114">
        <v>114016.55</v>
      </c>
      <c r="J202" s="52" t="s">
        <v>1864</v>
      </c>
      <c r="K202" s="52"/>
      <c r="L202" s="52"/>
      <c r="M202" s="52"/>
      <c r="N202" s="52"/>
      <c r="O202" s="79" t="s">
        <v>218</v>
      </c>
      <c r="P202" s="43" t="s">
        <v>506</v>
      </c>
      <c r="Q202" s="93">
        <v>40050</v>
      </c>
    </row>
    <row r="203" spans="1:17" s="73" customFormat="1" ht="36" hidden="1">
      <c r="A203" s="72"/>
      <c r="B203" s="74" t="s">
        <v>777</v>
      </c>
      <c r="C203" s="74" t="s">
        <v>2649</v>
      </c>
      <c r="D203" s="74" t="s">
        <v>525</v>
      </c>
      <c r="E203" s="74">
        <v>4600019478</v>
      </c>
      <c r="F203" s="74" t="s">
        <v>778</v>
      </c>
      <c r="G203" s="74" t="s">
        <v>2051</v>
      </c>
      <c r="H203" s="74"/>
      <c r="I203" s="77">
        <v>52992</v>
      </c>
      <c r="J203" s="74" t="s">
        <v>582</v>
      </c>
      <c r="K203" s="74"/>
      <c r="L203" s="74"/>
      <c r="M203" s="74"/>
      <c r="N203" s="74"/>
      <c r="O203" s="75" t="s">
        <v>44</v>
      </c>
      <c r="P203" s="153" t="s">
        <v>1080</v>
      </c>
      <c r="Q203" s="82">
        <v>40049</v>
      </c>
    </row>
    <row r="204" spans="1:17" s="73" customFormat="1" ht="36" hidden="1">
      <c r="A204" s="72"/>
      <c r="B204" s="74" t="s">
        <v>198</v>
      </c>
      <c r="C204" s="74" t="s">
        <v>896</v>
      </c>
      <c r="D204" s="74" t="s">
        <v>525</v>
      </c>
      <c r="E204" s="74">
        <v>4600019531</v>
      </c>
      <c r="F204" s="116" t="s">
        <v>199</v>
      </c>
      <c r="G204" s="74">
        <v>5395673602</v>
      </c>
      <c r="H204" s="74"/>
      <c r="I204" s="77">
        <v>20900</v>
      </c>
      <c r="J204" s="74" t="s">
        <v>582</v>
      </c>
      <c r="K204" s="74"/>
      <c r="L204" s="74"/>
      <c r="M204" s="74"/>
      <c r="N204" s="74"/>
      <c r="O204" s="75" t="s">
        <v>45</v>
      </c>
      <c r="P204" s="160" t="s">
        <v>506</v>
      </c>
      <c r="Q204" s="82">
        <v>40049</v>
      </c>
    </row>
    <row r="205" spans="1:17" s="73" customFormat="1" ht="36" hidden="1">
      <c r="A205" s="72"/>
      <c r="B205" s="74" t="s">
        <v>2549</v>
      </c>
      <c r="C205" s="74" t="s">
        <v>896</v>
      </c>
      <c r="D205" s="74" t="s">
        <v>2896</v>
      </c>
      <c r="E205" s="74">
        <v>4800001862</v>
      </c>
      <c r="F205" s="116" t="s">
        <v>2550</v>
      </c>
      <c r="G205" s="74">
        <v>5391633599</v>
      </c>
      <c r="H205" s="74"/>
      <c r="I205" s="77">
        <v>300000</v>
      </c>
      <c r="J205" s="74" t="s">
        <v>582</v>
      </c>
      <c r="K205" s="74"/>
      <c r="L205" s="74"/>
      <c r="M205" s="74"/>
      <c r="N205" s="74"/>
      <c r="O205" s="75" t="s">
        <v>46</v>
      </c>
      <c r="P205" s="161" t="s">
        <v>980</v>
      </c>
      <c r="Q205" s="82">
        <v>40049</v>
      </c>
    </row>
    <row r="206" spans="1:17" s="31" customFormat="1" ht="102" hidden="1">
      <c r="A206" s="52" t="s">
        <v>1870</v>
      </c>
      <c r="B206" s="113" t="s">
        <v>1446</v>
      </c>
      <c r="C206" s="115" t="s">
        <v>296</v>
      </c>
      <c r="D206" s="113" t="s">
        <v>775</v>
      </c>
      <c r="E206" s="113">
        <v>4600018726</v>
      </c>
      <c r="F206" s="52" t="s">
        <v>297</v>
      </c>
      <c r="G206" s="52">
        <v>614607787</v>
      </c>
      <c r="H206" s="52"/>
      <c r="I206" s="114">
        <v>4235.2</v>
      </c>
      <c r="J206" s="52" t="s">
        <v>1864</v>
      </c>
      <c r="K206" s="52"/>
      <c r="L206" s="52"/>
      <c r="M206" s="52"/>
      <c r="N206" s="52"/>
      <c r="O206" s="32" t="s">
        <v>2885</v>
      </c>
      <c r="P206" s="43" t="s">
        <v>506</v>
      </c>
      <c r="Q206" s="93">
        <v>40050</v>
      </c>
    </row>
    <row r="207" spans="1:17" s="31" customFormat="1" ht="165.75" hidden="1">
      <c r="A207" s="52" t="s">
        <v>1870</v>
      </c>
      <c r="B207" s="52" t="s">
        <v>2958</v>
      </c>
      <c r="C207" s="52" t="s">
        <v>2441</v>
      </c>
      <c r="D207" s="52" t="s">
        <v>525</v>
      </c>
      <c r="E207" s="52">
        <v>4600018237</v>
      </c>
      <c r="F207" s="52" t="s">
        <v>2959</v>
      </c>
      <c r="G207" s="52" t="s">
        <v>2960</v>
      </c>
      <c r="H207" s="52"/>
      <c r="I207" s="114">
        <v>4937.76</v>
      </c>
      <c r="J207" s="52" t="s">
        <v>1864</v>
      </c>
      <c r="K207" s="52"/>
      <c r="L207" s="52"/>
      <c r="M207" s="52"/>
      <c r="N207" s="52"/>
      <c r="O207" s="79" t="s">
        <v>1982</v>
      </c>
      <c r="P207" s="43" t="s">
        <v>506</v>
      </c>
      <c r="Q207" s="93">
        <v>40050</v>
      </c>
    </row>
    <row r="208" spans="1:17" s="31" customFormat="1" ht="38.25" hidden="1">
      <c r="A208" s="52" t="s">
        <v>1870</v>
      </c>
      <c r="B208" s="113" t="s">
        <v>2547</v>
      </c>
      <c r="C208" s="113" t="s">
        <v>2513</v>
      </c>
      <c r="D208" s="113" t="s">
        <v>521</v>
      </c>
      <c r="E208" s="113">
        <v>4600018688</v>
      </c>
      <c r="F208" s="52">
        <v>5001333365</v>
      </c>
      <c r="G208" s="52" t="s">
        <v>2548</v>
      </c>
      <c r="H208" s="52"/>
      <c r="I208" s="114">
        <v>188847.49</v>
      </c>
      <c r="J208" s="52" t="s">
        <v>1864</v>
      </c>
      <c r="K208" s="52"/>
      <c r="L208" s="52"/>
      <c r="M208" s="52"/>
      <c r="N208" s="52"/>
      <c r="O208" s="79" t="s">
        <v>2189</v>
      </c>
      <c r="P208" s="43" t="s">
        <v>506</v>
      </c>
      <c r="Q208" s="93">
        <v>40051</v>
      </c>
    </row>
    <row r="209" spans="1:17" s="73" customFormat="1" ht="48" hidden="1">
      <c r="A209" s="72"/>
      <c r="B209" s="74" t="s">
        <v>196</v>
      </c>
      <c r="C209" s="74" t="s">
        <v>896</v>
      </c>
      <c r="D209" s="74" t="s">
        <v>525</v>
      </c>
      <c r="E209" s="74">
        <v>4600019531</v>
      </c>
      <c r="F209" s="116" t="s">
        <v>197</v>
      </c>
      <c r="G209" s="74">
        <v>5533075856</v>
      </c>
      <c r="H209" s="74"/>
      <c r="I209" s="77">
        <v>169100</v>
      </c>
      <c r="J209" s="74" t="s">
        <v>582</v>
      </c>
      <c r="K209" s="74"/>
      <c r="L209" s="74"/>
      <c r="M209" s="74"/>
      <c r="N209" s="74"/>
      <c r="O209" s="75" t="s">
        <v>698</v>
      </c>
      <c r="P209" s="160" t="s">
        <v>506</v>
      </c>
      <c r="Q209" s="82">
        <v>40050</v>
      </c>
    </row>
    <row r="210" spans="1:17" s="73" customFormat="1" ht="24" hidden="1">
      <c r="A210" s="72"/>
      <c r="B210" s="74" t="s">
        <v>2551</v>
      </c>
      <c r="C210" s="74" t="s">
        <v>914</v>
      </c>
      <c r="D210" s="74" t="s">
        <v>775</v>
      </c>
      <c r="E210" s="74">
        <v>4600019798</v>
      </c>
      <c r="F210" s="116" t="s">
        <v>2552</v>
      </c>
      <c r="G210" s="74" t="s">
        <v>2475</v>
      </c>
      <c r="H210" s="74"/>
      <c r="I210" s="77">
        <v>1587.96</v>
      </c>
      <c r="J210" s="74" t="s">
        <v>582</v>
      </c>
      <c r="K210" s="74"/>
      <c r="L210" s="74"/>
      <c r="M210" s="74"/>
      <c r="N210" s="74"/>
      <c r="O210" s="75" t="s">
        <v>2846</v>
      </c>
      <c r="P210" s="153" t="s">
        <v>1080</v>
      </c>
      <c r="Q210" s="82">
        <v>40050</v>
      </c>
    </row>
    <row r="211" spans="1:17" s="31" customFormat="1" ht="38.25" hidden="1">
      <c r="A211" s="52" t="s">
        <v>1870</v>
      </c>
      <c r="B211" s="113" t="s">
        <v>465</v>
      </c>
      <c r="C211" s="113" t="s">
        <v>2513</v>
      </c>
      <c r="D211" s="113" t="s">
        <v>521</v>
      </c>
      <c r="E211" s="115" t="s">
        <v>466</v>
      </c>
      <c r="F211" s="52">
        <v>5001333394</v>
      </c>
      <c r="G211" s="52" t="s">
        <v>467</v>
      </c>
      <c r="H211" s="52"/>
      <c r="I211" s="114">
        <v>98702.31</v>
      </c>
      <c r="J211" s="52" t="s">
        <v>1864</v>
      </c>
      <c r="K211" s="52"/>
      <c r="L211" s="52"/>
      <c r="M211" s="52"/>
      <c r="N211" s="52"/>
      <c r="O211" s="79" t="s">
        <v>1746</v>
      </c>
      <c r="P211" s="43" t="s">
        <v>506</v>
      </c>
      <c r="Q211" s="93">
        <v>40051</v>
      </c>
    </row>
    <row r="212" spans="1:17" s="73" customFormat="1" ht="24" hidden="1">
      <c r="A212" s="72"/>
      <c r="B212" s="74" t="s">
        <v>2671</v>
      </c>
      <c r="C212" s="74" t="s">
        <v>896</v>
      </c>
      <c r="D212" s="74" t="s">
        <v>525</v>
      </c>
      <c r="E212" s="74">
        <v>4600019743</v>
      </c>
      <c r="F212" s="116" t="s">
        <v>2674</v>
      </c>
      <c r="G212" s="74">
        <v>5395678772</v>
      </c>
      <c r="H212" s="74"/>
      <c r="I212" s="77">
        <v>3225</v>
      </c>
      <c r="J212" s="74" t="s">
        <v>582</v>
      </c>
      <c r="K212" s="74"/>
      <c r="L212" s="74"/>
      <c r="M212" s="74"/>
      <c r="N212" s="74"/>
      <c r="O212" s="75" t="s">
        <v>353</v>
      </c>
      <c r="P212" s="160" t="s">
        <v>506</v>
      </c>
      <c r="Q212" s="82">
        <v>40052</v>
      </c>
    </row>
    <row r="213" spans="1:17" s="73" customFormat="1" ht="24" hidden="1">
      <c r="A213" s="72"/>
      <c r="B213" s="74" t="s">
        <v>2675</v>
      </c>
      <c r="C213" s="74" t="s">
        <v>896</v>
      </c>
      <c r="D213" s="74" t="s">
        <v>525</v>
      </c>
      <c r="E213" s="74">
        <v>4600019743</v>
      </c>
      <c r="F213" s="116" t="s">
        <v>2676</v>
      </c>
      <c r="G213" s="74">
        <v>5395679762</v>
      </c>
      <c r="H213" s="74"/>
      <c r="I213" s="77">
        <v>21500</v>
      </c>
      <c r="J213" s="74" t="s">
        <v>582</v>
      </c>
      <c r="K213" s="74"/>
      <c r="L213" s="74"/>
      <c r="M213" s="74"/>
      <c r="N213" s="74"/>
      <c r="O213" s="75" t="s">
        <v>638</v>
      </c>
      <c r="P213" s="160" t="s">
        <v>506</v>
      </c>
      <c r="Q213" s="82">
        <v>40052</v>
      </c>
    </row>
    <row r="214" spans="1:17" s="73" customFormat="1" ht="60" hidden="1">
      <c r="A214" s="72"/>
      <c r="B214" s="74" t="s">
        <v>468</v>
      </c>
      <c r="C214" s="74" t="s">
        <v>2649</v>
      </c>
      <c r="D214" s="74" t="s">
        <v>525</v>
      </c>
      <c r="E214" s="74">
        <v>4600018447</v>
      </c>
      <c r="F214" s="116" t="s">
        <v>469</v>
      </c>
      <c r="G214" s="74" t="s">
        <v>470</v>
      </c>
      <c r="H214" s="74"/>
      <c r="I214" s="77">
        <v>64800</v>
      </c>
      <c r="J214" s="74" t="s">
        <v>582</v>
      </c>
      <c r="K214" s="74"/>
      <c r="L214" s="74"/>
      <c r="M214" s="74"/>
      <c r="N214" s="74"/>
      <c r="O214" s="75" t="s">
        <v>1904</v>
      </c>
      <c r="P214" s="160" t="s">
        <v>506</v>
      </c>
      <c r="Q214" s="82">
        <v>40053</v>
      </c>
    </row>
    <row r="215" spans="1:17" s="73" customFormat="1" ht="24" hidden="1">
      <c r="A215" s="72"/>
      <c r="B215" s="74" t="s">
        <v>1749</v>
      </c>
      <c r="C215" s="74" t="s">
        <v>2080</v>
      </c>
      <c r="D215" s="74" t="s">
        <v>1750</v>
      </c>
      <c r="E215" s="74">
        <v>4600019885</v>
      </c>
      <c r="F215" s="116" t="s">
        <v>1751</v>
      </c>
      <c r="G215" s="74">
        <v>9010130</v>
      </c>
      <c r="H215" s="74"/>
      <c r="I215" s="77">
        <v>1904.4</v>
      </c>
      <c r="J215" s="74" t="s">
        <v>582</v>
      </c>
      <c r="K215" s="74"/>
      <c r="L215" s="74"/>
      <c r="M215" s="74"/>
      <c r="N215" s="74"/>
      <c r="O215" s="75" t="s">
        <v>892</v>
      </c>
      <c r="P215" s="153" t="s">
        <v>1080</v>
      </c>
      <c r="Q215" s="82">
        <v>40051</v>
      </c>
    </row>
    <row r="216" spans="1:17" s="73" customFormat="1" ht="24" hidden="1">
      <c r="A216" s="72"/>
      <c r="B216" s="74" t="s">
        <v>1752</v>
      </c>
      <c r="C216" s="74" t="s">
        <v>2518</v>
      </c>
      <c r="D216" s="74" t="s">
        <v>1750</v>
      </c>
      <c r="E216" s="74">
        <v>4600019883</v>
      </c>
      <c r="F216" s="116" t="s">
        <v>1753</v>
      </c>
      <c r="G216" s="74" t="s">
        <v>2467</v>
      </c>
      <c r="H216" s="74"/>
      <c r="I216" s="77">
        <v>14803.2</v>
      </c>
      <c r="J216" s="74" t="s">
        <v>582</v>
      </c>
      <c r="K216" s="74"/>
      <c r="L216" s="74"/>
      <c r="M216" s="74"/>
      <c r="N216" s="74"/>
      <c r="O216" s="75" t="s">
        <v>892</v>
      </c>
      <c r="P216" s="153" t="s">
        <v>1080</v>
      </c>
      <c r="Q216" s="82">
        <v>40051</v>
      </c>
    </row>
    <row r="217" spans="1:17" s="31" customFormat="1" ht="127.5" hidden="1">
      <c r="A217" s="52" t="s">
        <v>1870</v>
      </c>
      <c r="B217" s="113" t="s">
        <v>1886</v>
      </c>
      <c r="C217" s="113" t="s">
        <v>386</v>
      </c>
      <c r="D217" s="113" t="s">
        <v>775</v>
      </c>
      <c r="E217" s="115" t="s">
        <v>1887</v>
      </c>
      <c r="F217" s="52" t="s">
        <v>1888</v>
      </c>
      <c r="G217" s="52">
        <v>6394408811</v>
      </c>
      <c r="H217" s="52"/>
      <c r="I217" s="114">
        <v>15870</v>
      </c>
      <c r="J217" s="52" t="s">
        <v>1864</v>
      </c>
      <c r="K217" s="52"/>
      <c r="L217" s="52"/>
      <c r="M217" s="52"/>
      <c r="N217" s="52"/>
      <c r="O217" s="79" t="s">
        <v>2253</v>
      </c>
      <c r="P217" s="43" t="s">
        <v>506</v>
      </c>
      <c r="Q217" s="93">
        <v>40053</v>
      </c>
    </row>
    <row r="218" spans="1:17" s="31" customFormat="1" ht="127.5" hidden="1">
      <c r="A218" s="52" t="s">
        <v>1870</v>
      </c>
      <c r="B218" s="52" t="s">
        <v>96</v>
      </c>
      <c r="C218" s="52" t="s">
        <v>1793</v>
      </c>
      <c r="D218" s="52" t="s">
        <v>53</v>
      </c>
      <c r="E218" s="52">
        <v>4600017233</v>
      </c>
      <c r="F218" s="100" t="s">
        <v>97</v>
      </c>
      <c r="G218" s="52" t="s">
        <v>98</v>
      </c>
      <c r="H218" s="52"/>
      <c r="I218" s="114">
        <v>9852</v>
      </c>
      <c r="J218" s="52" t="s">
        <v>1864</v>
      </c>
      <c r="K218" s="52"/>
      <c r="L218" s="52"/>
      <c r="M218" s="52"/>
      <c r="N218" s="52"/>
      <c r="O218" s="79" t="s">
        <v>814</v>
      </c>
      <c r="P218" s="43" t="s">
        <v>506</v>
      </c>
      <c r="Q218" s="93">
        <v>40052</v>
      </c>
    </row>
    <row r="219" spans="1:17" s="31" customFormat="1" ht="51" hidden="1">
      <c r="A219" s="52" t="s">
        <v>1870</v>
      </c>
      <c r="B219" s="113" t="s">
        <v>1992</v>
      </c>
      <c r="C219" s="113" t="s">
        <v>2513</v>
      </c>
      <c r="D219" s="113" t="s">
        <v>521</v>
      </c>
      <c r="E219" s="113">
        <v>4600018624</v>
      </c>
      <c r="F219" s="52">
        <v>5001335883</v>
      </c>
      <c r="G219" s="52" t="s">
        <v>1993</v>
      </c>
      <c r="H219" s="52"/>
      <c r="I219" s="114">
        <v>99877.119999999995</v>
      </c>
      <c r="J219" s="52" t="s">
        <v>1864</v>
      </c>
      <c r="K219" s="52"/>
      <c r="L219" s="52"/>
      <c r="M219" s="52"/>
      <c r="N219" s="52"/>
      <c r="O219" s="79" t="s">
        <v>2596</v>
      </c>
      <c r="P219" s="43" t="s">
        <v>506</v>
      </c>
      <c r="Q219" s="93">
        <v>40053</v>
      </c>
    </row>
    <row r="220" spans="1:17" s="31" customFormat="1" ht="51" hidden="1">
      <c r="A220" s="52" t="s">
        <v>1870</v>
      </c>
      <c r="B220" s="113" t="s">
        <v>1994</v>
      </c>
      <c r="C220" s="113" t="s">
        <v>2513</v>
      </c>
      <c r="D220" s="113" t="s">
        <v>521</v>
      </c>
      <c r="E220" s="113">
        <v>4600018624</v>
      </c>
      <c r="F220" s="100" t="s">
        <v>401</v>
      </c>
      <c r="G220" s="52" t="s">
        <v>402</v>
      </c>
      <c r="H220" s="52"/>
      <c r="I220" s="114">
        <v>50846.99</v>
      </c>
      <c r="J220" s="52" t="s">
        <v>1864</v>
      </c>
      <c r="K220" s="52"/>
      <c r="L220" s="52"/>
      <c r="M220" s="52"/>
      <c r="N220" s="52"/>
      <c r="O220" s="79" t="s">
        <v>1700</v>
      </c>
      <c r="P220" s="43" t="s">
        <v>506</v>
      </c>
      <c r="Q220" s="93">
        <v>40053</v>
      </c>
    </row>
    <row r="221" spans="1:17" s="31" customFormat="1" ht="51" hidden="1">
      <c r="A221" s="52" t="s">
        <v>1870</v>
      </c>
      <c r="B221" s="113" t="s">
        <v>673</v>
      </c>
      <c r="C221" s="113" t="s">
        <v>2513</v>
      </c>
      <c r="D221" s="113" t="s">
        <v>521</v>
      </c>
      <c r="E221" s="113">
        <v>4600018684</v>
      </c>
      <c r="F221" s="100">
        <v>5001332053</v>
      </c>
      <c r="G221" s="52" t="s">
        <v>674</v>
      </c>
      <c r="H221" s="52"/>
      <c r="I221" s="114">
        <v>48329.47</v>
      </c>
      <c r="J221" s="52" t="s">
        <v>1864</v>
      </c>
      <c r="K221" s="52"/>
      <c r="L221" s="52"/>
      <c r="M221" s="52"/>
      <c r="N221" s="52"/>
      <c r="O221" s="79" t="s">
        <v>1700</v>
      </c>
      <c r="P221" s="43" t="s">
        <v>506</v>
      </c>
      <c r="Q221" s="93">
        <v>40053</v>
      </c>
    </row>
    <row r="222" spans="1:17" s="73" customFormat="1" ht="48" hidden="1">
      <c r="A222" s="72"/>
      <c r="B222" s="74" t="s">
        <v>1507</v>
      </c>
      <c r="C222" s="74" t="s">
        <v>896</v>
      </c>
      <c r="D222" s="74" t="s">
        <v>525</v>
      </c>
      <c r="E222" s="74">
        <v>4600019743</v>
      </c>
      <c r="F222" s="116" t="s">
        <v>1508</v>
      </c>
      <c r="G222" s="74">
        <v>5533077385</v>
      </c>
      <c r="H222" s="74"/>
      <c r="I222" s="77">
        <v>24700</v>
      </c>
      <c r="J222" s="74" t="s">
        <v>582</v>
      </c>
      <c r="K222" s="74"/>
      <c r="L222" s="74"/>
      <c r="M222" s="74"/>
      <c r="N222" s="74"/>
      <c r="O222" s="75" t="s">
        <v>2541</v>
      </c>
      <c r="P222" s="153" t="s">
        <v>1080</v>
      </c>
      <c r="Q222" s="82">
        <v>40053</v>
      </c>
    </row>
    <row r="223" spans="1:17" s="73" customFormat="1" ht="36" hidden="1">
      <c r="A223" s="72"/>
      <c r="B223" s="74" t="s">
        <v>2672</v>
      </c>
      <c r="C223" s="74" t="s">
        <v>896</v>
      </c>
      <c r="D223" s="74" t="s">
        <v>525</v>
      </c>
      <c r="E223" s="74">
        <v>4600019743</v>
      </c>
      <c r="F223" s="116" t="s">
        <v>2673</v>
      </c>
      <c r="G223" s="74">
        <v>5395679971</v>
      </c>
      <c r="H223" s="74"/>
      <c r="I223" s="77">
        <v>18275</v>
      </c>
      <c r="J223" s="74" t="s">
        <v>582</v>
      </c>
      <c r="K223" s="74"/>
      <c r="L223" s="74"/>
      <c r="M223" s="74"/>
      <c r="N223" s="74"/>
      <c r="O223" s="75" t="s">
        <v>140</v>
      </c>
      <c r="P223" s="161" t="s">
        <v>980</v>
      </c>
      <c r="Q223" s="82">
        <v>40053</v>
      </c>
    </row>
    <row r="224" spans="1:17" s="73" customFormat="1" ht="36" hidden="1">
      <c r="A224" s="72"/>
      <c r="B224" s="74" t="s">
        <v>2677</v>
      </c>
      <c r="C224" s="74" t="s">
        <v>896</v>
      </c>
      <c r="D224" s="74" t="s">
        <v>525</v>
      </c>
      <c r="E224" s="74">
        <v>4600019743</v>
      </c>
      <c r="F224" s="116" t="s">
        <v>2678</v>
      </c>
      <c r="G224" s="74">
        <v>5395666870</v>
      </c>
      <c r="H224" s="74"/>
      <c r="I224" s="77">
        <v>29950</v>
      </c>
      <c r="J224" s="74" t="s">
        <v>582</v>
      </c>
      <c r="K224" s="74"/>
      <c r="L224" s="74"/>
      <c r="M224" s="74"/>
      <c r="N224" s="74"/>
      <c r="O224" s="75" t="s">
        <v>541</v>
      </c>
      <c r="P224" s="153" t="s">
        <v>1080</v>
      </c>
      <c r="Q224" s="82">
        <v>40053</v>
      </c>
    </row>
    <row r="225" spans="1:17" s="73" customFormat="1" ht="36" hidden="1">
      <c r="A225" s="72"/>
      <c r="B225" s="74" t="s">
        <v>240</v>
      </c>
      <c r="C225" s="74" t="s">
        <v>2649</v>
      </c>
      <c r="D225" s="74" t="s">
        <v>525</v>
      </c>
      <c r="E225" s="74">
        <v>4600019918</v>
      </c>
      <c r="F225" s="116" t="s">
        <v>1564</v>
      </c>
      <c r="G225" s="74">
        <v>710113095</v>
      </c>
      <c r="H225" s="74"/>
      <c r="I225" s="77">
        <v>40986</v>
      </c>
      <c r="J225" s="74" t="s">
        <v>582</v>
      </c>
      <c r="K225" s="74"/>
      <c r="L225" s="74"/>
      <c r="M225" s="74"/>
      <c r="N225" s="74"/>
      <c r="O225" s="75" t="s">
        <v>1139</v>
      </c>
      <c r="P225" s="160" t="s">
        <v>506</v>
      </c>
      <c r="Q225" s="82">
        <v>40053</v>
      </c>
    </row>
    <row r="226" spans="1:17" customFormat="1" ht="108" hidden="1">
      <c r="A226" s="139"/>
      <c r="B226" s="140" t="s">
        <v>2847</v>
      </c>
      <c r="C226" s="74" t="s">
        <v>2212</v>
      </c>
      <c r="D226" s="74" t="s">
        <v>1750</v>
      </c>
      <c r="E226" s="116">
        <v>4600019738</v>
      </c>
      <c r="F226" s="116" t="s">
        <v>2213</v>
      </c>
      <c r="G226" s="74">
        <v>239932</v>
      </c>
      <c r="H226" s="74"/>
      <c r="I226" s="77">
        <v>16994</v>
      </c>
      <c r="J226" s="74" t="s">
        <v>519</v>
      </c>
      <c r="K226" s="74"/>
      <c r="L226" s="74"/>
      <c r="M226" s="74"/>
      <c r="N226" s="74"/>
      <c r="O226" s="75" t="s">
        <v>963</v>
      </c>
      <c r="P226" s="143" t="s">
        <v>506</v>
      </c>
      <c r="Q226" s="145">
        <v>40054</v>
      </c>
    </row>
    <row r="227" spans="1:17" s="31" customFormat="1" ht="127.5" hidden="1">
      <c r="A227" s="52" t="s">
        <v>1870</v>
      </c>
      <c r="B227" s="52" t="s">
        <v>158</v>
      </c>
      <c r="C227" s="52" t="s">
        <v>2513</v>
      </c>
      <c r="D227" s="52" t="s">
        <v>521</v>
      </c>
      <c r="E227" s="100" t="s">
        <v>99</v>
      </c>
      <c r="F227" s="100" t="s">
        <v>100</v>
      </c>
      <c r="G227" s="52" t="s">
        <v>101</v>
      </c>
      <c r="H227" s="52"/>
      <c r="I227" s="114">
        <v>11712.35</v>
      </c>
      <c r="J227" s="52" t="s">
        <v>1864</v>
      </c>
      <c r="K227" s="52"/>
      <c r="L227" s="52"/>
      <c r="M227" s="52"/>
      <c r="N227" s="52"/>
      <c r="O227" s="79" t="s">
        <v>1258</v>
      </c>
      <c r="P227" s="41" t="s">
        <v>1080</v>
      </c>
      <c r="Q227" s="93">
        <v>40057</v>
      </c>
    </row>
    <row r="228" spans="1:17" customFormat="1" ht="96" hidden="1">
      <c r="A228" s="139"/>
      <c r="B228" s="140" t="s">
        <v>1011</v>
      </c>
      <c r="C228" s="74" t="s">
        <v>570</v>
      </c>
      <c r="D228" s="74" t="s">
        <v>1012</v>
      </c>
      <c r="E228" s="116">
        <v>580000030</v>
      </c>
      <c r="F228" s="116" t="s">
        <v>1013</v>
      </c>
      <c r="G228" s="74" t="s">
        <v>1014</v>
      </c>
      <c r="H228" s="74"/>
      <c r="I228" s="77">
        <v>342418.32</v>
      </c>
      <c r="J228" s="74" t="s">
        <v>582</v>
      </c>
      <c r="K228" s="74"/>
      <c r="L228" s="74"/>
      <c r="M228" s="74"/>
      <c r="N228" s="74"/>
      <c r="O228" s="75" t="s">
        <v>247</v>
      </c>
      <c r="P228" s="143" t="s">
        <v>506</v>
      </c>
      <c r="Q228" s="145">
        <v>40057</v>
      </c>
    </row>
    <row r="229" spans="1:17" customFormat="1" ht="72" hidden="1">
      <c r="A229" s="139"/>
      <c r="B229" s="140" t="s">
        <v>1077</v>
      </c>
      <c r="C229" s="74" t="s">
        <v>570</v>
      </c>
      <c r="D229" s="74" t="s">
        <v>1012</v>
      </c>
      <c r="E229" s="116">
        <v>580000047</v>
      </c>
      <c r="F229" s="116" t="s">
        <v>2028</v>
      </c>
      <c r="G229" s="74" t="s">
        <v>2479</v>
      </c>
      <c r="H229" s="74"/>
      <c r="I229" s="77">
        <v>18858</v>
      </c>
      <c r="J229" s="74" t="s">
        <v>582</v>
      </c>
      <c r="K229" s="74"/>
      <c r="L229" s="74"/>
      <c r="M229" s="74"/>
      <c r="N229" s="74"/>
      <c r="O229" s="75" t="s">
        <v>141</v>
      </c>
      <c r="P229" s="143" t="s">
        <v>506</v>
      </c>
      <c r="Q229" s="145">
        <v>40059</v>
      </c>
    </row>
    <row r="230" spans="1:17" customFormat="1" ht="84" hidden="1">
      <c r="A230" s="139"/>
      <c r="B230" s="140" t="s">
        <v>2265</v>
      </c>
      <c r="C230" s="74" t="s">
        <v>2266</v>
      </c>
      <c r="D230" s="74" t="s">
        <v>53</v>
      </c>
      <c r="E230" s="116">
        <v>4600019282</v>
      </c>
      <c r="F230" s="116" t="s">
        <v>2267</v>
      </c>
      <c r="G230" s="74">
        <v>414607663</v>
      </c>
      <c r="H230" s="74"/>
      <c r="I230" s="77">
        <v>77996.53</v>
      </c>
      <c r="J230" s="74" t="s">
        <v>519</v>
      </c>
      <c r="K230" s="74"/>
      <c r="L230" s="74"/>
      <c r="M230" s="74"/>
      <c r="N230" s="74"/>
      <c r="O230" s="75" t="s">
        <v>658</v>
      </c>
      <c r="P230" s="143" t="s">
        <v>506</v>
      </c>
      <c r="Q230" s="145">
        <v>40058</v>
      </c>
    </row>
    <row r="231" spans="1:17" customFormat="1" ht="120" hidden="1">
      <c r="A231" s="139"/>
      <c r="B231" s="140" t="s">
        <v>2545</v>
      </c>
      <c r="C231" s="74" t="s">
        <v>2546</v>
      </c>
      <c r="D231" s="74" t="s">
        <v>520</v>
      </c>
      <c r="E231" s="116">
        <v>4600019579</v>
      </c>
      <c r="F231" s="116">
        <v>4500019499</v>
      </c>
      <c r="G231" s="74">
        <v>411652352</v>
      </c>
      <c r="H231" s="74"/>
      <c r="I231" s="77">
        <v>494</v>
      </c>
      <c r="J231" s="74" t="s">
        <v>519</v>
      </c>
      <c r="K231" s="74"/>
      <c r="L231" s="74"/>
      <c r="M231" s="74"/>
      <c r="N231" s="74"/>
      <c r="O231" s="75" t="s">
        <v>1903</v>
      </c>
      <c r="P231" s="143" t="s">
        <v>506</v>
      </c>
      <c r="Q231" s="145">
        <v>40059</v>
      </c>
    </row>
    <row r="232" spans="1:17" s="16" customFormat="1" ht="72" hidden="1">
      <c r="A232" s="146"/>
      <c r="B232" s="147" t="s">
        <v>1635</v>
      </c>
      <c r="C232" s="148" t="s">
        <v>386</v>
      </c>
      <c r="D232" s="148" t="s">
        <v>518</v>
      </c>
      <c r="E232" s="149">
        <v>4800001825</v>
      </c>
      <c r="F232" s="149" t="s">
        <v>2405</v>
      </c>
      <c r="G232" s="148">
        <v>4394603739</v>
      </c>
      <c r="H232" s="148"/>
      <c r="I232" s="150">
        <v>7570</v>
      </c>
      <c r="J232" s="148" t="s">
        <v>519</v>
      </c>
      <c r="K232" s="148"/>
      <c r="L232" s="148"/>
      <c r="M232" s="148"/>
      <c r="N232" s="148"/>
      <c r="O232" s="164" t="s">
        <v>2193</v>
      </c>
      <c r="P232" s="152" t="s">
        <v>506</v>
      </c>
      <c r="Q232" s="133">
        <v>40060</v>
      </c>
    </row>
    <row r="233" spans="1:17" customFormat="1" ht="60" hidden="1">
      <c r="A233" s="139"/>
      <c r="B233" s="140" t="s">
        <v>181</v>
      </c>
      <c r="C233" s="74" t="s">
        <v>524</v>
      </c>
      <c r="D233" s="74" t="s">
        <v>525</v>
      </c>
      <c r="E233" s="116" t="s">
        <v>182</v>
      </c>
      <c r="F233" s="116" t="s">
        <v>1728</v>
      </c>
      <c r="G233" s="74" t="s">
        <v>1729</v>
      </c>
      <c r="H233" s="74"/>
      <c r="I233" s="77">
        <v>2042.9</v>
      </c>
      <c r="J233" s="74" t="s">
        <v>519</v>
      </c>
      <c r="K233" s="74"/>
      <c r="L233" s="74"/>
      <c r="M233" s="74"/>
      <c r="N233" s="74"/>
      <c r="O233" s="75" t="s">
        <v>109</v>
      </c>
      <c r="P233" s="143" t="s">
        <v>506</v>
      </c>
      <c r="Q233" s="145">
        <v>40059</v>
      </c>
    </row>
    <row r="234" spans="1:17" customFormat="1" ht="60" hidden="1">
      <c r="A234" s="139"/>
      <c r="B234" s="140" t="s">
        <v>1730</v>
      </c>
      <c r="C234" s="74" t="s">
        <v>524</v>
      </c>
      <c r="D234" s="74" t="s">
        <v>525</v>
      </c>
      <c r="E234" s="116">
        <v>4600019248</v>
      </c>
      <c r="F234" s="116">
        <v>40744171</v>
      </c>
      <c r="G234" s="74" t="s">
        <v>1731</v>
      </c>
      <c r="H234" s="74"/>
      <c r="I234" s="77">
        <v>4121.7</v>
      </c>
      <c r="J234" s="74" t="s">
        <v>519</v>
      </c>
      <c r="K234" s="74"/>
      <c r="L234" s="74"/>
      <c r="M234" s="74"/>
      <c r="N234" s="74"/>
      <c r="O234" s="75" t="s">
        <v>849</v>
      </c>
      <c r="P234" s="143" t="s">
        <v>506</v>
      </c>
      <c r="Q234" s="145">
        <v>40058</v>
      </c>
    </row>
    <row r="235" spans="1:17" s="31" customFormat="1" ht="178.5" hidden="1">
      <c r="A235" s="52" t="s">
        <v>1870</v>
      </c>
      <c r="B235" s="113" t="s">
        <v>2126</v>
      </c>
      <c r="C235" s="113" t="s">
        <v>2022</v>
      </c>
      <c r="D235" s="113" t="s">
        <v>521</v>
      </c>
      <c r="E235" s="113">
        <v>4600018716</v>
      </c>
      <c r="F235" s="52">
        <v>4600018716</v>
      </c>
      <c r="G235" s="52">
        <v>239411</v>
      </c>
      <c r="H235" s="52"/>
      <c r="I235" s="114">
        <v>3078.5</v>
      </c>
      <c r="J235" s="52" t="s">
        <v>1864</v>
      </c>
      <c r="K235" s="52"/>
      <c r="L235" s="52"/>
      <c r="M235" s="52"/>
      <c r="N235" s="52"/>
      <c r="O235" s="32" t="s">
        <v>2848</v>
      </c>
      <c r="P235" s="40" t="s">
        <v>980</v>
      </c>
      <c r="Q235" s="93">
        <v>40057</v>
      </c>
    </row>
    <row r="236" spans="1:17" s="73" customFormat="1" ht="60" hidden="1">
      <c r="A236" s="72"/>
      <c r="B236" s="74" t="s">
        <v>1565</v>
      </c>
      <c r="C236" s="74" t="s">
        <v>841</v>
      </c>
      <c r="D236" s="74" t="s">
        <v>525</v>
      </c>
      <c r="E236" s="74">
        <v>4600019886</v>
      </c>
      <c r="F236" s="116" t="s">
        <v>502</v>
      </c>
      <c r="G236" s="74" t="s">
        <v>2056</v>
      </c>
      <c r="H236" s="74"/>
      <c r="I236" s="77">
        <v>3588.48</v>
      </c>
      <c r="J236" s="74" t="s">
        <v>582</v>
      </c>
      <c r="K236" s="74"/>
      <c r="L236" s="74"/>
      <c r="M236" s="74"/>
      <c r="N236" s="74"/>
      <c r="O236" s="75" t="s">
        <v>1282</v>
      </c>
      <c r="P236" s="153" t="s">
        <v>1080</v>
      </c>
      <c r="Q236" s="82">
        <v>40058</v>
      </c>
    </row>
    <row r="237" spans="1:17" s="73" customFormat="1" ht="60" hidden="1">
      <c r="A237" s="72"/>
      <c r="B237" s="74" t="s">
        <v>544</v>
      </c>
      <c r="C237" s="74" t="s">
        <v>2080</v>
      </c>
      <c r="D237" s="74" t="s">
        <v>1750</v>
      </c>
      <c r="E237" s="74">
        <v>4600020019</v>
      </c>
      <c r="F237" s="116" t="s">
        <v>545</v>
      </c>
      <c r="G237" s="74">
        <v>9010130</v>
      </c>
      <c r="H237" s="74"/>
      <c r="I237" s="77">
        <v>579.20000000000005</v>
      </c>
      <c r="J237" s="74" t="s">
        <v>582</v>
      </c>
      <c r="K237" s="74"/>
      <c r="L237" s="74"/>
      <c r="M237" s="74"/>
      <c r="N237" s="74"/>
      <c r="O237" s="75" t="s">
        <v>2482</v>
      </c>
      <c r="P237" s="153" t="s">
        <v>1080</v>
      </c>
      <c r="Q237" s="82">
        <v>40058</v>
      </c>
    </row>
    <row r="238" spans="1:17" s="73" customFormat="1" ht="60" hidden="1">
      <c r="A238" s="72"/>
      <c r="B238" s="74" t="s">
        <v>854</v>
      </c>
      <c r="C238" s="74" t="s">
        <v>896</v>
      </c>
      <c r="D238" s="74" t="s">
        <v>525</v>
      </c>
      <c r="E238" s="74">
        <v>4600019928</v>
      </c>
      <c r="F238" s="116" t="s">
        <v>855</v>
      </c>
      <c r="G238" s="74">
        <v>5533077385</v>
      </c>
      <c r="H238" s="74"/>
      <c r="I238" s="77">
        <v>28500</v>
      </c>
      <c r="J238" s="74" t="s">
        <v>582</v>
      </c>
      <c r="K238" s="74"/>
      <c r="L238" s="74"/>
      <c r="M238" s="74"/>
      <c r="N238" s="74"/>
      <c r="O238" s="75" t="s">
        <v>1479</v>
      </c>
      <c r="P238" s="153" t="s">
        <v>1080</v>
      </c>
      <c r="Q238" s="82">
        <v>40058</v>
      </c>
    </row>
    <row r="239" spans="1:17" s="73" customFormat="1" ht="48" hidden="1">
      <c r="A239" s="72"/>
      <c r="B239" s="74" t="s">
        <v>1070</v>
      </c>
      <c r="C239" s="74" t="s">
        <v>2518</v>
      </c>
      <c r="D239" s="74" t="s">
        <v>1750</v>
      </c>
      <c r="E239" s="116" t="s">
        <v>1347</v>
      </c>
      <c r="F239" s="116" t="s">
        <v>1348</v>
      </c>
      <c r="G239" s="74" t="s">
        <v>1349</v>
      </c>
      <c r="H239" s="74"/>
      <c r="I239" s="77">
        <v>28030.400000000001</v>
      </c>
      <c r="J239" s="74" t="s">
        <v>582</v>
      </c>
      <c r="K239" s="74"/>
      <c r="L239" s="74"/>
      <c r="M239" s="74"/>
      <c r="N239" s="74"/>
      <c r="O239" s="75" t="s">
        <v>2311</v>
      </c>
      <c r="P239" s="153" t="s">
        <v>1080</v>
      </c>
      <c r="Q239" s="82">
        <v>40058</v>
      </c>
    </row>
    <row r="240" spans="1:17" s="73" customFormat="1" ht="48" hidden="1">
      <c r="A240" s="72"/>
      <c r="B240" s="74" t="s">
        <v>815</v>
      </c>
      <c r="C240" s="74" t="s">
        <v>2649</v>
      </c>
      <c r="D240" s="74" t="s">
        <v>525</v>
      </c>
      <c r="E240" s="74">
        <v>4600019927</v>
      </c>
      <c r="F240" s="116" t="s">
        <v>816</v>
      </c>
      <c r="G240" s="74" t="s">
        <v>817</v>
      </c>
      <c r="H240" s="74"/>
      <c r="I240" s="77">
        <v>64800</v>
      </c>
      <c r="J240" s="74" t="s">
        <v>1864</v>
      </c>
      <c r="K240" s="74"/>
      <c r="L240" s="74"/>
      <c r="M240" s="74"/>
      <c r="N240" s="74"/>
      <c r="O240" s="75" t="s">
        <v>54</v>
      </c>
      <c r="P240" s="153" t="s">
        <v>1080</v>
      </c>
      <c r="Q240" s="82">
        <v>40061</v>
      </c>
    </row>
    <row r="241" spans="1:17" s="73" customFormat="1" ht="60" hidden="1">
      <c r="A241" s="72"/>
      <c r="B241" s="74" t="s">
        <v>546</v>
      </c>
      <c r="C241" s="74" t="s">
        <v>2649</v>
      </c>
      <c r="D241" s="74" t="s">
        <v>525</v>
      </c>
      <c r="E241" s="74">
        <v>4600019925</v>
      </c>
      <c r="F241" s="116" t="s">
        <v>2471</v>
      </c>
      <c r="G241" s="74" t="s">
        <v>817</v>
      </c>
      <c r="H241" s="74"/>
      <c r="I241" s="77">
        <v>132480</v>
      </c>
      <c r="J241" s="74" t="s">
        <v>1864</v>
      </c>
      <c r="K241" s="74"/>
      <c r="L241" s="74"/>
      <c r="M241" s="74"/>
      <c r="N241" s="74"/>
      <c r="O241" s="75" t="s">
        <v>2191</v>
      </c>
      <c r="P241" s="160" t="s">
        <v>506</v>
      </c>
      <c r="Q241" s="82">
        <v>40061</v>
      </c>
    </row>
    <row r="242" spans="1:17" s="73" customFormat="1" ht="24" hidden="1">
      <c r="A242" s="72"/>
      <c r="B242" s="74" t="s">
        <v>2715</v>
      </c>
      <c r="C242" s="74" t="s">
        <v>896</v>
      </c>
      <c r="D242" s="74" t="s">
        <v>525</v>
      </c>
      <c r="E242" s="74">
        <v>4600019721</v>
      </c>
      <c r="F242" s="116" t="s">
        <v>2716</v>
      </c>
      <c r="G242" s="74">
        <v>5395659215</v>
      </c>
      <c r="H242" s="74"/>
      <c r="I242" s="77">
        <v>190000</v>
      </c>
      <c r="J242" s="74" t="s">
        <v>582</v>
      </c>
      <c r="K242" s="74"/>
      <c r="L242" s="74"/>
      <c r="M242" s="74"/>
      <c r="N242" s="74"/>
      <c r="O242" s="75" t="s">
        <v>2278</v>
      </c>
      <c r="P242" s="160" t="s">
        <v>506</v>
      </c>
      <c r="Q242" s="82">
        <v>40065</v>
      </c>
    </row>
    <row r="243" spans="1:17" s="73" customFormat="1" ht="24" hidden="1">
      <c r="A243" s="72"/>
      <c r="B243" s="74" t="s">
        <v>2717</v>
      </c>
      <c r="C243" s="74" t="s">
        <v>896</v>
      </c>
      <c r="D243" s="74" t="s">
        <v>525</v>
      </c>
      <c r="E243" s="74">
        <v>4600019721</v>
      </c>
      <c r="F243" s="116" t="s">
        <v>2718</v>
      </c>
      <c r="G243" s="74">
        <v>5395684998</v>
      </c>
      <c r="H243" s="74"/>
      <c r="I243" s="77">
        <v>12350</v>
      </c>
      <c r="J243" s="74" t="s">
        <v>582</v>
      </c>
      <c r="K243" s="74"/>
      <c r="L243" s="74"/>
      <c r="M243" s="74"/>
      <c r="N243" s="74"/>
      <c r="O243" s="75" t="s">
        <v>2278</v>
      </c>
      <c r="P243" s="160" t="s">
        <v>506</v>
      </c>
      <c r="Q243" s="82">
        <v>40065</v>
      </c>
    </row>
    <row r="244" spans="1:17" s="73" customFormat="1" ht="24" hidden="1">
      <c r="A244" s="72"/>
      <c r="B244" s="74" t="s">
        <v>2719</v>
      </c>
      <c r="C244" s="74" t="s">
        <v>896</v>
      </c>
      <c r="D244" s="74" t="s">
        <v>525</v>
      </c>
      <c r="E244" s="74">
        <v>4600019721</v>
      </c>
      <c r="F244" s="116" t="s">
        <v>2720</v>
      </c>
      <c r="G244" s="74">
        <v>5395641350</v>
      </c>
      <c r="H244" s="74"/>
      <c r="I244" s="77">
        <v>3225</v>
      </c>
      <c r="J244" s="74" t="s">
        <v>582</v>
      </c>
      <c r="K244" s="74"/>
      <c r="L244" s="74"/>
      <c r="M244" s="74"/>
      <c r="N244" s="74"/>
      <c r="O244" s="75" t="s">
        <v>2278</v>
      </c>
      <c r="P244" s="160" t="s">
        <v>506</v>
      </c>
      <c r="Q244" s="82">
        <v>40065</v>
      </c>
    </row>
    <row r="245" spans="1:17" s="73" customFormat="1" ht="36" hidden="1">
      <c r="A245" s="72"/>
      <c r="B245" s="74" t="s">
        <v>1359</v>
      </c>
      <c r="C245" s="74" t="s">
        <v>896</v>
      </c>
      <c r="D245" s="74" t="s">
        <v>525</v>
      </c>
      <c r="E245" s="74">
        <v>4600019916</v>
      </c>
      <c r="F245" s="116" t="s">
        <v>1360</v>
      </c>
      <c r="G245" s="74">
        <v>5533081521</v>
      </c>
      <c r="H245" s="74"/>
      <c r="I245" s="77">
        <v>76000</v>
      </c>
      <c r="J245" s="74" t="s">
        <v>582</v>
      </c>
      <c r="K245" s="74"/>
      <c r="L245" s="74"/>
      <c r="M245" s="74"/>
      <c r="N245" s="74"/>
      <c r="O245" s="75" t="s">
        <v>1514</v>
      </c>
      <c r="P245" s="160" t="s">
        <v>506</v>
      </c>
      <c r="Q245" s="82">
        <v>40065</v>
      </c>
    </row>
    <row r="246" spans="1:17" s="73" customFormat="1" ht="36" hidden="1">
      <c r="A246" s="72"/>
      <c r="B246" s="74" t="s">
        <v>1361</v>
      </c>
      <c r="C246" s="74" t="s">
        <v>896</v>
      </c>
      <c r="D246" s="74" t="s">
        <v>525</v>
      </c>
      <c r="E246" s="74">
        <v>4600019916</v>
      </c>
      <c r="F246" s="116" t="s">
        <v>1362</v>
      </c>
      <c r="G246" s="74">
        <v>5533081510</v>
      </c>
      <c r="H246" s="74"/>
      <c r="I246" s="77">
        <v>152000</v>
      </c>
      <c r="J246" s="74" t="s">
        <v>582</v>
      </c>
      <c r="K246" s="74"/>
      <c r="L246" s="74"/>
      <c r="M246" s="74"/>
      <c r="N246" s="74"/>
      <c r="O246" s="75" t="s">
        <v>1514</v>
      </c>
      <c r="P246" s="160" t="s">
        <v>506</v>
      </c>
      <c r="Q246" s="82">
        <v>40065</v>
      </c>
    </row>
    <row r="247" spans="1:17" s="31" customFormat="1" ht="127.5" hidden="1">
      <c r="A247" s="52" t="s">
        <v>1870</v>
      </c>
      <c r="B247" s="113" t="s">
        <v>2841</v>
      </c>
      <c r="C247" s="52" t="s">
        <v>2513</v>
      </c>
      <c r="D247" s="113" t="s">
        <v>521</v>
      </c>
      <c r="E247" s="113">
        <v>4600018318</v>
      </c>
      <c r="F247" s="52">
        <v>5001291732</v>
      </c>
      <c r="G247" s="52" t="s">
        <v>1611</v>
      </c>
      <c r="H247" s="52"/>
      <c r="I247" s="114">
        <v>36366.730000000003</v>
      </c>
      <c r="J247" s="52" t="s">
        <v>1206</v>
      </c>
      <c r="K247" s="52"/>
      <c r="L247" s="52"/>
      <c r="M247" s="52"/>
      <c r="N247" s="52"/>
      <c r="O247" s="79" t="s">
        <v>2617</v>
      </c>
      <c r="P247" s="40" t="s">
        <v>980</v>
      </c>
      <c r="Q247" s="93">
        <v>40065</v>
      </c>
    </row>
    <row r="248" spans="1:17" s="31" customFormat="1" ht="127.5" hidden="1">
      <c r="A248" s="52" t="s">
        <v>1870</v>
      </c>
      <c r="B248" s="52" t="s">
        <v>2630</v>
      </c>
      <c r="C248" s="52" t="s">
        <v>2125</v>
      </c>
      <c r="D248" s="52" t="s">
        <v>1750</v>
      </c>
      <c r="E248" s="52">
        <v>4600019141</v>
      </c>
      <c r="F248" s="52" t="s">
        <v>2631</v>
      </c>
      <c r="G248" s="52" t="s">
        <v>1441</v>
      </c>
      <c r="H248" s="52"/>
      <c r="I248" s="114">
        <v>8735.7000000000007</v>
      </c>
      <c r="J248" s="52" t="s">
        <v>1864</v>
      </c>
      <c r="K248" s="52"/>
      <c r="L248" s="52"/>
      <c r="M248" s="52"/>
      <c r="N248" s="52"/>
      <c r="O248" s="79" t="s">
        <v>1358</v>
      </c>
      <c r="P248" s="43" t="s">
        <v>506</v>
      </c>
      <c r="Q248" s="93">
        <v>40066</v>
      </c>
    </row>
    <row r="249" spans="1:17" s="73" customFormat="1" ht="36" hidden="1">
      <c r="A249" s="72"/>
      <c r="B249" s="74" t="s">
        <v>1363</v>
      </c>
      <c r="C249" s="74" t="s">
        <v>896</v>
      </c>
      <c r="D249" s="74" t="s">
        <v>525</v>
      </c>
      <c r="E249" s="74">
        <v>4600019916</v>
      </c>
      <c r="F249" s="116" t="s">
        <v>1364</v>
      </c>
      <c r="G249" s="74">
        <v>5395641350</v>
      </c>
      <c r="H249" s="74"/>
      <c r="I249" s="77">
        <v>6450</v>
      </c>
      <c r="J249" s="74" t="s">
        <v>582</v>
      </c>
      <c r="K249" s="74"/>
      <c r="L249" s="74"/>
      <c r="M249" s="74"/>
      <c r="N249" s="74"/>
      <c r="O249" s="75" t="s">
        <v>1552</v>
      </c>
      <c r="P249" s="153" t="s">
        <v>1080</v>
      </c>
      <c r="Q249" s="82">
        <v>40066</v>
      </c>
    </row>
    <row r="250" spans="1:17" s="73" customFormat="1" ht="36" hidden="1">
      <c r="A250" s="72"/>
      <c r="B250" s="74" t="s">
        <v>1365</v>
      </c>
      <c r="C250" s="74" t="s">
        <v>896</v>
      </c>
      <c r="D250" s="74" t="s">
        <v>525</v>
      </c>
      <c r="E250" s="74">
        <v>4600019916</v>
      </c>
      <c r="F250" s="116" t="s">
        <v>1366</v>
      </c>
      <c r="G250" s="74">
        <v>5533079101</v>
      </c>
      <c r="H250" s="74"/>
      <c r="I250" s="77">
        <v>26650</v>
      </c>
      <c r="J250" s="74" t="s">
        <v>582</v>
      </c>
      <c r="K250" s="74"/>
      <c r="L250" s="74"/>
      <c r="M250" s="74"/>
      <c r="N250" s="74"/>
      <c r="O250" s="75" t="s">
        <v>1514</v>
      </c>
      <c r="P250" s="160" t="s">
        <v>506</v>
      </c>
      <c r="Q250" s="82">
        <v>40065</v>
      </c>
    </row>
    <row r="251" spans="1:17" s="53" customFormat="1" ht="36" hidden="1">
      <c r="A251" s="52"/>
      <c r="B251" s="148" t="s">
        <v>1328</v>
      </c>
      <c r="C251" s="148" t="s">
        <v>841</v>
      </c>
      <c r="D251" s="148" t="s">
        <v>1750</v>
      </c>
      <c r="E251" s="148">
        <v>4600020230</v>
      </c>
      <c r="F251" s="149" t="s">
        <v>1329</v>
      </c>
      <c r="G251" s="148" t="s">
        <v>1330</v>
      </c>
      <c r="H251" s="148"/>
      <c r="I251" s="150">
        <v>31101.84</v>
      </c>
      <c r="J251" s="148" t="s">
        <v>582</v>
      </c>
      <c r="K251" s="148"/>
      <c r="L251" s="148"/>
      <c r="M251" s="148"/>
      <c r="N251" s="148"/>
      <c r="O251" s="164" t="s">
        <v>1551</v>
      </c>
      <c r="P251" s="166" t="s">
        <v>1080</v>
      </c>
      <c r="Q251" s="165">
        <v>40065</v>
      </c>
    </row>
    <row r="252" spans="1:17" s="53" customFormat="1" ht="36" hidden="1">
      <c r="A252" s="52"/>
      <c r="B252" s="148" t="s">
        <v>1553</v>
      </c>
      <c r="C252" s="148" t="s">
        <v>841</v>
      </c>
      <c r="D252" s="148" t="s">
        <v>1750</v>
      </c>
      <c r="E252" s="148">
        <v>4600020287</v>
      </c>
      <c r="F252" s="149" t="s">
        <v>1554</v>
      </c>
      <c r="G252" s="148" t="s">
        <v>2056</v>
      </c>
      <c r="H252" s="148"/>
      <c r="I252" s="150">
        <v>14268.48</v>
      </c>
      <c r="J252" s="148" t="s">
        <v>582</v>
      </c>
      <c r="K252" s="148"/>
      <c r="L252" s="148"/>
      <c r="M252" s="148"/>
      <c r="N252" s="148"/>
      <c r="O252" s="164" t="s">
        <v>1353</v>
      </c>
      <c r="P252" s="166" t="s">
        <v>1080</v>
      </c>
      <c r="Q252" s="165">
        <v>40067</v>
      </c>
    </row>
    <row r="253" spans="1:17" s="53" customFormat="1" ht="24" hidden="1">
      <c r="A253" s="52"/>
      <c r="B253" s="148" t="s">
        <v>217</v>
      </c>
      <c r="C253" s="148" t="s">
        <v>896</v>
      </c>
      <c r="D253" s="148" t="s">
        <v>525</v>
      </c>
      <c r="E253" s="148">
        <v>4600020163</v>
      </c>
      <c r="F253" s="149" t="s">
        <v>1233</v>
      </c>
      <c r="G253" s="148">
        <v>5395729548</v>
      </c>
      <c r="H253" s="148"/>
      <c r="I253" s="150">
        <v>51300</v>
      </c>
      <c r="J253" s="148" t="s">
        <v>582</v>
      </c>
      <c r="K253" s="148"/>
      <c r="L253" s="148"/>
      <c r="M253" s="148"/>
      <c r="N253" s="148"/>
      <c r="O253" s="164" t="s">
        <v>2512</v>
      </c>
      <c r="P253" s="167" t="s">
        <v>980</v>
      </c>
      <c r="Q253" s="165">
        <v>40071</v>
      </c>
    </row>
    <row r="254" spans="1:17" s="53" customFormat="1" ht="48" hidden="1">
      <c r="A254" s="52"/>
      <c r="B254" s="148" t="s">
        <v>2396</v>
      </c>
      <c r="C254" s="148" t="s">
        <v>914</v>
      </c>
      <c r="D254" s="148" t="s">
        <v>775</v>
      </c>
      <c r="E254" s="148">
        <v>4600020487</v>
      </c>
      <c r="F254" s="149" t="s">
        <v>2397</v>
      </c>
      <c r="G254" s="148" t="s">
        <v>2475</v>
      </c>
      <c r="H254" s="148"/>
      <c r="I254" s="150">
        <v>2309.7600000000002</v>
      </c>
      <c r="J254" s="148" t="s">
        <v>582</v>
      </c>
      <c r="K254" s="148"/>
      <c r="L254" s="148"/>
      <c r="M254" s="148"/>
      <c r="N254" s="148"/>
      <c r="O254" s="164" t="s">
        <v>2332</v>
      </c>
      <c r="P254" s="166" t="s">
        <v>1080</v>
      </c>
      <c r="Q254" s="165">
        <v>40071</v>
      </c>
    </row>
    <row r="255" spans="1:17" s="53" customFormat="1" ht="24" hidden="1">
      <c r="A255" s="52"/>
      <c r="B255" s="148" t="s">
        <v>322</v>
      </c>
      <c r="C255" s="148" t="s">
        <v>896</v>
      </c>
      <c r="D255" s="148" t="s">
        <v>525</v>
      </c>
      <c r="E255" s="148">
        <v>4600020288</v>
      </c>
      <c r="F255" s="149" t="s">
        <v>323</v>
      </c>
      <c r="G255" s="148">
        <v>5533081796</v>
      </c>
      <c r="H255" s="148"/>
      <c r="I255" s="150">
        <v>20425</v>
      </c>
      <c r="J255" s="148" t="s">
        <v>582</v>
      </c>
      <c r="K255" s="148"/>
      <c r="L255" s="148"/>
      <c r="M255" s="148"/>
      <c r="N255" s="148"/>
      <c r="O255" s="164" t="s">
        <v>1411</v>
      </c>
      <c r="P255" s="169" t="s">
        <v>506</v>
      </c>
      <c r="Q255" s="165">
        <v>40071</v>
      </c>
    </row>
    <row r="256" spans="1:17" s="53" customFormat="1" ht="24" hidden="1">
      <c r="A256" s="52"/>
      <c r="B256" s="148" t="s">
        <v>324</v>
      </c>
      <c r="C256" s="148" t="s">
        <v>896</v>
      </c>
      <c r="D256" s="148" t="s">
        <v>525</v>
      </c>
      <c r="E256" s="148">
        <v>4600020288</v>
      </c>
      <c r="F256" s="149" t="s">
        <v>325</v>
      </c>
      <c r="G256" s="148">
        <v>5533082357</v>
      </c>
      <c r="H256" s="148"/>
      <c r="I256" s="150">
        <v>65575</v>
      </c>
      <c r="J256" s="148" t="s">
        <v>582</v>
      </c>
      <c r="K256" s="148"/>
      <c r="L256" s="148"/>
      <c r="M256" s="148"/>
      <c r="N256" s="148"/>
      <c r="O256" s="164" t="s">
        <v>1410</v>
      </c>
      <c r="P256" s="169" t="s">
        <v>506</v>
      </c>
      <c r="Q256" s="165">
        <v>40071</v>
      </c>
    </row>
    <row r="257" spans="1:17" customFormat="1" ht="84" hidden="1">
      <c r="A257" s="139"/>
      <c r="B257" s="140" t="s">
        <v>1311</v>
      </c>
      <c r="C257" s="74" t="s">
        <v>570</v>
      </c>
      <c r="D257" s="74" t="s">
        <v>1012</v>
      </c>
      <c r="E257" s="116">
        <v>580000048</v>
      </c>
      <c r="F257" s="116" t="s">
        <v>1312</v>
      </c>
      <c r="G257" s="74" t="s">
        <v>1504</v>
      </c>
      <c r="H257" s="74"/>
      <c r="I257" s="77">
        <v>63590.400000000001</v>
      </c>
      <c r="J257" s="74" t="s">
        <v>582</v>
      </c>
      <c r="K257" s="74"/>
      <c r="L257" s="74"/>
      <c r="M257" s="74"/>
      <c r="N257" s="74"/>
      <c r="O257" s="75" t="s">
        <v>2808</v>
      </c>
      <c r="P257" s="143" t="s">
        <v>506</v>
      </c>
      <c r="Q257" s="145">
        <v>40067</v>
      </c>
    </row>
    <row r="258" spans="1:17" s="31" customFormat="1" ht="153" hidden="1">
      <c r="A258" s="52" t="s">
        <v>1870</v>
      </c>
      <c r="B258" s="52" t="s">
        <v>881</v>
      </c>
      <c r="C258" s="52" t="s">
        <v>2513</v>
      </c>
      <c r="D258" s="52" t="s">
        <v>53</v>
      </c>
      <c r="E258" s="52">
        <v>4600018680</v>
      </c>
      <c r="F258" s="100" t="s">
        <v>882</v>
      </c>
      <c r="G258" s="52">
        <v>614607881</v>
      </c>
      <c r="H258" s="52"/>
      <c r="I258" s="114">
        <v>137887.15</v>
      </c>
      <c r="J258" s="52" t="s">
        <v>1864</v>
      </c>
      <c r="K258" s="52"/>
      <c r="L258" s="52"/>
      <c r="M258" s="52"/>
      <c r="N258" s="52"/>
      <c r="O258" s="79" t="s">
        <v>1229</v>
      </c>
      <c r="P258" s="43" t="s">
        <v>506</v>
      </c>
      <c r="Q258" s="93">
        <v>40068</v>
      </c>
    </row>
    <row r="259" spans="1:17" s="31" customFormat="1" ht="165.75" hidden="1">
      <c r="A259" s="52" t="s">
        <v>1870</v>
      </c>
      <c r="B259" s="113" t="s">
        <v>2886</v>
      </c>
      <c r="C259" s="113" t="s">
        <v>2513</v>
      </c>
      <c r="D259" s="113" t="s">
        <v>521</v>
      </c>
      <c r="E259" s="113">
        <v>4600019021</v>
      </c>
      <c r="F259" s="52">
        <v>5001344547</v>
      </c>
      <c r="G259" s="52" t="s">
        <v>2887</v>
      </c>
      <c r="H259" s="52"/>
      <c r="I259" s="114">
        <v>55463.94</v>
      </c>
      <c r="J259" s="52" t="s">
        <v>1864</v>
      </c>
      <c r="K259" s="52"/>
      <c r="L259" s="52"/>
      <c r="M259" s="52"/>
      <c r="N259" s="52"/>
      <c r="O259" s="79" t="s">
        <v>1619</v>
      </c>
      <c r="P259" s="40" t="s">
        <v>980</v>
      </c>
      <c r="Q259" s="93">
        <v>40068</v>
      </c>
    </row>
    <row r="260" spans="1:17" s="31" customFormat="1" ht="63.75" hidden="1">
      <c r="A260" s="52" t="s">
        <v>1870</v>
      </c>
      <c r="B260" s="113" t="s">
        <v>2314</v>
      </c>
      <c r="C260" s="115" t="s">
        <v>2513</v>
      </c>
      <c r="D260" s="113" t="s">
        <v>521</v>
      </c>
      <c r="E260" s="113">
        <v>4600019019</v>
      </c>
      <c r="F260" s="52">
        <v>5001348513</v>
      </c>
      <c r="G260" s="52" t="s">
        <v>2315</v>
      </c>
      <c r="H260" s="52"/>
      <c r="I260" s="114">
        <v>48329.47</v>
      </c>
      <c r="J260" s="52" t="s">
        <v>1864</v>
      </c>
      <c r="K260" s="52"/>
      <c r="L260" s="52"/>
      <c r="M260" s="52"/>
      <c r="N260" s="52"/>
      <c r="O260" s="32" t="s">
        <v>1028</v>
      </c>
      <c r="P260" s="43" t="s">
        <v>506</v>
      </c>
      <c r="Q260" s="93">
        <v>40070</v>
      </c>
    </row>
    <row r="261" spans="1:17" s="31" customFormat="1" ht="63.75" hidden="1">
      <c r="A261" s="52" t="s">
        <v>1870</v>
      </c>
      <c r="B261" s="113" t="s">
        <v>2316</v>
      </c>
      <c r="C261" s="115" t="s">
        <v>2513</v>
      </c>
      <c r="D261" s="113" t="s">
        <v>521</v>
      </c>
      <c r="E261" s="113">
        <v>4600019022</v>
      </c>
      <c r="F261" s="52">
        <v>5001349302</v>
      </c>
      <c r="G261" s="52" t="s">
        <v>2317</v>
      </c>
      <c r="H261" s="52"/>
      <c r="I261" s="114">
        <v>78892.92</v>
      </c>
      <c r="J261" s="52" t="s">
        <v>1864</v>
      </c>
      <c r="K261" s="52"/>
      <c r="L261" s="52"/>
      <c r="M261" s="52"/>
      <c r="N261" s="52"/>
      <c r="O261" s="32" t="s">
        <v>2395</v>
      </c>
      <c r="P261" s="43" t="s">
        <v>506</v>
      </c>
      <c r="Q261" s="93">
        <v>40072</v>
      </c>
    </row>
    <row r="262" spans="1:17" s="31" customFormat="1" ht="76.5" hidden="1">
      <c r="A262" s="52" t="s">
        <v>1870</v>
      </c>
      <c r="B262" s="113" t="s">
        <v>2693</v>
      </c>
      <c r="C262" s="115" t="s">
        <v>2513</v>
      </c>
      <c r="D262" s="113" t="s">
        <v>521</v>
      </c>
      <c r="E262" s="115" t="s">
        <v>2694</v>
      </c>
      <c r="F262" s="100" t="s">
        <v>2695</v>
      </c>
      <c r="G262" s="52" t="s">
        <v>2696</v>
      </c>
      <c r="H262" s="52"/>
      <c r="I262" s="114">
        <v>46495.55</v>
      </c>
      <c r="J262" s="52" t="s">
        <v>1864</v>
      </c>
      <c r="K262" s="52"/>
      <c r="L262" s="52"/>
      <c r="M262" s="52"/>
      <c r="N262" s="52"/>
      <c r="O262" s="32" t="s">
        <v>981</v>
      </c>
      <c r="P262" s="41" t="s">
        <v>1080</v>
      </c>
      <c r="Q262" s="93">
        <v>40072</v>
      </c>
    </row>
    <row r="263" spans="1:17" s="31" customFormat="1" ht="63.75" hidden="1">
      <c r="A263" s="52" t="s">
        <v>1870</v>
      </c>
      <c r="B263" s="113" t="s">
        <v>1321</v>
      </c>
      <c r="C263" s="115" t="s">
        <v>2513</v>
      </c>
      <c r="D263" s="113" t="s">
        <v>521</v>
      </c>
      <c r="E263" s="115" t="s">
        <v>1322</v>
      </c>
      <c r="F263" s="100" t="s">
        <v>1323</v>
      </c>
      <c r="G263" s="52" t="s">
        <v>1324</v>
      </c>
      <c r="H263" s="52"/>
      <c r="I263" s="114">
        <v>43697.49</v>
      </c>
      <c r="J263" s="52" t="s">
        <v>1864</v>
      </c>
      <c r="K263" s="52"/>
      <c r="L263" s="52"/>
      <c r="M263" s="52"/>
      <c r="N263" s="52"/>
      <c r="O263" s="32" t="s">
        <v>1068</v>
      </c>
      <c r="P263" s="43" t="s">
        <v>506</v>
      </c>
      <c r="Q263" s="93">
        <v>40071</v>
      </c>
    </row>
    <row r="264" spans="1:17" customFormat="1" ht="72" hidden="1">
      <c r="A264" s="139"/>
      <c r="B264" s="140" t="s">
        <v>2811</v>
      </c>
      <c r="C264" s="74" t="s">
        <v>386</v>
      </c>
      <c r="D264" s="74" t="s">
        <v>518</v>
      </c>
      <c r="E264" s="116">
        <v>4800001756</v>
      </c>
      <c r="F264" s="116" t="s">
        <v>2812</v>
      </c>
      <c r="G264" s="74">
        <v>4394604192</v>
      </c>
      <c r="H264" s="74"/>
      <c r="I264" s="77">
        <v>11355</v>
      </c>
      <c r="J264" s="74" t="s">
        <v>519</v>
      </c>
      <c r="K264" s="74"/>
      <c r="L264" s="74"/>
      <c r="M264" s="74"/>
      <c r="N264" s="74"/>
      <c r="O264" s="75" t="s">
        <v>1760</v>
      </c>
      <c r="P264" s="143" t="s">
        <v>506</v>
      </c>
      <c r="Q264" s="145">
        <v>40066</v>
      </c>
    </row>
    <row r="265" spans="1:17" customFormat="1" ht="168" hidden="1">
      <c r="A265" s="139"/>
      <c r="B265" s="140" t="s">
        <v>2473</v>
      </c>
      <c r="C265" s="74" t="s">
        <v>704</v>
      </c>
      <c r="D265" s="74" t="s">
        <v>1750</v>
      </c>
      <c r="E265" s="116">
        <v>4600019956</v>
      </c>
      <c r="F265" s="116" t="s">
        <v>2474</v>
      </c>
      <c r="G265" s="74">
        <v>9085184</v>
      </c>
      <c r="H265" s="74"/>
      <c r="I265" s="77">
        <v>26400</v>
      </c>
      <c r="J265" s="74" t="s">
        <v>519</v>
      </c>
      <c r="K265" s="74"/>
      <c r="L265" s="74"/>
      <c r="M265" s="74"/>
      <c r="N265" s="74"/>
      <c r="O265" s="75" t="s">
        <v>1693</v>
      </c>
      <c r="P265" s="144" t="s">
        <v>980</v>
      </c>
      <c r="Q265" s="145">
        <v>40070</v>
      </c>
    </row>
    <row r="266" spans="1:17" customFormat="1" ht="120" hidden="1">
      <c r="A266" s="139"/>
      <c r="B266" s="140" t="s">
        <v>2533</v>
      </c>
      <c r="C266" s="74" t="s">
        <v>2212</v>
      </c>
      <c r="D266" s="74" t="s">
        <v>1750</v>
      </c>
      <c r="E266" s="116">
        <v>4600019738</v>
      </c>
      <c r="F266" s="116" t="s">
        <v>853</v>
      </c>
      <c r="G266" s="74">
        <v>240194</v>
      </c>
      <c r="H266" s="74"/>
      <c r="I266" s="77">
        <v>5278</v>
      </c>
      <c r="J266" s="74" t="s">
        <v>519</v>
      </c>
      <c r="K266" s="74"/>
      <c r="L266" s="74"/>
      <c r="M266" s="74"/>
      <c r="N266" s="74"/>
      <c r="O266" s="75" t="s">
        <v>2321</v>
      </c>
      <c r="P266" s="143" t="s">
        <v>506</v>
      </c>
      <c r="Q266" s="145">
        <v>40070</v>
      </c>
    </row>
    <row r="267" spans="1:17" s="16" customFormat="1" ht="144" hidden="1">
      <c r="A267" s="146"/>
      <c r="B267" s="147" t="s">
        <v>142</v>
      </c>
      <c r="C267" s="148" t="s">
        <v>2266</v>
      </c>
      <c r="D267" s="148" t="s">
        <v>521</v>
      </c>
      <c r="E267" s="149" t="s">
        <v>143</v>
      </c>
      <c r="F267" s="149" t="s">
        <v>144</v>
      </c>
      <c r="G267" s="148">
        <v>414607929</v>
      </c>
      <c r="H267" s="148"/>
      <c r="I267" s="150">
        <v>1158.0999999999999</v>
      </c>
      <c r="J267" s="148" t="s">
        <v>519</v>
      </c>
      <c r="K267" s="148"/>
      <c r="L267" s="148"/>
      <c r="M267" s="148"/>
      <c r="N267" s="148"/>
      <c r="O267" s="164" t="s">
        <v>1447</v>
      </c>
      <c r="P267" s="170" t="s">
        <v>1080</v>
      </c>
      <c r="Q267" s="133">
        <v>40070</v>
      </c>
    </row>
    <row r="268" spans="1:17" customFormat="1" ht="96" hidden="1">
      <c r="A268" s="139"/>
      <c r="B268" s="140" t="s">
        <v>148</v>
      </c>
      <c r="C268" s="74" t="s">
        <v>900</v>
      </c>
      <c r="D268" s="74" t="s">
        <v>521</v>
      </c>
      <c r="E268" s="116">
        <v>4600019555</v>
      </c>
      <c r="F268" s="116">
        <v>4023250</v>
      </c>
      <c r="G268" s="74">
        <v>414607931</v>
      </c>
      <c r="H268" s="74"/>
      <c r="I268" s="77">
        <v>828</v>
      </c>
      <c r="J268" s="74" t="s">
        <v>519</v>
      </c>
      <c r="K268" s="74"/>
      <c r="L268" s="74"/>
      <c r="M268" s="74"/>
      <c r="N268" s="74"/>
      <c r="O268" s="75" t="s">
        <v>492</v>
      </c>
      <c r="P268" s="143" t="s">
        <v>506</v>
      </c>
      <c r="Q268" s="145">
        <v>40067</v>
      </c>
    </row>
    <row r="269" spans="1:17" customFormat="1" ht="72" hidden="1">
      <c r="A269" s="139"/>
      <c r="B269" s="140" t="s">
        <v>2318</v>
      </c>
      <c r="C269" s="74" t="s">
        <v>2518</v>
      </c>
      <c r="D269" s="74" t="s">
        <v>1750</v>
      </c>
      <c r="E269" s="116">
        <v>4600019757</v>
      </c>
      <c r="F269" s="116">
        <v>20020007951</v>
      </c>
      <c r="G269" s="74" t="s">
        <v>306</v>
      </c>
      <c r="H269" s="74"/>
      <c r="I269" s="77">
        <v>487.2</v>
      </c>
      <c r="J269" s="74" t="s">
        <v>519</v>
      </c>
      <c r="K269" s="74"/>
      <c r="L269" s="74"/>
      <c r="M269" s="74"/>
      <c r="N269" s="74"/>
      <c r="O269" s="75" t="s">
        <v>2946</v>
      </c>
      <c r="P269" s="143" t="s">
        <v>506</v>
      </c>
      <c r="Q269" s="145">
        <v>40066</v>
      </c>
    </row>
    <row r="270" spans="1:17" customFormat="1" ht="48" hidden="1">
      <c r="A270" s="139"/>
      <c r="B270" s="140" t="s">
        <v>1232</v>
      </c>
      <c r="C270" s="74" t="s">
        <v>215</v>
      </c>
      <c r="D270" s="74" t="s">
        <v>216</v>
      </c>
      <c r="E270" s="116">
        <v>4600020316</v>
      </c>
      <c r="F270" s="116">
        <v>23716</v>
      </c>
      <c r="G270" s="74">
        <v>50396</v>
      </c>
      <c r="H270" s="74"/>
      <c r="I270" s="77">
        <v>2723.2</v>
      </c>
      <c r="J270" s="74" t="s">
        <v>519</v>
      </c>
      <c r="K270" s="74"/>
      <c r="L270" s="74"/>
      <c r="M270" s="74"/>
      <c r="N270" s="74"/>
      <c r="O270" s="75" t="s">
        <v>321</v>
      </c>
      <c r="P270" s="143" t="s">
        <v>506</v>
      </c>
      <c r="Q270" s="145">
        <v>40070</v>
      </c>
    </row>
    <row r="271" spans="1:17" customFormat="1" ht="72" hidden="1">
      <c r="A271" s="139"/>
      <c r="B271" s="140" t="s">
        <v>1179</v>
      </c>
      <c r="C271" s="74" t="s">
        <v>524</v>
      </c>
      <c r="D271" s="74" t="s">
        <v>525</v>
      </c>
      <c r="E271" s="116" t="s">
        <v>1180</v>
      </c>
      <c r="F271" s="116" t="s">
        <v>536</v>
      </c>
      <c r="G271" s="74" t="s">
        <v>537</v>
      </c>
      <c r="H271" s="74"/>
      <c r="I271" s="77">
        <v>3847.8</v>
      </c>
      <c r="J271" s="74" t="s">
        <v>519</v>
      </c>
      <c r="K271" s="74"/>
      <c r="L271" s="74"/>
      <c r="M271" s="74"/>
      <c r="N271" s="74"/>
      <c r="O271" s="75" t="s">
        <v>2858</v>
      </c>
      <c r="P271" s="143" t="s">
        <v>506</v>
      </c>
      <c r="Q271" s="145">
        <v>40071</v>
      </c>
    </row>
    <row r="272" spans="1:17" customFormat="1" ht="60" hidden="1">
      <c r="A272" s="139"/>
      <c r="B272" s="140" t="s">
        <v>326</v>
      </c>
      <c r="C272" s="74" t="s">
        <v>841</v>
      </c>
      <c r="D272" s="74" t="s">
        <v>1750</v>
      </c>
      <c r="E272" s="116">
        <v>4600020521</v>
      </c>
      <c r="F272" s="116" t="s">
        <v>444</v>
      </c>
      <c r="G272" s="168" t="s">
        <v>445</v>
      </c>
      <c r="H272" s="168"/>
      <c r="I272" s="77">
        <v>5554.08</v>
      </c>
      <c r="J272" s="74" t="s">
        <v>519</v>
      </c>
      <c r="K272" s="74"/>
      <c r="L272" s="74"/>
      <c r="M272" s="74"/>
      <c r="N272" s="74"/>
      <c r="O272" s="75" t="s">
        <v>689</v>
      </c>
      <c r="P272" s="143" t="s">
        <v>506</v>
      </c>
      <c r="Q272" s="145">
        <v>40071</v>
      </c>
    </row>
    <row r="273" spans="1:17" customFormat="1" ht="156" hidden="1">
      <c r="A273" s="139"/>
      <c r="B273" s="140" t="s">
        <v>484</v>
      </c>
      <c r="C273" s="74" t="s">
        <v>570</v>
      </c>
      <c r="D273" s="74" t="s">
        <v>1012</v>
      </c>
      <c r="E273" s="116">
        <v>5800000049</v>
      </c>
      <c r="F273" s="116" t="s">
        <v>1721</v>
      </c>
      <c r="G273" s="74" t="s">
        <v>486</v>
      </c>
      <c r="H273" s="74"/>
      <c r="I273" s="77">
        <v>768267.36</v>
      </c>
      <c r="J273" s="74" t="s">
        <v>1864</v>
      </c>
      <c r="K273" s="74"/>
      <c r="L273" s="74"/>
      <c r="M273" s="74"/>
      <c r="N273" s="74"/>
      <c r="O273" s="163" t="s">
        <v>1426</v>
      </c>
      <c r="P273" s="143" t="s">
        <v>506</v>
      </c>
      <c r="Q273" s="145">
        <v>40073</v>
      </c>
    </row>
    <row r="274" spans="1:17" s="53" customFormat="1" ht="36" hidden="1">
      <c r="A274" s="52"/>
      <c r="B274" s="148" t="s">
        <v>111</v>
      </c>
      <c r="C274" s="148" t="s">
        <v>2649</v>
      </c>
      <c r="D274" s="148" t="s">
        <v>525</v>
      </c>
      <c r="E274" s="148">
        <v>4600020431</v>
      </c>
      <c r="F274" s="149" t="s">
        <v>2127</v>
      </c>
      <c r="G274" s="148" t="s">
        <v>112</v>
      </c>
      <c r="H274" s="148"/>
      <c r="I274" s="150">
        <v>96120</v>
      </c>
      <c r="J274" s="148" t="s">
        <v>582</v>
      </c>
      <c r="K274" s="148"/>
      <c r="L274" s="148"/>
      <c r="M274" s="148"/>
      <c r="N274" s="148"/>
      <c r="O274" s="164" t="s">
        <v>1427</v>
      </c>
      <c r="P274" s="169" t="s">
        <v>506</v>
      </c>
      <c r="Q274" s="165">
        <v>40073</v>
      </c>
    </row>
    <row r="275" spans="1:17" s="53" customFormat="1" ht="36" hidden="1">
      <c r="A275" s="52"/>
      <c r="B275" s="148" t="s">
        <v>2410</v>
      </c>
      <c r="C275" s="148" t="s">
        <v>841</v>
      </c>
      <c r="D275" s="148" t="s">
        <v>1750</v>
      </c>
      <c r="E275" s="149" t="s">
        <v>2411</v>
      </c>
      <c r="F275" s="149" t="s">
        <v>2412</v>
      </c>
      <c r="G275" s="148" t="s">
        <v>2413</v>
      </c>
      <c r="H275" s="148"/>
      <c r="I275" s="150">
        <v>45239.040000000001</v>
      </c>
      <c r="J275" s="148" t="s">
        <v>582</v>
      </c>
      <c r="K275" s="148"/>
      <c r="L275" s="148"/>
      <c r="M275" s="148"/>
      <c r="N275" s="148"/>
      <c r="O275" s="164" t="s">
        <v>2081</v>
      </c>
      <c r="P275" s="169" t="s">
        <v>506</v>
      </c>
      <c r="Q275" s="165">
        <v>40072</v>
      </c>
    </row>
    <row r="276" spans="1:17" s="53" customFormat="1" ht="36" hidden="1">
      <c r="A276" s="52"/>
      <c r="B276" s="148" t="s">
        <v>2270</v>
      </c>
      <c r="C276" s="148" t="s">
        <v>841</v>
      </c>
      <c r="D276" s="148" t="s">
        <v>1750</v>
      </c>
      <c r="E276" s="149">
        <v>4600020541</v>
      </c>
      <c r="F276" s="149" t="s">
        <v>2271</v>
      </c>
      <c r="G276" s="148" t="s">
        <v>2056</v>
      </c>
      <c r="H276" s="148"/>
      <c r="I276" s="150">
        <v>10204.08</v>
      </c>
      <c r="J276" s="148" t="s">
        <v>582</v>
      </c>
      <c r="K276" s="148"/>
      <c r="L276" s="148"/>
      <c r="M276" s="148"/>
      <c r="N276" s="148"/>
      <c r="O276" s="164" t="s">
        <v>422</v>
      </c>
      <c r="P276" s="166" t="s">
        <v>1080</v>
      </c>
      <c r="Q276" s="165">
        <v>40075</v>
      </c>
    </row>
    <row r="277" spans="1:17" s="53" customFormat="1" ht="60" hidden="1">
      <c r="A277" s="52"/>
      <c r="B277" s="148" t="s">
        <v>2618</v>
      </c>
      <c r="C277" s="148" t="s">
        <v>178</v>
      </c>
      <c r="D277" s="148" t="s">
        <v>1750</v>
      </c>
      <c r="E277" s="149">
        <v>4600020540</v>
      </c>
      <c r="F277" s="149" t="s">
        <v>2064</v>
      </c>
      <c r="G277" s="148" t="s">
        <v>1183</v>
      </c>
      <c r="H277" s="148"/>
      <c r="I277" s="150">
        <v>4404.3999999999996</v>
      </c>
      <c r="J277" s="148" t="s">
        <v>582</v>
      </c>
      <c r="K277" s="148"/>
      <c r="L277" s="148"/>
      <c r="M277" s="148"/>
      <c r="N277" s="148"/>
      <c r="O277" s="164" t="s">
        <v>2888</v>
      </c>
      <c r="P277" s="166" t="s">
        <v>1080</v>
      </c>
      <c r="Q277" s="165">
        <v>40075</v>
      </c>
    </row>
    <row r="278" spans="1:17" s="53" customFormat="1" ht="24" hidden="1">
      <c r="A278" s="52"/>
      <c r="B278" s="148" t="s">
        <v>1428</v>
      </c>
      <c r="C278" s="148" t="s">
        <v>896</v>
      </c>
      <c r="D278" s="148" t="s">
        <v>525</v>
      </c>
      <c r="E278" s="149">
        <v>4600020561</v>
      </c>
      <c r="F278" s="149" t="s">
        <v>2499</v>
      </c>
      <c r="G278" s="148">
        <v>5395729372</v>
      </c>
      <c r="H278" s="148"/>
      <c r="I278" s="150">
        <v>58050</v>
      </c>
      <c r="J278" s="148" t="s">
        <v>582</v>
      </c>
      <c r="K278" s="148"/>
      <c r="L278" s="148"/>
      <c r="M278" s="148"/>
      <c r="N278" s="148"/>
      <c r="O278" s="164" t="s">
        <v>2736</v>
      </c>
      <c r="P278" s="169" t="s">
        <v>506</v>
      </c>
      <c r="Q278" s="165">
        <v>40075</v>
      </c>
    </row>
    <row r="279" spans="1:17" s="53" customFormat="1" ht="36" hidden="1">
      <c r="A279" s="52"/>
      <c r="B279" s="148" t="s">
        <v>1675</v>
      </c>
      <c r="C279" s="148" t="s">
        <v>896</v>
      </c>
      <c r="D279" s="148" t="s">
        <v>2896</v>
      </c>
      <c r="E279" s="149">
        <v>4800001939</v>
      </c>
      <c r="F279" s="149" t="s">
        <v>1676</v>
      </c>
      <c r="G279" s="148">
        <v>5391638604</v>
      </c>
      <c r="H279" s="148"/>
      <c r="I279" s="150">
        <v>225000</v>
      </c>
      <c r="J279" s="148" t="s">
        <v>582</v>
      </c>
      <c r="K279" s="148"/>
      <c r="L279" s="148"/>
      <c r="M279" s="148"/>
      <c r="N279" s="148"/>
      <c r="O279" s="164" t="s">
        <v>153</v>
      </c>
      <c r="P279" s="169" t="s">
        <v>506</v>
      </c>
      <c r="Q279" s="165">
        <v>40075</v>
      </c>
    </row>
    <row r="280" spans="1:17" s="53" customFormat="1" ht="48" hidden="1">
      <c r="A280" s="52"/>
      <c r="B280" s="148" t="s">
        <v>1677</v>
      </c>
      <c r="C280" s="148" t="s">
        <v>841</v>
      </c>
      <c r="D280" s="148" t="s">
        <v>1750</v>
      </c>
      <c r="E280" s="149">
        <v>4600020622</v>
      </c>
      <c r="F280" s="149" t="s">
        <v>289</v>
      </c>
      <c r="G280" s="148" t="s">
        <v>1330</v>
      </c>
      <c r="H280" s="148"/>
      <c r="I280" s="150">
        <v>5947.2</v>
      </c>
      <c r="J280" s="148" t="s">
        <v>582</v>
      </c>
      <c r="K280" s="148"/>
      <c r="L280" s="148"/>
      <c r="M280" s="148"/>
      <c r="N280" s="148"/>
      <c r="O280" s="164" t="s">
        <v>2457</v>
      </c>
      <c r="P280" s="166" t="s">
        <v>1080</v>
      </c>
      <c r="Q280" s="165">
        <v>40079</v>
      </c>
    </row>
    <row r="281" spans="1:17" s="53" customFormat="1" ht="48" hidden="1">
      <c r="A281" s="52"/>
      <c r="B281" s="148" t="s">
        <v>288</v>
      </c>
      <c r="C281" s="148" t="s">
        <v>841</v>
      </c>
      <c r="D281" s="148" t="s">
        <v>1750</v>
      </c>
      <c r="E281" s="149">
        <v>4600020623</v>
      </c>
      <c r="F281" s="149" t="s">
        <v>290</v>
      </c>
      <c r="G281" s="148" t="s">
        <v>2413</v>
      </c>
      <c r="H281" s="148"/>
      <c r="I281" s="150">
        <v>10407.6</v>
      </c>
      <c r="J281" s="148" t="s">
        <v>582</v>
      </c>
      <c r="K281" s="148"/>
      <c r="L281" s="148"/>
      <c r="M281" s="148"/>
      <c r="N281" s="148"/>
      <c r="O281" s="164" t="s">
        <v>856</v>
      </c>
      <c r="P281" s="166" t="s">
        <v>1080</v>
      </c>
      <c r="Q281" s="165">
        <v>40079</v>
      </c>
    </row>
    <row r="282" spans="1:17" s="53" customFormat="1" ht="36" hidden="1">
      <c r="A282" s="52"/>
      <c r="B282" s="148" t="s">
        <v>291</v>
      </c>
      <c r="C282" s="148" t="s">
        <v>841</v>
      </c>
      <c r="D282" s="148" t="s">
        <v>1750</v>
      </c>
      <c r="E282" s="149">
        <v>4600020542</v>
      </c>
      <c r="F282" s="149" t="s">
        <v>292</v>
      </c>
      <c r="G282" s="148" t="s">
        <v>293</v>
      </c>
      <c r="H282" s="148"/>
      <c r="I282" s="150">
        <v>20910</v>
      </c>
      <c r="J282" s="148" t="s">
        <v>582</v>
      </c>
      <c r="K282" s="148"/>
      <c r="L282" s="148"/>
      <c r="M282" s="148"/>
      <c r="N282" s="148"/>
      <c r="O282" s="164" t="s">
        <v>2554</v>
      </c>
      <c r="P282" s="166" t="s">
        <v>1080</v>
      </c>
      <c r="Q282" s="165">
        <v>40079</v>
      </c>
    </row>
    <row r="283" spans="1:17" s="53" customFormat="1" ht="36" hidden="1">
      <c r="A283" s="52"/>
      <c r="B283" s="148" t="s">
        <v>294</v>
      </c>
      <c r="C283" s="148" t="s">
        <v>896</v>
      </c>
      <c r="D283" s="148" t="s">
        <v>525</v>
      </c>
      <c r="E283" s="149">
        <v>4600020553</v>
      </c>
      <c r="F283" s="149" t="s">
        <v>2585</v>
      </c>
      <c r="G283" s="148">
        <v>5395641350</v>
      </c>
      <c r="H283" s="148"/>
      <c r="I283" s="150">
        <v>33325</v>
      </c>
      <c r="J283" s="148" t="s">
        <v>582</v>
      </c>
      <c r="K283" s="148"/>
      <c r="L283" s="148"/>
      <c r="M283" s="148"/>
      <c r="N283" s="148"/>
      <c r="O283" s="164" t="s">
        <v>2554</v>
      </c>
      <c r="P283" s="166" t="s">
        <v>1080</v>
      </c>
      <c r="Q283" s="165">
        <v>40081</v>
      </c>
    </row>
    <row r="284" spans="1:17" s="53" customFormat="1" ht="36" hidden="1">
      <c r="A284" s="52"/>
      <c r="B284" s="148" t="s">
        <v>2555</v>
      </c>
      <c r="C284" s="148" t="s">
        <v>2518</v>
      </c>
      <c r="D284" s="148" t="s">
        <v>1750</v>
      </c>
      <c r="E284" s="149">
        <v>46000020710</v>
      </c>
      <c r="F284" s="149" t="s">
        <v>2556</v>
      </c>
      <c r="G284" s="148" t="s">
        <v>1349</v>
      </c>
      <c r="H284" s="148"/>
      <c r="I284" s="150">
        <v>7454.4</v>
      </c>
      <c r="J284" s="148" t="s">
        <v>582</v>
      </c>
      <c r="K284" s="148"/>
      <c r="L284" s="148"/>
      <c r="M284" s="148"/>
      <c r="N284" s="148"/>
      <c r="O284" s="164" t="s">
        <v>562</v>
      </c>
      <c r="P284" s="166" t="s">
        <v>1080</v>
      </c>
      <c r="Q284" s="165">
        <v>40080</v>
      </c>
    </row>
    <row r="285" spans="1:17" s="53" customFormat="1" ht="24" hidden="1">
      <c r="A285" s="52"/>
      <c r="B285" s="148" t="s">
        <v>2557</v>
      </c>
      <c r="C285" s="148" t="s">
        <v>2518</v>
      </c>
      <c r="D285" s="148" t="s">
        <v>1750</v>
      </c>
      <c r="E285" s="149">
        <v>46000020710</v>
      </c>
      <c r="F285" s="149" t="s">
        <v>2200</v>
      </c>
      <c r="G285" s="148" t="s">
        <v>2467</v>
      </c>
      <c r="H285" s="148"/>
      <c r="I285" s="150">
        <v>4017.6</v>
      </c>
      <c r="J285" s="148" t="s">
        <v>582</v>
      </c>
      <c r="K285" s="148"/>
      <c r="L285" s="148"/>
      <c r="M285" s="148"/>
      <c r="N285" s="148"/>
      <c r="O285" s="164" t="s">
        <v>2131</v>
      </c>
      <c r="P285" s="166" t="s">
        <v>1080</v>
      </c>
      <c r="Q285" s="165">
        <v>40080</v>
      </c>
    </row>
    <row r="286" spans="1:17" s="53" customFormat="1" ht="24" hidden="1">
      <c r="A286" s="52"/>
      <c r="B286" s="148" t="s">
        <v>2132</v>
      </c>
      <c r="C286" s="148" t="s">
        <v>841</v>
      </c>
      <c r="D286" s="148" t="s">
        <v>1750</v>
      </c>
      <c r="E286" s="149">
        <v>4600020709</v>
      </c>
      <c r="F286" s="149" t="s">
        <v>2133</v>
      </c>
      <c r="G286" s="148" t="s">
        <v>1330</v>
      </c>
      <c r="H286" s="148"/>
      <c r="I286" s="150">
        <v>1301.44</v>
      </c>
      <c r="J286" s="148" t="s">
        <v>582</v>
      </c>
      <c r="K286" s="148"/>
      <c r="L286" s="148"/>
      <c r="M286" s="148"/>
      <c r="N286" s="148"/>
      <c r="O286" s="164" t="s">
        <v>2768</v>
      </c>
      <c r="P286" s="166" t="s">
        <v>1080</v>
      </c>
      <c r="Q286" s="165">
        <v>40084</v>
      </c>
    </row>
    <row r="287" spans="1:17" s="53" customFormat="1" ht="24" hidden="1">
      <c r="A287" s="52"/>
      <c r="B287" s="148" t="s">
        <v>2134</v>
      </c>
      <c r="C287" s="148" t="s">
        <v>841</v>
      </c>
      <c r="D287" s="148" t="s">
        <v>1750</v>
      </c>
      <c r="E287" s="149">
        <v>4600020709</v>
      </c>
      <c r="F287" s="149" t="s">
        <v>2135</v>
      </c>
      <c r="G287" s="148">
        <v>801291253</v>
      </c>
      <c r="H287" s="148"/>
      <c r="I287" s="150">
        <v>175.56</v>
      </c>
      <c r="J287" s="148" t="s">
        <v>582</v>
      </c>
      <c r="K287" s="148"/>
      <c r="L287" s="148"/>
      <c r="M287" s="148"/>
      <c r="N287" s="148"/>
      <c r="O287" s="164" t="s">
        <v>1226</v>
      </c>
      <c r="P287" s="169" t="s">
        <v>506</v>
      </c>
      <c r="Q287" s="165">
        <v>40081</v>
      </c>
    </row>
    <row r="288" spans="1:17" s="53" customFormat="1" ht="24" hidden="1">
      <c r="A288" s="52"/>
      <c r="B288" s="148" t="s">
        <v>2136</v>
      </c>
      <c r="C288" s="148" t="s">
        <v>841</v>
      </c>
      <c r="D288" s="148" t="s">
        <v>1750</v>
      </c>
      <c r="E288" s="149">
        <v>4600020707</v>
      </c>
      <c r="F288" s="149" t="s">
        <v>2137</v>
      </c>
      <c r="G288" s="148" t="s">
        <v>293</v>
      </c>
      <c r="H288" s="148"/>
      <c r="I288" s="150">
        <v>19237.2</v>
      </c>
      <c r="J288" s="148" t="s">
        <v>582</v>
      </c>
      <c r="K288" s="148"/>
      <c r="L288" s="148"/>
      <c r="M288" s="148"/>
      <c r="N288" s="148"/>
      <c r="O288" s="164" t="s">
        <v>2768</v>
      </c>
      <c r="P288" s="166" t="s">
        <v>1080</v>
      </c>
      <c r="Q288" s="165">
        <v>40084</v>
      </c>
    </row>
    <row r="289" spans="1:17" s="53" customFormat="1" ht="24" hidden="1">
      <c r="A289" s="52"/>
      <c r="B289" s="148" t="s">
        <v>2138</v>
      </c>
      <c r="C289" s="148" t="s">
        <v>2518</v>
      </c>
      <c r="D289" s="148" t="s">
        <v>1750</v>
      </c>
      <c r="E289" s="149">
        <v>4600020740</v>
      </c>
      <c r="F289" s="149" t="s">
        <v>2139</v>
      </c>
      <c r="G289" s="148" t="s">
        <v>1349</v>
      </c>
      <c r="H289" s="148"/>
      <c r="I289" s="150">
        <v>38008</v>
      </c>
      <c r="J289" s="148" t="s">
        <v>582</v>
      </c>
      <c r="K289" s="148"/>
      <c r="L289" s="148"/>
      <c r="M289" s="148"/>
      <c r="N289" s="148"/>
      <c r="O289" s="164" t="s">
        <v>2768</v>
      </c>
      <c r="P289" s="166" t="s">
        <v>1080</v>
      </c>
      <c r="Q289" s="165">
        <v>40084</v>
      </c>
    </row>
    <row r="290" spans="1:17" s="53" customFormat="1" ht="24" hidden="1">
      <c r="A290" s="52"/>
      <c r="B290" s="148" t="s">
        <v>2140</v>
      </c>
      <c r="C290" s="148" t="s">
        <v>2649</v>
      </c>
      <c r="D290" s="148" t="s">
        <v>525</v>
      </c>
      <c r="E290" s="149">
        <v>4600020559</v>
      </c>
      <c r="F290" s="149" t="s">
        <v>2141</v>
      </c>
      <c r="G290" s="148" t="s">
        <v>2142</v>
      </c>
      <c r="H290" s="148"/>
      <c r="I290" s="150">
        <v>103680</v>
      </c>
      <c r="J290" s="148" t="s">
        <v>582</v>
      </c>
      <c r="K290" s="148"/>
      <c r="L290" s="148"/>
      <c r="M290" s="148"/>
      <c r="N290" s="148"/>
      <c r="O290" s="164" t="s">
        <v>2768</v>
      </c>
      <c r="P290" s="166" t="s">
        <v>1080</v>
      </c>
      <c r="Q290" s="165">
        <v>40084</v>
      </c>
    </row>
    <row r="291" spans="1:17" customFormat="1" ht="192" hidden="1">
      <c r="A291" s="139"/>
      <c r="B291" s="140" t="s">
        <v>485</v>
      </c>
      <c r="C291" s="74" t="s">
        <v>570</v>
      </c>
      <c r="D291" s="74" t="s">
        <v>1012</v>
      </c>
      <c r="E291" s="116">
        <v>5800000050</v>
      </c>
      <c r="F291" s="116" t="s">
        <v>1018</v>
      </c>
      <c r="G291" s="74" t="s">
        <v>2594</v>
      </c>
      <c r="H291" s="74"/>
      <c r="I291" s="77">
        <v>300372</v>
      </c>
      <c r="J291" s="74" t="s">
        <v>1864</v>
      </c>
      <c r="K291" s="74"/>
      <c r="L291" s="74"/>
      <c r="M291" s="74"/>
      <c r="N291" s="74"/>
      <c r="O291" s="163" t="s">
        <v>2268</v>
      </c>
      <c r="P291" s="144" t="s">
        <v>980</v>
      </c>
      <c r="Q291" s="145">
        <v>40079</v>
      </c>
    </row>
    <row r="292" spans="1:17" customFormat="1" ht="60" hidden="1">
      <c r="A292" s="139"/>
      <c r="B292" s="140" t="s">
        <v>2398</v>
      </c>
      <c r="C292" s="74" t="s">
        <v>570</v>
      </c>
      <c r="D292" s="74" t="s">
        <v>1012</v>
      </c>
      <c r="E292" s="116">
        <v>580000051</v>
      </c>
      <c r="F292" s="116" t="s">
        <v>2399</v>
      </c>
      <c r="G292" s="74" t="s">
        <v>2400</v>
      </c>
      <c r="H292" s="74"/>
      <c r="I292" s="77">
        <v>36633.599999999999</v>
      </c>
      <c r="J292" s="74" t="s">
        <v>582</v>
      </c>
      <c r="K292" s="74"/>
      <c r="L292" s="74"/>
      <c r="M292" s="74"/>
      <c r="N292" s="74"/>
      <c r="O292" s="164" t="s">
        <v>35</v>
      </c>
      <c r="P292" s="143" t="s">
        <v>506</v>
      </c>
      <c r="Q292" s="145">
        <v>40072</v>
      </c>
    </row>
    <row r="293" spans="1:17" customFormat="1" ht="60" hidden="1">
      <c r="A293" s="139"/>
      <c r="B293" s="140" t="s">
        <v>2500</v>
      </c>
      <c r="C293" s="74" t="s">
        <v>570</v>
      </c>
      <c r="D293" s="74" t="s">
        <v>1012</v>
      </c>
      <c r="E293" s="116">
        <v>580000052</v>
      </c>
      <c r="F293" s="116" t="s">
        <v>2501</v>
      </c>
      <c r="G293" s="74" t="s">
        <v>2502</v>
      </c>
      <c r="H293" s="74"/>
      <c r="I293" s="77">
        <v>95385.600000000006</v>
      </c>
      <c r="J293" s="74" t="s">
        <v>582</v>
      </c>
      <c r="K293" s="74"/>
      <c r="L293" s="74"/>
      <c r="M293" s="74"/>
      <c r="N293" s="74"/>
      <c r="O293" s="164" t="s">
        <v>1512</v>
      </c>
      <c r="P293" s="143" t="s">
        <v>506</v>
      </c>
      <c r="Q293" s="145">
        <v>40079</v>
      </c>
    </row>
    <row r="294" spans="1:17" customFormat="1" ht="60" hidden="1">
      <c r="A294" s="139"/>
      <c r="B294" s="140" t="s">
        <v>2827</v>
      </c>
      <c r="C294" s="74" t="s">
        <v>570</v>
      </c>
      <c r="D294" s="74" t="s">
        <v>1012</v>
      </c>
      <c r="E294" s="116">
        <v>580000053</v>
      </c>
      <c r="F294" s="116" t="s">
        <v>2828</v>
      </c>
      <c r="G294" s="74" t="s">
        <v>2829</v>
      </c>
      <c r="H294" s="74"/>
      <c r="I294" s="77">
        <v>5852</v>
      </c>
      <c r="J294" s="74" t="s">
        <v>582</v>
      </c>
      <c r="K294" s="74"/>
      <c r="L294" s="74"/>
      <c r="M294" s="74"/>
      <c r="N294" s="74"/>
      <c r="O294" s="164" t="s">
        <v>1689</v>
      </c>
      <c r="P294" s="143" t="s">
        <v>506</v>
      </c>
      <c r="Q294" s="145">
        <v>40080</v>
      </c>
    </row>
    <row r="295" spans="1:17" customFormat="1" ht="72" hidden="1">
      <c r="A295" s="139"/>
      <c r="B295" s="140" t="s">
        <v>2562</v>
      </c>
      <c r="C295" s="74" t="s">
        <v>570</v>
      </c>
      <c r="D295" s="74" t="s">
        <v>1012</v>
      </c>
      <c r="E295" s="116">
        <v>580000053</v>
      </c>
      <c r="F295" s="116" t="s">
        <v>2563</v>
      </c>
      <c r="G295" s="74" t="s">
        <v>2564</v>
      </c>
      <c r="H295" s="74"/>
      <c r="I295" s="77">
        <v>12425</v>
      </c>
      <c r="J295" s="74" t="s">
        <v>582</v>
      </c>
      <c r="K295" s="74"/>
      <c r="L295" s="74"/>
      <c r="M295" s="74"/>
      <c r="N295" s="74"/>
      <c r="O295" s="164" t="s">
        <v>1118</v>
      </c>
      <c r="P295" s="143" t="s">
        <v>506</v>
      </c>
      <c r="Q295" s="145">
        <v>40080</v>
      </c>
    </row>
    <row r="296" spans="1:17" customFormat="1" ht="48" hidden="1">
      <c r="A296" s="139"/>
      <c r="B296" s="140" t="s">
        <v>2830</v>
      </c>
      <c r="C296" s="74" t="s">
        <v>570</v>
      </c>
      <c r="D296" s="74" t="s">
        <v>1012</v>
      </c>
      <c r="E296" s="116">
        <v>580000053</v>
      </c>
      <c r="F296" s="116" t="s">
        <v>1698</v>
      </c>
      <c r="G296" s="74" t="s">
        <v>1699</v>
      </c>
      <c r="H296" s="74"/>
      <c r="I296" s="77">
        <v>6965</v>
      </c>
      <c r="J296" s="74" t="s">
        <v>582</v>
      </c>
      <c r="K296" s="74"/>
      <c r="L296" s="74"/>
      <c r="M296" s="74"/>
      <c r="N296" s="74"/>
      <c r="O296" s="164" t="s">
        <v>666</v>
      </c>
      <c r="P296" s="143" t="s">
        <v>506</v>
      </c>
      <c r="Q296" s="145">
        <v>40080</v>
      </c>
    </row>
    <row r="297" spans="1:17" customFormat="1" ht="60" hidden="1">
      <c r="A297" s="139"/>
      <c r="B297" s="140" t="s">
        <v>295</v>
      </c>
      <c r="C297" s="74" t="s">
        <v>570</v>
      </c>
      <c r="D297" s="74" t="s">
        <v>1012</v>
      </c>
      <c r="E297" s="116">
        <v>580000054</v>
      </c>
      <c r="F297" s="116" t="s">
        <v>1567</v>
      </c>
      <c r="G297" s="74" t="s">
        <v>1568</v>
      </c>
      <c r="H297" s="74"/>
      <c r="I297" s="77">
        <v>209132.79999999999</v>
      </c>
      <c r="J297" s="74" t="s">
        <v>582</v>
      </c>
      <c r="K297" s="74"/>
      <c r="L297" s="74"/>
      <c r="M297" s="74"/>
      <c r="N297" s="74"/>
      <c r="O297" s="164" t="s">
        <v>1563</v>
      </c>
      <c r="P297" s="143" t="s">
        <v>506</v>
      </c>
      <c r="Q297" s="145">
        <v>40080</v>
      </c>
    </row>
    <row r="298" spans="1:17" customFormat="1" ht="60" hidden="1">
      <c r="A298" s="139"/>
      <c r="B298" s="140" t="s">
        <v>1578</v>
      </c>
      <c r="C298" s="74" t="s">
        <v>570</v>
      </c>
      <c r="D298" s="74" t="s">
        <v>1012</v>
      </c>
      <c r="E298" s="116">
        <v>580000046</v>
      </c>
      <c r="F298" s="116" t="s">
        <v>1579</v>
      </c>
      <c r="G298" s="168" t="s">
        <v>2258</v>
      </c>
      <c r="H298" s="168"/>
      <c r="I298" s="77">
        <v>18900</v>
      </c>
      <c r="J298" s="74" t="s">
        <v>582</v>
      </c>
      <c r="K298" s="74"/>
      <c r="L298" s="74"/>
      <c r="M298" s="74"/>
      <c r="N298" s="74"/>
      <c r="O298" s="164" t="s">
        <v>2235</v>
      </c>
      <c r="P298" s="143" t="s">
        <v>506</v>
      </c>
      <c r="Q298" s="145">
        <v>40080</v>
      </c>
    </row>
    <row r="299" spans="1:17" customFormat="1" ht="120" hidden="1">
      <c r="A299" s="139"/>
      <c r="B299" s="140" t="s">
        <v>1732</v>
      </c>
      <c r="C299" s="74" t="s">
        <v>1863</v>
      </c>
      <c r="D299" s="74" t="s">
        <v>53</v>
      </c>
      <c r="E299" s="116">
        <v>4600019052</v>
      </c>
      <c r="F299" s="116" t="s">
        <v>1733</v>
      </c>
      <c r="G299" s="74" t="s">
        <v>1276</v>
      </c>
      <c r="H299" s="74"/>
      <c r="I299" s="77">
        <v>156348</v>
      </c>
      <c r="J299" s="74" t="s">
        <v>519</v>
      </c>
      <c r="K299" s="74"/>
      <c r="L299" s="74"/>
      <c r="M299" s="74"/>
      <c r="N299" s="74"/>
      <c r="O299" s="75" t="s">
        <v>483</v>
      </c>
      <c r="P299" s="143" t="s">
        <v>506</v>
      </c>
      <c r="Q299" s="145">
        <v>40079</v>
      </c>
    </row>
    <row r="300" spans="1:17" customFormat="1" ht="144" hidden="1">
      <c r="A300" s="139"/>
      <c r="B300" s="140" t="s">
        <v>1274</v>
      </c>
      <c r="C300" s="74" t="s">
        <v>1275</v>
      </c>
      <c r="D300" s="74" t="s">
        <v>521</v>
      </c>
      <c r="E300" s="116">
        <v>4600019451</v>
      </c>
      <c r="F300" s="116">
        <v>94135803</v>
      </c>
      <c r="G300" s="74" t="s">
        <v>1277</v>
      </c>
      <c r="H300" s="74"/>
      <c r="I300" s="77">
        <v>11690.78</v>
      </c>
      <c r="J300" s="74" t="s">
        <v>519</v>
      </c>
      <c r="K300" s="74"/>
      <c r="L300" s="74"/>
      <c r="M300" s="74"/>
      <c r="N300" s="74"/>
      <c r="O300" s="75" t="s">
        <v>902</v>
      </c>
      <c r="P300" s="171" t="s">
        <v>1080</v>
      </c>
      <c r="Q300" s="145">
        <v>40080</v>
      </c>
    </row>
    <row r="301" spans="1:17" customFormat="1" ht="156" hidden="1">
      <c r="A301" s="139"/>
      <c r="B301" s="140" t="s">
        <v>2849</v>
      </c>
      <c r="C301" s="74" t="s">
        <v>1863</v>
      </c>
      <c r="D301" s="74" t="s">
        <v>521</v>
      </c>
      <c r="E301" s="116">
        <v>4600019276</v>
      </c>
      <c r="F301" s="116" t="s">
        <v>2850</v>
      </c>
      <c r="G301" s="74" t="s">
        <v>2532</v>
      </c>
      <c r="H301" s="74"/>
      <c r="I301" s="77">
        <v>54937.8</v>
      </c>
      <c r="J301" s="74" t="s">
        <v>519</v>
      </c>
      <c r="K301" s="74"/>
      <c r="L301" s="74"/>
      <c r="M301" s="74"/>
      <c r="N301" s="74"/>
      <c r="O301" s="75" t="s">
        <v>1672</v>
      </c>
      <c r="P301" s="143" t="s">
        <v>506</v>
      </c>
      <c r="Q301" s="145">
        <v>40075</v>
      </c>
    </row>
    <row r="302" spans="1:17" customFormat="1" ht="120" hidden="1">
      <c r="A302" s="139"/>
      <c r="B302" s="140" t="s">
        <v>149</v>
      </c>
      <c r="C302" s="74" t="s">
        <v>150</v>
      </c>
      <c r="D302" s="74" t="s">
        <v>521</v>
      </c>
      <c r="E302" s="116">
        <v>4600019980</v>
      </c>
      <c r="F302" s="116" t="s">
        <v>862</v>
      </c>
      <c r="G302" s="74">
        <v>414607930</v>
      </c>
      <c r="H302" s="74"/>
      <c r="I302" s="77">
        <v>768</v>
      </c>
      <c r="J302" s="74" t="s">
        <v>519</v>
      </c>
      <c r="K302" s="74"/>
      <c r="L302" s="74"/>
      <c r="M302" s="74"/>
      <c r="N302" s="74"/>
      <c r="O302" s="75" t="s">
        <v>455</v>
      </c>
      <c r="P302" s="143" t="s">
        <v>506</v>
      </c>
      <c r="Q302" s="145">
        <v>40075</v>
      </c>
    </row>
    <row r="303" spans="1:17" s="16" customFormat="1" ht="120" hidden="1">
      <c r="A303" s="146"/>
      <c r="B303" s="147" t="s">
        <v>863</v>
      </c>
      <c r="C303" s="148" t="s">
        <v>1863</v>
      </c>
      <c r="D303" s="148" t="s">
        <v>53</v>
      </c>
      <c r="E303" s="149">
        <v>4600019050</v>
      </c>
      <c r="F303" s="149" t="s">
        <v>864</v>
      </c>
      <c r="G303" s="148" t="s">
        <v>865</v>
      </c>
      <c r="H303" s="148"/>
      <c r="I303" s="150">
        <v>240056.97</v>
      </c>
      <c r="J303" s="148" t="s">
        <v>519</v>
      </c>
      <c r="K303" s="148"/>
      <c r="L303" s="148"/>
      <c r="M303" s="148"/>
      <c r="N303" s="148"/>
      <c r="O303" s="164" t="s">
        <v>1739</v>
      </c>
      <c r="P303" s="152" t="s">
        <v>506</v>
      </c>
      <c r="Q303" s="133">
        <v>40078</v>
      </c>
    </row>
    <row r="304" spans="1:17" s="31" customFormat="1" ht="153" hidden="1">
      <c r="A304" s="52" t="s">
        <v>1870</v>
      </c>
      <c r="B304" s="113" t="s">
        <v>2832</v>
      </c>
      <c r="C304" s="52" t="s">
        <v>2513</v>
      </c>
      <c r="D304" s="113" t="s">
        <v>521</v>
      </c>
      <c r="E304" s="113">
        <v>4600017727</v>
      </c>
      <c r="F304" s="52">
        <v>5001270711</v>
      </c>
      <c r="G304" s="52" t="s">
        <v>375</v>
      </c>
      <c r="H304" s="52"/>
      <c r="I304" s="114">
        <v>31288.99</v>
      </c>
      <c r="J304" s="52" t="s">
        <v>1206</v>
      </c>
      <c r="K304" s="52"/>
      <c r="L304" s="52"/>
      <c r="M304" s="52"/>
      <c r="N304" s="52"/>
      <c r="O304" s="79" t="s">
        <v>2409</v>
      </c>
      <c r="P304" s="41" t="s">
        <v>1080</v>
      </c>
      <c r="Q304" s="93">
        <v>40071</v>
      </c>
    </row>
    <row r="305" spans="1:17" s="31" customFormat="1" ht="191.25" hidden="1">
      <c r="A305" s="52" t="s">
        <v>1870</v>
      </c>
      <c r="B305" s="52" t="s">
        <v>299</v>
      </c>
      <c r="C305" s="52" t="s">
        <v>704</v>
      </c>
      <c r="D305" s="52" t="s">
        <v>1750</v>
      </c>
      <c r="E305" s="52">
        <v>4600018334</v>
      </c>
      <c r="F305" s="52" t="s">
        <v>2790</v>
      </c>
      <c r="G305" s="52" t="s">
        <v>2731</v>
      </c>
      <c r="H305" s="52"/>
      <c r="I305" s="114">
        <v>16095</v>
      </c>
      <c r="J305" s="52" t="s">
        <v>1864</v>
      </c>
      <c r="K305" s="52"/>
      <c r="L305" s="52"/>
      <c r="M305" s="52"/>
      <c r="N305" s="52"/>
      <c r="O305" s="79" t="s">
        <v>2118</v>
      </c>
      <c r="P305" s="41" t="s">
        <v>1080</v>
      </c>
      <c r="Q305" s="93">
        <v>40078</v>
      </c>
    </row>
    <row r="306" spans="1:17" s="31" customFormat="1" ht="127.5" hidden="1">
      <c r="A306" s="52" t="s">
        <v>1870</v>
      </c>
      <c r="B306" s="113" t="s">
        <v>1270</v>
      </c>
      <c r="C306" s="115" t="s">
        <v>2266</v>
      </c>
      <c r="D306" s="113" t="s">
        <v>521</v>
      </c>
      <c r="E306" s="113">
        <v>4600018944</v>
      </c>
      <c r="F306" s="52">
        <v>4102988895</v>
      </c>
      <c r="G306" s="52" t="s">
        <v>1271</v>
      </c>
      <c r="H306" s="52"/>
      <c r="I306" s="114">
        <v>9849.6</v>
      </c>
      <c r="J306" s="52" t="s">
        <v>1864</v>
      </c>
      <c r="K306" s="52"/>
      <c r="L306" s="52"/>
      <c r="M306" s="52"/>
      <c r="N306" s="52"/>
      <c r="O306" s="32" t="s">
        <v>259</v>
      </c>
      <c r="P306" s="43" t="s">
        <v>506</v>
      </c>
      <c r="Q306" s="93">
        <v>40080</v>
      </c>
    </row>
    <row r="307" spans="1:17" s="31" customFormat="1" ht="229.5" hidden="1">
      <c r="A307" s="52" t="s">
        <v>1870</v>
      </c>
      <c r="B307" s="113" t="s">
        <v>1097</v>
      </c>
      <c r="C307" s="115" t="s">
        <v>2266</v>
      </c>
      <c r="D307" s="113" t="s">
        <v>521</v>
      </c>
      <c r="E307" s="113">
        <v>4600018942</v>
      </c>
      <c r="F307" s="100" t="s">
        <v>1325</v>
      </c>
      <c r="G307" s="52" t="s">
        <v>1098</v>
      </c>
      <c r="H307" s="52"/>
      <c r="I307" s="114">
        <v>8540.81</v>
      </c>
      <c r="J307" s="52" t="s">
        <v>1864</v>
      </c>
      <c r="K307" s="52"/>
      <c r="L307" s="52"/>
      <c r="M307" s="52"/>
      <c r="N307" s="52"/>
      <c r="O307" s="32" t="s">
        <v>2033</v>
      </c>
      <c r="P307" s="41" t="s">
        <v>1080</v>
      </c>
      <c r="Q307" s="93">
        <v>40081</v>
      </c>
    </row>
    <row r="308" spans="1:17" s="31" customFormat="1" ht="127.5" hidden="1">
      <c r="A308" s="52" t="s">
        <v>1870</v>
      </c>
      <c r="B308" s="113" t="s">
        <v>2157</v>
      </c>
      <c r="C308" s="115" t="s">
        <v>1863</v>
      </c>
      <c r="D308" s="113" t="s">
        <v>521</v>
      </c>
      <c r="E308" s="113">
        <v>4600017931</v>
      </c>
      <c r="F308" s="52" t="s">
        <v>1273</v>
      </c>
      <c r="G308" s="52" t="s">
        <v>1804</v>
      </c>
      <c r="H308" s="52"/>
      <c r="I308" s="114">
        <v>92425.16</v>
      </c>
      <c r="J308" s="52" t="s">
        <v>1864</v>
      </c>
      <c r="K308" s="52"/>
      <c r="L308" s="52"/>
      <c r="M308" s="52"/>
      <c r="N308" s="52"/>
      <c r="O308" s="32" t="s">
        <v>1240</v>
      </c>
      <c r="P308" s="41" t="s">
        <v>1080</v>
      </c>
      <c r="Q308" s="93">
        <v>40080</v>
      </c>
    </row>
    <row r="309" spans="1:17" s="31" customFormat="1" ht="63.75" hidden="1">
      <c r="A309" s="52" t="s">
        <v>1870</v>
      </c>
      <c r="B309" s="113" t="s">
        <v>2312</v>
      </c>
      <c r="C309" s="115" t="s">
        <v>2513</v>
      </c>
      <c r="D309" s="113" t="s">
        <v>521</v>
      </c>
      <c r="E309" s="113">
        <v>4600019025</v>
      </c>
      <c r="F309" s="52">
        <v>5001347458</v>
      </c>
      <c r="G309" s="52" t="s">
        <v>2313</v>
      </c>
      <c r="H309" s="52"/>
      <c r="I309" s="114">
        <v>101987.2</v>
      </c>
      <c r="J309" s="52" t="s">
        <v>1864</v>
      </c>
      <c r="K309" s="52"/>
      <c r="L309" s="52"/>
      <c r="M309" s="52"/>
      <c r="N309" s="52"/>
      <c r="O309" s="32" t="s">
        <v>110</v>
      </c>
      <c r="P309" s="43" t="s">
        <v>506</v>
      </c>
      <c r="Q309" s="93">
        <v>40072</v>
      </c>
    </row>
    <row r="310" spans="1:17" s="31" customFormat="1" ht="102" hidden="1">
      <c r="A310" s="52" t="s">
        <v>1870</v>
      </c>
      <c r="B310" s="113" t="s">
        <v>2442</v>
      </c>
      <c r="C310" s="115" t="s">
        <v>2513</v>
      </c>
      <c r="D310" s="113" t="s">
        <v>521</v>
      </c>
      <c r="E310" s="115">
        <v>4600019403</v>
      </c>
      <c r="F310" s="100">
        <v>5001356881</v>
      </c>
      <c r="G310" s="52" t="s">
        <v>2443</v>
      </c>
      <c r="H310" s="52"/>
      <c r="I310" s="114">
        <v>61429.919999999998</v>
      </c>
      <c r="J310" s="52" t="s">
        <v>1864</v>
      </c>
      <c r="K310" s="52"/>
      <c r="L310" s="52"/>
      <c r="M310" s="52"/>
      <c r="N310" s="52"/>
      <c r="O310" s="32" t="s">
        <v>606</v>
      </c>
      <c r="P310" s="43" t="s">
        <v>506</v>
      </c>
      <c r="Q310" s="93">
        <v>40079</v>
      </c>
    </row>
    <row r="311" spans="1:17" s="31" customFormat="1" ht="89.25" hidden="1">
      <c r="A311" s="52" t="s">
        <v>1870</v>
      </c>
      <c r="B311" s="113" t="s">
        <v>2225</v>
      </c>
      <c r="C311" s="115" t="s">
        <v>2513</v>
      </c>
      <c r="D311" s="113" t="s">
        <v>521</v>
      </c>
      <c r="E311" s="115" t="s">
        <v>2226</v>
      </c>
      <c r="F311" s="100" t="s">
        <v>2227</v>
      </c>
      <c r="G311" s="52" t="s">
        <v>2228</v>
      </c>
      <c r="H311" s="52"/>
      <c r="I311" s="114">
        <v>95613.119999999995</v>
      </c>
      <c r="J311" s="52" t="s">
        <v>1864</v>
      </c>
      <c r="K311" s="52"/>
      <c r="L311" s="52"/>
      <c r="M311" s="52"/>
      <c r="N311" s="52"/>
      <c r="O311" s="32" t="s">
        <v>2487</v>
      </c>
      <c r="P311" s="43" t="s">
        <v>506</v>
      </c>
      <c r="Q311" s="93">
        <v>40084</v>
      </c>
    </row>
    <row r="312" spans="1:17" s="16" customFormat="1" ht="96" hidden="1">
      <c r="A312" s="146"/>
      <c r="B312" s="147" t="s">
        <v>866</v>
      </c>
      <c r="C312" s="148" t="s">
        <v>1863</v>
      </c>
      <c r="D312" s="148" t="s">
        <v>53</v>
      </c>
      <c r="E312" s="149">
        <v>4600019051</v>
      </c>
      <c r="F312" s="149" t="s">
        <v>867</v>
      </c>
      <c r="G312" s="148" t="s">
        <v>868</v>
      </c>
      <c r="H312" s="148"/>
      <c r="I312" s="150">
        <v>240056.97</v>
      </c>
      <c r="J312" s="148" t="s">
        <v>519</v>
      </c>
      <c r="K312" s="148"/>
      <c r="L312" s="148"/>
      <c r="M312" s="148"/>
      <c r="N312" s="148"/>
      <c r="O312" s="164" t="s">
        <v>2599</v>
      </c>
      <c r="P312" s="152" t="s">
        <v>506</v>
      </c>
      <c r="Q312" s="133">
        <v>40073</v>
      </c>
    </row>
    <row r="313" spans="1:17" s="16" customFormat="1" ht="72" hidden="1">
      <c r="A313" s="146"/>
      <c r="B313" s="147" t="s">
        <v>307</v>
      </c>
      <c r="C313" s="148" t="s">
        <v>386</v>
      </c>
      <c r="D313" s="148" t="s">
        <v>518</v>
      </c>
      <c r="E313" s="149">
        <v>4800001880</v>
      </c>
      <c r="F313" s="149" t="s">
        <v>308</v>
      </c>
      <c r="G313" s="148">
        <v>4394607518</v>
      </c>
      <c r="H313" s="148"/>
      <c r="I313" s="150">
        <v>8327</v>
      </c>
      <c r="J313" s="148" t="s">
        <v>519</v>
      </c>
      <c r="K313" s="148"/>
      <c r="L313" s="148"/>
      <c r="M313" s="148"/>
      <c r="N313" s="148"/>
      <c r="O313" s="164" t="s">
        <v>922</v>
      </c>
      <c r="P313" s="152" t="s">
        <v>506</v>
      </c>
      <c r="Q313" s="133">
        <v>40077</v>
      </c>
    </row>
    <row r="314" spans="1:17" s="16" customFormat="1" ht="96" hidden="1">
      <c r="A314" s="146"/>
      <c r="B314" s="147" t="s">
        <v>428</v>
      </c>
      <c r="C314" s="148" t="s">
        <v>841</v>
      </c>
      <c r="D314" s="148" t="s">
        <v>1750</v>
      </c>
      <c r="E314" s="149">
        <v>4600020332</v>
      </c>
      <c r="F314" s="149" t="s">
        <v>429</v>
      </c>
      <c r="G314" s="148">
        <v>909226</v>
      </c>
      <c r="H314" s="148"/>
      <c r="I314" s="150">
        <v>3144.96</v>
      </c>
      <c r="J314" s="148" t="s">
        <v>519</v>
      </c>
      <c r="K314" s="148"/>
      <c r="L314" s="148"/>
      <c r="M314" s="148"/>
      <c r="N314" s="148"/>
      <c r="O314" s="164" t="s">
        <v>381</v>
      </c>
      <c r="P314" s="152" t="s">
        <v>506</v>
      </c>
      <c r="Q314" s="133">
        <v>40074</v>
      </c>
    </row>
    <row r="315" spans="1:17" s="16" customFormat="1" ht="108" hidden="1">
      <c r="A315" s="146"/>
      <c r="B315" s="147" t="s">
        <v>2947</v>
      </c>
      <c r="C315" s="148" t="s">
        <v>1863</v>
      </c>
      <c r="D315" s="148" t="s">
        <v>521</v>
      </c>
      <c r="E315" s="149">
        <v>4600020144</v>
      </c>
      <c r="F315" s="149" t="s">
        <v>2948</v>
      </c>
      <c r="G315" s="148">
        <v>414607952</v>
      </c>
      <c r="H315" s="148"/>
      <c r="I315" s="150">
        <v>96</v>
      </c>
      <c r="J315" s="148" t="s">
        <v>519</v>
      </c>
      <c r="K315" s="148"/>
      <c r="L315" s="148"/>
      <c r="M315" s="148"/>
      <c r="N315" s="148"/>
      <c r="O315" s="154" t="s">
        <v>1064</v>
      </c>
      <c r="P315" s="170" t="s">
        <v>1080</v>
      </c>
      <c r="Q315" s="133">
        <v>40081</v>
      </c>
    </row>
    <row r="316" spans="1:17" s="16" customFormat="1" ht="84" hidden="1">
      <c r="A316" s="146"/>
      <c r="B316" s="147" t="s">
        <v>2949</v>
      </c>
      <c r="C316" s="148" t="s">
        <v>914</v>
      </c>
      <c r="D316" s="148" t="s">
        <v>518</v>
      </c>
      <c r="E316" s="149">
        <v>4800001928</v>
      </c>
      <c r="F316" s="149" t="s">
        <v>2950</v>
      </c>
      <c r="G316" s="148">
        <v>414607863</v>
      </c>
      <c r="H316" s="148"/>
      <c r="I316" s="150">
        <v>6320</v>
      </c>
      <c r="J316" s="148" t="s">
        <v>519</v>
      </c>
      <c r="K316" s="148"/>
      <c r="L316" s="148"/>
      <c r="M316" s="148"/>
      <c r="N316" s="148"/>
      <c r="O316" s="164" t="s">
        <v>180</v>
      </c>
      <c r="P316" s="152" t="s">
        <v>506</v>
      </c>
      <c r="Q316" s="133">
        <v>40079</v>
      </c>
    </row>
    <row r="317" spans="1:17" s="16" customFormat="1" ht="60" hidden="1">
      <c r="A317" s="146"/>
      <c r="B317" s="147" t="s">
        <v>2951</v>
      </c>
      <c r="C317" s="148" t="s">
        <v>780</v>
      </c>
      <c r="D317" s="148" t="s">
        <v>2952</v>
      </c>
      <c r="E317" s="149">
        <v>4800001903</v>
      </c>
      <c r="F317" s="149" t="s">
        <v>1785</v>
      </c>
      <c r="G317" s="148">
        <v>4394608400</v>
      </c>
      <c r="H317" s="148"/>
      <c r="I317" s="150">
        <v>19656</v>
      </c>
      <c r="J317" s="148" t="s">
        <v>519</v>
      </c>
      <c r="K317" s="148"/>
      <c r="L317" s="148"/>
      <c r="M317" s="148"/>
      <c r="N317" s="148"/>
      <c r="O317" s="164" t="s">
        <v>1448</v>
      </c>
      <c r="P317" s="152" t="s">
        <v>506</v>
      </c>
      <c r="Q317" s="133">
        <v>40074</v>
      </c>
    </row>
    <row r="318" spans="1:17" s="16" customFormat="1" ht="48" hidden="1">
      <c r="A318" s="146"/>
      <c r="B318" s="147" t="s">
        <v>1673</v>
      </c>
      <c r="C318" s="148" t="s">
        <v>524</v>
      </c>
      <c r="D318" s="148" t="s">
        <v>525</v>
      </c>
      <c r="E318" s="149">
        <v>4600019373</v>
      </c>
      <c r="F318" s="149">
        <v>40747128</v>
      </c>
      <c r="G318" s="148" t="s">
        <v>1674</v>
      </c>
      <c r="H318" s="148"/>
      <c r="I318" s="150">
        <v>4845.6000000000004</v>
      </c>
      <c r="J318" s="148" t="s">
        <v>519</v>
      </c>
      <c r="K318" s="148"/>
      <c r="L318" s="148"/>
      <c r="M318" s="148"/>
      <c r="N318" s="148"/>
      <c r="O318" s="164" t="s">
        <v>442</v>
      </c>
      <c r="P318" s="152" t="s">
        <v>506</v>
      </c>
      <c r="Q318" s="133">
        <v>40075</v>
      </c>
    </row>
    <row r="319" spans="1:17" s="16" customFormat="1" ht="84" hidden="1">
      <c r="A319" s="146"/>
      <c r="B319" s="147" t="s">
        <v>702</v>
      </c>
      <c r="C319" s="148" t="s">
        <v>215</v>
      </c>
      <c r="D319" s="148" t="s">
        <v>216</v>
      </c>
      <c r="E319" s="149">
        <v>4600020479</v>
      </c>
      <c r="F319" s="149">
        <v>23718</v>
      </c>
      <c r="G319" s="148">
        <v>50398</v>
      </c>
      <c r="H319" s="148"/>
      <c r="I319" s="150">
        <v>1104</v>
      </c>
      <c r="J319" s="148" t="s">
        <v>519</v>
      </c>
      <c r="K319" s="148"/>
      <c r="L319" s="148"/>
      <c r="M319" s="148"/>
      <c r="N319" s="148"/>
      <c r="O319" s="164" t="s">
        <v>744</v>
      </c>
      <c r="P319" s="152" t="s">
        <v>506</v>
      </c>
      <c r="Q319" s="133">
        <v>40080</v>
      </c>
    </row>
    <row r="320" spans="1:17" s="16" customFormat="1" ht="24" hidden="1">
      <c r="A320" s="146"/>
      <c r="B320" s="147" t="s">
        <v>607</v>
      </c>
      <c r="C320" s="148" t="s">
        <v>1863</v>
      </c>
      <c r="D320" s="148" t="s">
        <v>53</v>
      </c>
      <c r="E320" s="149">
        <v>460020465</v>
      </c>
      <c r="F320" s="149" t="s">
        <v>608</v>
      </c>
      <c r="G320" s="148">
        <v>414607968</v>
      </c>
      <c r="H320" s="148"/>
      <c r="I320" s="150">
        <v>150</v>
      </c>
      <c r="J320" s="148" t="s">
        <v>519</v>
      </c>
      <c r="K320" s="148"/>
      <c r="L320" s="148"/>
      <c r="M320" s="148"/>
      <c r="N320" s="148"/>
      <c r="O320" s="164" t="s">
        <v>905</v>
      </c>
      <c r="P320" s="152" t="s">
        <v>506</v>
      </c>
      <c r="Q320" s="133">
        <v>40078</v>
      </c>
    </row>
    <row r="321" spans="1:17" s="16" customFormat="1" ht="36" hidden="1">
      <c r="A321" s="146"/>
      <c r="B321" s="147" t="s">
        <v>611</v>
      </c>
      <c r="C321" s="148" t="s">
        <v>2546</v>
      </c>
      <c r="D321" s="148" t="s">
        <v>1750</v>
      </c>
      <c r="E321" s="149">
        <v>4600019872</v>
      </c>
      <c r="F321" s="149">
        <v>4600019872</v>
      </c>
      <c r="G321" s="148">
        <v>293274</v>
      </c>
      <c r="H321" s="148"/>
      <c r="I321" s="150">
        <v>494</v>
      </c>
      <c r="J321" s="148" t="s">
        <v>519</v>
      </c>
      <c r="K321" s="148"/>
      <c r="L321" s="148"/>
      <c r="M321" s="148"/>
      <c r="N321" s="148"/>
      <c r="O321" s="164" t="s">
        <v>672</v>
      </c>
      <c r="P321" s="152" t="s">
        <v>506</v>
      </c>
      <c r="Q321" s="133">
        <v>40081</v>
      </c>
    </row>
    <row r="322" spans="1:17" s="53" customFormat="1" ht="36" hidden="1">
      <c r="A322" s="52"/>
      <c r="B322" s="148" t="s">
        <v>48</v>
      </c>
      <c r="C322" s="148" t="s">
        <v>896</v>
      </c>
      <c r="D322" s="148" t="s">
        <v>525</v>
      </c>
      <c r="E322" s="149">
        <v>4600020722</v>
      </c>
      <c r="F322" s="149" t="s">
        <v>49</v>
      </c>
      <c r="G322" s="148">
        <v>5395729372</v>
      </c>
      <c r="H322" s="148"/>
      <c r="I322" s="150">
        <v>2150</v>
      </c>
      <c r="J322" s="148" t="s">
        <v>582</v>
      </c>
      <c r="K322" s="148"/>
      <c r="L322" s="148"/>
      <c r="M322" s="148"/>
      <c r="N322" s="148"/>
      <c r="O322" s="164" t="s">
        <v>1228</v>
      </c>
      <c r="P322" s="166" t="s">
        <v>1080</v>
      </c>
      <c r="Q322" s="165">
        <v>40085</v>
      </c>
    </row>
    <row r="323" spans="1:17" customFormat="1" ht="60" hidden="1">
      <c r="A323" s="139"/>
      <c r="B323" s="140" t="s">
        <v>2504</v>
      </c>
      <c r="C323" s="74" t="s">
        <v>570</v>
      </c>
      <c r="D323" s="74" t="s">
        <v>1012</v>
      </c>
      <c r="E323" s="116">
        <v>580000055</v>
      </c>
      <c r="F323" s="116" t="s">
        <v>2505</v>
      </c>
      <c r="G323" s="74" t="s">
        <v>2326</v>
      </c>
      <c r="H323" s="74"/>
      <c r="I323" s="77">
        <v>669864.24</v>
      </c>
      <c r="J323" s="74" t="s">
        <v>582</v>
      </c>
      <c r="K323" s="74"/>
      <c r="L323" s="74"/>
      <c r="M323" s="74"/>
      <c r="N323" s="74"/>
      <c r="O323" s="164" t="s">
        <v>1696</v>
      </c>
      <c r="P323" s="143" t="s">
        <v>506</v>
      </c>
      <c r="Q323" s="145">
        <v>40087</v>
      </c>
    </row>
    <row r="324" spans="1:17" s="31" customFormat="1" ht="204" hidden="1">
      <c r="A324" s="52" t="s">
        <v>1870</v>
      </c>
      <c r="B324" s="52" t="s">
        <v>2791</v>
      </c>
      <c r="C324" s="52" t="s">
        <v>704</v>
      </c>
      <c r="D324" s="52" t="s">
        <v>1750</v>
      </c>
      <c r="E324" s="52">
        <v>4600018946</v>
      </c>
      <c r="F324" s="52" t="s">
        <v>2792</v>
      </c>
      <c r="G324" s="52" t="s">
        <v>2809</v>
      </c>
      <c r="H324" s="52"/>
      <c r="I324" s="114">
        <v>18705</v>
      </c>
      <c r="J324" s="52" t="s">
        <v>1864</v>
      </c>
      <c r="K324" s="52"/>
      <c r="L324" s="52"/>
      <c r="M324" s="52"/>
      <c r="N324" s="52"/>
      <c r="O324" s="79" t="s">
        <v>1053</v>
      </c>
      <c r="P324" s="41" t="s">
        <v>1080</v>
      </c>
      <c r="Q324" s="93">
        <v>40085</v>
      </c>
    </row>
    <row r="325" spans="1:17" s="31" customFormat="1" ht="89.25" hidden="1">
      <c r="A325" s="52" t="s">
        <v>1870</v>
      </c>
      <c r="B325" s="52" t="s">
        <v>1380</v>
      </c>
      <c r="C325" s="52" t="s">
        <v>2513</v>
      </c>
      <c r="D325" s="52" t="s">
        <v>521</v>
      </c>
      <c r="E325" s="100">
        <v>4600018272</v>
      </c>
      <c r="F325" s="100">
        <v>5001320290</v>
      </c>
      <c r="G325" s="52" t="s">
        <v>1381</v>
      </c>
      <c r="H325" s="52"/>
      <c r="I325" s="114">
        <v>48329.47</v>
      </c>
      <c r="J325" s="52" t="s">
        <v>1206</v>
      </c>
      <c r="K325" s="52"/>
      <c r="L325" s="52"/>
      <c r="M325" s="52"/>
      <c r="N325" s="52"/>
      <c r="O325" s="79" t="s">
        <v>2586</v>
      </c>
      <c r="P325" s="43" t="s">
        <v>506</v>
      </c>
      <c r="Q325" s="93">
        <v>40087</v>
      </c>
    </row>
    <row r="326" spans="1:17" s="31" customFormat="1" ht="204" hidden="1">
      <c r="A326" s="52" t="s">
        <v>1870</v>
      </c>
      <c r="B326" s="52" t="s">
        <v>347</v>
      </c>
      <c r="C326" s="52" t="s">
        <v>704</v>
      </c>
      <c r="D326" s="52" t="s">
        <v>1750</v>
      </c>
      <c r="E326" s="52">
        <v>4600019145</v>
      </c>
      <c r="F326" s="52" t="s">
        <v>348</v>
      </c>
      <c r="G326" s="52" t="s">
        <v>1017</v>
      </c>
      <c r="H326" s="52"/>
      <c r="I326" s="114">
        <v>13050</v>
      </c>
      <c r="J326" s="52" t="s">
        <v>1864</v>
      </c>
      <c r="K326" s="52"/>
      <c r="L326" s="52"/>
      <c r="M326" s="52"/>
      <c r="N326" s="52"/>
      <c r="O326" s="79" t="s">
        <v>667</v>
      </c>
      <c r="P326" s="41" t="s">
        <v>1080</v>
      </c>
      <c r="Q326" s="93">
        <v>40085</v>
      </c>
    </row>
    <row r="327" spans="1:17" s="31" customFormat="1" ht="178.5" hidden="1">
      <c r="A327" s="52" t="s">
        <v>1870</v>
      </c>
      <c r="B327" s="113" t="s">
        <v>1268</v>
      </c>
      <c r="C327" s="115" t="s">
        <v>296</v>
      </c>
      <c r="D327" s="113" t="s">
        <v>775</v>
      </c>
      <c r="E327" s="113">
        <v>4600019708</v>
      </c>
      <c r="F327" s="52" t="s">
        <v>1269</v>
      </c>
      <c r="G327" s="52">
        <v>614608101</v>
      </c>
      <c r="H327" s="52"/>
      <c r="I327" s="114">
        <v>4003.56</v>
      </c>
      <c r="J327" s="52" t="s">
        <v>1864</v>
      </c>
      <c r="K327" s="52"/>
      <c r="L327" s="52"/>
      <c r="M327" s="52"/>
      <c r="N327" s="52"/>
      <c r="O327" s="32" t="s">
        <v>2331</v>
      </c>
      <c r="P327" s="43" t="s">
        <v>506</v>
      </c>
      <c r="Q327" s="93">
        <v>40085</v>
      </c>
    </row>
    <row r="328" spans="1:17" customFormat="1" ht="192" hidden="1">
      <c r="A328" s="139"/>
      <c r="B328" s="140" t="s">
        <v>2488</v>
      </c>
      <c r="C328" s="74" t="s">
        <v>570</v>
      </c>
      <c r="D328" s="74" t="s">
        <v>1012</v>
      </c>
      <c r="E328" s="116">
        <v>580000056</v>
      </c>
      <c r="F328" s="116" t="s">
        <v>302</v>
      </c>
      <c r="G328" s="74" t="s">
        <v>2489</v>
      </c>
      <c r="H328" s="74"/>
      <c r="I328" s="77">
        <v>507844.48</v>
      </c>
      <c r="J328" s="74" t="s">
        <v>1864</v>
      </c>
      <c r="K328" s="74"/>
      <c r="L328" s="74"/>
      <c r="M328" s="74"/>
      <c r="N328" s="74"/>
      <c r="O328" s="163" t="s">
        <v>185</v>
      </c>
      <c r="P328" s="143" t="s">
        <v>506</v>
      </c>
      <c r="Q328" s="145">
        <v>40093</v>
      </c>
    </row>
    <row r="329" spans="1:17" s="53" customFormat="1" ht="48" hidden="1">
      <c r="A329" s="52"/>
      <c r="B329" s="148" t="s">
        <v>2795</v>
      </c>
      <c r="C329" s="148" t="s">
        <v>841</v>
      </c>
      <c r="D329" s="148" t="s">
        <v>1750</v>
      </c>
      <c r="E329" s="149">
        <v>4600020894</v>
      </c>
      <c r="F329" s="149" t="s">
        <v>2796</v>
      </c>
      <c r="G329" s="148" t="s">
        <v>1330</v>
      </c>
      <c r="H329" s="148"/>
      <c r="I329" s="150">
        <v>15350.86</v>
      </c>
      <c r="J329" s="148" t="s">
        <v>582</v>
      </c>
      <c r="K329" s="148"/>
      <c r="L329" s="148"/>
      <c r="M329" s="148"/>
      <c r="N329" s="148"/>
      <c r="O329" s="164" t="s">
        <v>1825</v>
      </c>
      <c r="P329" s="169" t="s">
        <v>506</v>
      </c>
      <c r="Q329" s="165">
        <v>40091</v>
      </c>
    </row>
    <row r="330" spans="1:17" s="53" customFormat="1" ht="60" hidden="1">
      <c r="A330" s="52"/>
      <c r="B330" s="148" t="s">
        <v>2800</v>
      </c>
      <c r="C330" s="148" t="s">
        <v>841</v>
      </c>
      <c r="D330" s="148" t="s">
        <v>1750</v>
      </c>
      <c r="E330" s="149">
        <v>4600020896</v>
      </c>
      <c r="F330" s="149" t="s">
        <v>2801</v>
      </c>
      <c r="G330" s="148">
        <v>801291253</v>
      </c>
      <c r="H330" s="148"/>
      <c r="I330" s="150">
        <v>2891</v>
      </c>
      <c r="J330" s="148" t="s">
        <v>582</v>
      </c>
      <c r="K330" s="148"/>
      <c r="L330" s="148"/>
      <c r="M330" s="148"/>
      <c r="N330" s="148"/>
      <c r="O330" s="164" t="s">
        <v>923</v>
      </c>
      <c r="P330" s="166" t="s">
        <v>1080</v>
      </c>
      <c r="Q330" s="165">
        <v>40091</v>
      </c>
    </row>
    <row r="331" spans="1:17" s="53" customFormat="1" ht="60" hidden="1">
      <c r="A331" s="52"/>
      <c r="B331" s="148" t="s">
        <v>1043</v>
      </c>
      <c r="C331" s="148" t="s">
        <v>841</v>
      </c>
      <c r="D331" s="148" t="s">
        <v>1750</v>
      </c>
      <c r="E331" s="149">
        <v>4600020903</v>
      </c>
      <c r="F331" s="149" t="s">
        <v>1722</v>
      </c>
      <c r="G331" s="148" t="s">
        <v>1723</v>
      </c>
      <c r="H331" s="148"/>
      <c r="I331" s="150">
        <v>6942.12</v>
      </c>
      <c r="J331" s="148" t="s">
        <v>582</v>
      </c>
      <c r="K331" s="148"/>
      <c r="L331" s="148"/>
      <c r="M331" s="148"/>
      <c r="N331" s="148"/>
      <c r="O331" s="164" t="s">
        <v>923</v>
      </c>
      <c r="P331" s="166" t="s">
        <v>1080</v>
      </c>
      <c r="Q331" s="165">
        <v>40091</v>
      </c>
    </row>
    <row r="332" spans="1:17" s="53" customFormat="1" ht="36" hidden="1">
      <c r="A332" s="52"/>
      <c r="B332" s="148" t="s">
        <v>2860</v>
      </c>
      <c r="C332" s="148" t="s">
        <v>2080</v>
      </c>
      <c r="D332" s="148" t="s">
        <v>1750</v>
      </c>
      <c r="E332" s="149" t="s">
        <v>193</v>
      </c>
      <c r="F332" s="149" t="s">
        <v>2859</v>
      </c>
      <c r="G332" s="148">
        <v>9083358</v>
      </c>
      <c r="H332" s="148"/>
      <c r="I332" s="150">
        <v>3093.2</v>
      </c>
      <c r="J332" s="148" t="s">
        <v>582</v>
      </c>
      <c r="K332" s="148"/>
      <c r="L332" s="148"/>
      <c r="M332" s="148"/>
      <c r="N332" s="148"/>
      <c r="O332" s="164" t="s">
        <v>924</v>
      </c>
      <c r="P332" s="166" t="s">
        <v>1080</v>
      </c>
      <c r="Q332" s="165">
        <v>40091</v>
      </c>
    </row>
    <row r="333" spans="1:17" s="53" customFormat="1" ht="36" hidden="1">
      <c r="A333" s="52"/>
      <c r="B333" s="148" t="s">
        <v>2076</v>
      </c>
      <c r="C333" s="148" t="s">
        <v>178</v>
      </c>
      <c r="D333" s="148" t="s">
        <v>1750</v>
      </c>
      <c r="E333" s="149">
        <v>4600020920</v>
      </c>
      <c r="F333" s="149" t="s">
        <v>1423</v>
      </c>
      <c r="G333" s="148" t="s">
        <v>1183</v>
      </c>
      <c r="H333" s="148"/>
      <c r="I333" s="150">
        <v>2032.8</v>
      </c>
      <c r="J333" s="148" t="s">
        <v>582</v>
      </c>
      <c r="K333" s="148"/>
      <c r="L333" s="148"/>
      <c r="M333" s="148"/>
      <c r="N333" s="148"/>
      <c r="O333" s="164" t="s">
        <v>924</v>
      </c>
      <c r="P333" s="166" t="s">
        <v>1080</v>
      </c>
      <c r="Q333" s="165">
        <v>40091</v>
      </c>
    </row>
    <row r="334" spans="1:17" s="53" customFormat="1" ht="36" hidden="1">
      <c r="A334" s="52"/>
      <c r="B334" s="148" t="s">
        <v>1424</v>
      </c>
      <c r="C334" s="148" t="s">
        <v>896</v>
      </c>
      <c r="D334" s="148" t="s">
        <v>525</v>
      </c>
      <c r="E334" s="149">
        <v>4600020551</v>
      </c>
      <c r="F334" s="149" t="s">
        <v>1425</v>
      </c>
      <c r="G334" s="148">
        <v>5395737710</v>
      </c>
      <c r="H334" s="148"/>
      <c r="I334" s="150">
        <v>110200</v>
      </c>
      <c r="J334" s="148" t="s">
        <v>582</v>
      </c>
      <c r="K334" s="148"/>
      <c r="L334" s="148"/>
      <c r="M334" s="148"/>
      <c r="N334" s="148"/>
      <c r="O334" s="164" t="s">
        <v>1086</v>
      </c>
      <c r="P334" s="169" t="s">
        <v>506</v>
      </c>
      <c r="Q334" s="165">
        <v>40091</v>
      </c>
    </row>
    <row r="335" spans="1:17" s="53" customFormat="1" ht="36" hidden="1">
      <c r="A335" s="52"/>
      <c r="B335" s="148" t="s">
        <v>1834</v>
      </c>
      <c r="C335" s="148" t="s">
        <v>896</v>
      </c>
      <c r="D335" s="148" t="s">
        <v>525</v>
      </c>
      <c r="E335" s="149">
        <v>4600020550</v>
      </c>
      <c r="F335" s="149" t="s">
        <v>1835</v>
      </c>
      <c r="G335" s="148">
        <v>5395729625</v>
      </c>
      <c r="H335" s="148"/>
      <c r="I335" s="150">
        <v>100700</v>
      </c>
      <c r="J335" s="148" t="s">
        <v>582</v>
      </c>
      <c r="K335" s="148"/>
      <c r="L335" s="148"/>
      <c r="M335" s="148"/>
      <c r="N335" s="148"/>
      <c r="O335" s="164" t="s">
        <v>1844</v>
      </c>
      <c r="P335" s="169" t="s">
        <v>506</v>
      </c>
      <c r="Q335" s="165">
        <v>40091</v>
      </c>
    </row>
    <row r="336" spans="1:17" s="53" customFormat="1" ht="36" hidden="1">
      <c r="A336" s="52"/>
      <c r="B336" s="148" t="s">
        <v>1901</v>
      </c>
      <c r="C336" s="148" t="s">
        <v>841</v>
      </c>
      <c r="D336" s="148" t="s">
        <v>1750</v>
      </c>
      <c r="E336" s="149">
        <v>4600021033</v>
      </c>
      <c r="F336" s="149" t="s">
        <v>1902</v>
      </c>
      <c r="G336" s="148" t="s">
        <v>1932</v>
      </c>
      <c r="H336" s="148"/>
      <c r="I336" s="150">
        <v>55331.64</v>
      </c>
      <c r="J336" s="148" t="s">
        <v>582</v>
      </c>
      <c r="K336" s="148"/>
      <c r="L336" s="148"/>
      <c r="M336" s="148"/>
      <c r="N336" s="148"/>
      <c r="O336" s="164" t="s">
        <v>1211</v>
      </c>
      <c r="P336" s="166" t="s">
        <v>1080</v>
      </c>
      <c r="Q336" s="165">
        <v>40092</v>
      </c>
    </row>
    <row r="337" spans="1:17" s="53" customFormat="1" ht="36" hidden="1">
      <c r="A337" s="52"/>
      <c r="B337" s="148" t="s">
        <v>1933</v>
      </c>
      <c r="C337" s="148" t="s">
        <v>2518</v>
      </c>
      <c r="D337" s="148" t="s">
        <v>1750</v>
      </c>
      <c r="E337" s="149" t="s">
        <v>1581</v>
      </c>
      <c r="F337" s="149" t="s">
        <v>1582</v>
      </c>
      <c r="G337" s="148" t="s">
        <v>1349</v>
      </c>
      <c r="H337" s="148"/>
      <c r="I337" s="150">
        <v>33535.199999999997</v>
      </c>
      <c r="J337" s="148" t="s">
        <v>582</v>
      </c>
      <c r="K337" s="148"/>
      <c r="L337" s="148"/>
      <c r="M337" s="148"/>
      <c r="N337" s="148"/>
      <c r="O337" s="164" t="s">
        <v>894</v>
      </c>
      <c r="P337" s="166" t="s">
        <v>1080</v>
      </c>
      <c r="Q337" s="165">
        <v>40093</v>
      </c>
    </row>
    <row r="338" spans="1:17" s="53" customFormat="1" ht="36" hidden="1">
      <c r="A338" s="52"/>
      <c r="B338" s="148" t="s">
        <v>1583</v>
      </c>
      <c r="C338" s="148" t="s">
        <v>2518</v>
      </c>
      <c r="D338" s="148" t="s">
        <v>1750</v>
      </c>
      <c r="E338" s="149" t="s">
        <v>1584</v>
      </c>
      <c r="F338" s="149" t="s">
        <v>1585</v>
      </c>
      <c r="G338" s="148" t="s">
        <v>1586</v>
      </c>
      <c r="H338" s="148"/>
      <c r="I338" s="150">
        <v>23372.400000000001</v>
      </c>
      <c r="J338" s="148" t="s">
        <v>582</v>
      </c>
      <c r="K338" s="148"/>
      <c r="L338" s="148"/>
      <c r="M338" s="148"/>
      <c r="N338" s="148"/>
      <c r="O338" s="164" t="s">
        <v>894</v>
      </c>
      <c r="P338" s="166" t="s">
        <v>1080</v>
      </c>
      <c r="Q338" s="165">
        <v>40092</v>
      </c>
    </row>
    <row r="339" spans="1:17" s="53" customFormat="1" ht="24" hidden="1">
      <c r="A339" s="52"/>
      <c r="B339" s="148" t="s">
        <v>1846</v>
      </c>
      <c r="C339" s="148" t="s">
        <v>2649</v>
      </c>
      <c r="D339" s="148" t="s">
        <v>525</v>
      </c>
      <c r="E339" s="149">
        <v>4600021040</v>
      </c>
      <c r="F339" s="149" t="s">
        <v>1847</v>
      </c>
      <c r="G339" s="148">
        <v>222785</v>
      </c>
      <c r="H339" s="148"/>
      <c r="I339" s="150">
        <v>102600</v>
      </c>
      <c r="J339" s="148" t="s">
        <v>582</v>
      </c>
      <c r="K339" s="148"/>
      <c r="L339" s="148"/>
      <c r="M339" s="148"/>
      <c r="N339" s="148"/>
      <c r="O339" s="164" t="s">
        <v>904</v>
      </c>
      <c r="P339" s="169" t="s">
        <v>506</v>
      </c>
      <c r="Q339" s="165">
        <v>40092</v>
      </c>
    </row>
    <row r="340" spans="1:17" s="53" customFormat="1" ht="36" hidden="1">
      <c r="A340" s="52"/>
      <c r="B340" s="148" t="s">
        <v>420</v>
      </c>
      <c r="C340" s="148" t="s">
        <v>914</v>
      </c>
      <c r="D340" s="148" t="s">
        <v>518</v>
      </c>
      <c r="E340" s="149">
        <v>4800002008</v>
      </c>
      <c r="F340" s="149" t="s">
        <v>1049</v>
      </c>
      <c r="G340" s="148" t="s">
        <v>1050</v>
      </c>
      <c r="H340" s="148"/>
      <c r="I340" s="150">
        <v>4042.08</v>
      </c>
      <c r="J340" s="148" t="s">
        <v>582</v>
      </c>
      <c r="K340" s="148"/>
      <c r="L340" s="148"/>
      <c r="M340" s="148"/>
      <c r="N340" s="148"/>
      <c r="O340" s="164" t="s">
        <v>1225</v>
      </c>
      <c r="P340" s="166" t="s">
        <v>1080</v>
      </c>
      <c r="Q340" s="165">
        <v>40094</v>
      </c>
    </row>
    <row r="341" spans="1:17" s="53" customFormat="1" ht="24" hidden="1">
      <c r="A341" s="52"/>
      <c r="B341" s="148" t="s">
        <v>357</v>
      </c>
      <c r="C341" s="148" t="s">
        <v>841</v>
      </c>
      <c r="D341" s="148" t="s">
        <v>1750</v>
      </c>
      <c r="E341" s="149">
        <v>4600021139</v>
      </c>
      <c r="F341" s="149" t="s">
        <v>2762</v>
      </c>
      <c r="G341" s="148" t="s">
        <v>1723</v>
      </c>
      <c r="H341" s="148"/>
      <c r="I341" s="150">
        <v>25593.84</v>
      </c>
      <c r="J341" s="148" t="s">
        <v>582</v>
      </c>
      <c r="K341" s="148"/>
      <c r="L341" s="148"/>
      <c r="M341" s="148"/>
      <c r="N341" s="148"/>
      <c r="O341" s="164" t="s">
        <v>1719</v>
      </c>
      <c r="P341" s="166" t="s">
        <v>1080</v>
      </c>
      <c r="Q341" s="165">
        <v>40094</v>
      </c>
    </row>
    <row r="342" spans="1:17" s="53" customFormat="1" ht="24" hidden="1">
      <c r="A342" s="52"/>
      <c r="B342" s="148" t="s">
        <v>2763</v>
      </c>
      <c r="C342" s="148" t="s">
        <v>2518</v>
      </c>
      <c r="D342" s="148" t="s">
        <v>1750</v>
      </c>
      <c r="E342" s="149">
        <v>4600021141</v>
      </c>
      <c r="F342" s="149" t="s">
        <v>2764</v>
      </c>
      <c r="G342" s="148" t="s">
        <v>1586</v>
      </c>
      <c r="H342" s="148"/>
      <c r="I342" s="150">
        <v>9709.2000000000007</v>
      </c>
      <c r="J342" s="148" t="s">
        <v>582</v>
      </c>
      <c r="K342" s="148"/>
      <c r="L342" s="148"/>
      <c r="M342" s="148"/>
      <c r="N342" s="148"/>
      <c r="O342" s="164" t="s">
        <v>1719</v>
      </c>
      <c r="P342" s="166" t="s">
        <v>1080</v>
      </c>
      <c r="Q342" s="165">
        <v>40094</v>
      </c>
    </row>
    <row r="343" spans="1:17" s="53" customFormat="1" ht="24" hidden="1">
      <c r="A343" s="52"/>
      <c r="B343" s="148" t="s">
        <v>2765</v>
      </c>
      <c r="C343" s="148" t="s">
        <v>2080</v>
      </c>
      <c r="D343" s="148" t="s">
        <v>1750</v>
      </c>
      <c r="E343" s="149" t="s">
        <v>2766</v>
      </c>
      <c r="F343" s="149" t="s">
        <v>2767</v>
      </c>
      <c r="G343" s="148">
        <v>9083358</v>
      </c>
      <c r="H343" s="148"/>
      <c r="I343" s="150">
        <v>2765.6</v>
      </c>
      <c r="J343" s="148" t="s">
        <v>582</v>
      </c>
      <c r="K343" s="148"/>
      <c r="L343" s="148"/>
      <c r="M343" s="148"/>
      <c r="N343" s="148"/>
      <c r="O343" s="164" t="s">
        <v>1719</v>
      </c>
      <c r="P343" s="166" t="s">
        <v>1080</v>
      </c>
      <c r="Q343" s="165">
        <v>40094</v>
      </c>
    </row>
    <row r="344" spans="1:17" s="53" customFormat="1" ht="36" hidden="1">
      <c r="A344" s="52"/>
      <c r="B344" s="148" t="s">
        <v>393</v>
      </c>
      <c r="C344" s="148" t="s">
        <v>914</v>
      </c>
      <c r="D344" s="148" t="s">
        <v>775</v>
      </c>
      <c r="E344" s="149">
        <v>4600021138</v>
      </c>
      <c r="F344" s="149" t="s">
        <v>394</v>
      </c>
      <c r="G344" s="148" t="s">
        <v>1054</v>
      </c>
      <c r="H344" s="148"/>
      <c r="I344" s="150">
        <v>6736.8</v>
      </c>
      <c r="J344" s="148" t="s">
        <v>582</v>
      </c>
      <c r="K344" s="148"/>
      <c r="L344" s="148"/>
      <c r="M344" s="148"/>
      <c r="N344" s="148"/>
      <c r="O344" s="164" t="s">
        <v>2414</v>
      </c>
      <c r="P344" s="166" t="s">
        <v>1080</v>
      </c>
      <c r="Q344" s="165">
        <v>40096</v>
      </c>
    </row>
    <row r="345" spans="1:17" s="53" customFormat="1" ht="24" hidden="1">
      <c r="A345" s="52"/>
      <c r="B345" s="148" t="s">
        <v>1219</v>
      </c>
      <c r="C345" s="148" t="s">
        <v>896</v>
      </c>
      <c r="D345" s="148" t="s">
        <v>525</v>
      </c>
      <c r="E345" s="149">
        <v>4600020712</v>
      </c>
      <c r="F345" s="149" t="s">
        <v>1220</v>
      </c>
      <c r="G345" s="148">
        <v>5391641915</v>
      </c>
      <c r="H345" s="148"/>
      <c r="I345" s="150">
        <v>79800</v>
      </c>
      <c r="J345" s="148" t="s">
        <v>582</v>
      </c>
      <c r="K345" s="148"/>
      <c r="L345" s="148"/>
      <c r="M345" s="148"/>
      <c r="N345" s="148"/>
      <c r="O345" s="164" t="s">
        <v>2415</v>
      </c>
      <c r="P345" s="166" t="s">
        <v>1080</v>
      </c>
      <c r="Q345" s="165">
        <v>40096</v>
      </c>
    </row>
    <row r="346" spans="1:17" s="53" customFormat="1" ht="24" hidden="1">
      <c r="A346" s="52"/>
      <c r="B346" s="148" t="s">
        <v>1221</v>
      </c>
      <c r="C346" s="148" t="s">
        <v>2649</v>
      </c>
      <c r="D346" s="148" t="s">
        <v>525</v>
      </c>
      <c r="E346" s="149">
        <v>4600021169</v>
      </c>
      <c r="F346" s="149" t="s">
        <v>1222</v>
      </c>
      <c r="G346" s="148">
        <v>222978</v>
      </c>
      <c r="H346" s="148"/>
      <c r="I346" s="150">
        <v>104760</v>
      </c>
      <c r="J346" s="148" t="s">
        <v>582</v>
      </c>
      <c r="K346" s="148"/>
      <c r="L346" s="148"/>
      <c r="M346" s="148"/>
      <c r="N346" s="148"/>
      <c r="O346" s="164" t="s">
        <v>1227</v>
      </c>
      <c r="P346" s="169" t="s">
        <v>506</v>
      </c>
      <c r="Q346" s="165">
        <v>40096</v>
      </c>
    </row>
    <row r="347" spans="1:17" s="53" customFormat="1" ht="24" hidden="1">
      <c r="A347" s="52"/>
      <c r="B347" s="148" t="s">
        <v>1223</v>
      </c>
      <c r="C347" s="148" t="s">
        <v>896</v>
      </c>
      <c r="D347" s="148" t="s">
        <v>525</v>
      </c>
      <c r="E347" s="149">
        <v>4600020713</v>
      </c>
      <c r="F347" s="149" t="s">
        <v>1224</v>
      </c>
      <c r="G347" s="148">
        <v>5533086526</v>
      </c>
      <c r="H347" s="148"/>
      <c r="I347" s="150">
        <v>68400</v>
      </c>
      <c r="J347" s="148" t="s">
        <v>582</v>
      </c>
      <c r="K347" s="148"/>
      <c r="L347" s="148"/>
      <c r="M347" s="148"/>
      <c r="N347" s="148"/>
      <c r="O347" s="164" t="s">
        <v>2416</v>
      </c>
      <c r="P347" s="166" t="s">
        <v>1080</v>
      </c>
      <c r="Q347" s="165">
        <v>40096</v>
      </c>
    </row>
    <row r="348" spans="1:17" s="53" customFormat="1" ht="24" hidden="1">
      <c r="A348" s="52"/>
      <c r="B348" s="148" t="s">
        <v>951</v>
      </c>
      <c r="C348" s="148" t="s">
        <v>896</v>
      </c>
      <c r="D348" s="148" t="s">
        <v>525</v>
      </c>
      <c r="E348" s="149">
        <v>4600020714</v>
      </c>
      <c r="F348" s="149" t="s">
        <v>952</v>
      </c>
      <c r="G348" s="148">
        <v>5395742638</v>
      </c>
      <c r="H348" s="148"/>
      <c r="I348" s="150">
        <v>45600</v>
      </c>
      <c r="J348" s="148" t="s">
        <v>582</v>
      </c>
      <c r="K348" s="148"/>
      <c r="L348" s="148"/>
      <c r="M348" s="148"/>
      <c r="N348" s="148"/>
      <c r="O348" s="164" t="s">
        <v>2415</v>
      </c>
      <c r="P348" s="166" t="s">
        <v>1080</v>
      </c>
      <c r="Q348" s="165">
        <v>40096</v>
      </c>
    </row>
    <row r="349" spans="1:17" s="53" customFormat="1" ht="24" hidden="1">
      <c r="A349" s="52"/>
      <c r="B349" s="148" t="s">
        <v>953</v>
      </c>
      <c r="C349" s="148" t="s">
        <v>896</v>
      </c>
      <c r="D349" s="148" t="s">
        <v>525</v>
      </c>
      <c r="E349" s="149">
        <v>4600021165</v>
      </c>
      <c r="F349" s="149" t="s">
        <v>954</v>
      </c>
      <c r="G349" s="148">
        <v>5533077385</v>
      </c>
      <c r="H349" s="148"/>
      <c r="I349" s="150">
        <v>15200</v>
      </c>
      <c r="J349" s="148" t="s">
        <v>582</v>
      </c>
      <c r="K349" s="148"/>
      <c r="L349" s="148"/>
      <c r="M349" s="148"/>
      <c r="N349" s="148"/>
      <c r="O349" s="164" t="s">
        <v>2415</v>
      </c>
      <c r="P349" s="166" t="s">
        <v>1080</v>
      </c>
      <c r="Q349" s="165">
        <v>40096</v>
      </c>
    </row>
    <row r="350" spans="1:17" s="53" customFormat="1" ht="24" hidden="1">
      <c r="A350" s="52"/>
      <c r="B350" s="148" t="s">
        <v>2424</v>
      </c>
      <c r="C350" s="148" t="s">
        <v>896</v>
      </c>
      <c r="D350" s="148" t="s">
        <v>2896</v>
      </c>
      <c r="E350" s="149">
        <v>4800002014</v>
      </c>
      <c r="F350" s="149" t="s">
        <v>2425</v>
      </c>
      <c r="G350" s="148">
        <v>5391641915</v>
      </c>
      <c r="H350" s="148"/>
      <c r="I350" s="150">
        <v>22500</v>
      </c>
      <c r="J350" s="148" t="s">
        <v>582</v>
      </c>
      <c r="K350" s="148"/>
      <c r="L350" s="148"/>
      <c r="M350" s="148"/>
      <c r="N350" s="148"/>
      <c r="O350" s="164" t="s">
        <v>640</v>
      </c>
      <c r="P350" s="169" t="s">
        <v>506</v>
      </c>
      <c r="Q350" s="165">
        <v>40096</v>
      </c>
    </row>
    <row r="351" spans="1:17" s="53" customFormat="1" ht="24" hidden="1">
      <c r="A351" s="52"/>
      <c r="B351" s="148" t="s">
        <v>2426</v>
      </c>
      <c r="C351" s="148" t="s">
        <v>896</v>
      </c>
      <c r="D351" s="148" t="s">
        <v>2896</v>
      </c>
      <c r="E351" s="149">
        <v>480002014</v>
      </c>
      <c r="F351" s="149" t="s">
        <v>2427</v>
      </c>
      <c r="G351" s="148">
        <v>5391645655</v>
      </c>
      <c r="H351" s="148"/>
      <c r="I351" s="150">
        <v>20000</v>
      </c>
      <c r="J351" s="148" t="s">
        <v>582</v>
      </c>
      <c r="K351" s="148"/>
      <c r="L351" s="148"/>
      <c r="M351" s="148"/>
      <c r="N351" s="148"/>
      <c r="O351" s="164" t="s">
        <v>2415</v>
      </c>
      <c r="P351" s="166" t="s">
        <v>1080</v>
      </c>
      <c r="Q351" s="165">
        <v>40096</v>
      </c>
    </row>
    <row r="352" spans="1:17" s="31" customFormat="1" ht="140.25" hidden="1">
      <c r="A352" s="52" t="s">
        <v>1870</v>
      </c>
      <c r="B352" s="113" t="s">
        <v>1873</v>
      </c>
      <c r="C352" s="52" t="s">
        <v>2513</v>
      </c>
      <c r="D352" s="113" t="s">
        <v>521</v>
      </c>
      <c r="E352" s="113">
        <v>4600017216</v>
      </c>
      <c r="F352" s="52">
        <v>5001261971</v>
      </c>
      <c r="G352" s="52" t="s">
        <v>938</v>
      </c>
      <c r="H352" s="52"/>
      <c r="I352" s="114">
        <v>61080</v>
      </c>
      <c r="J352" s="52" t="s">
        <v>1206</v>
      </c>
      <c r="K352" s="52"/>
      <c r="L352" s="52"/>
      <c r="M352" s="52"/>
      <c r="N352" s="52"/>
      <c r="O352" s="79" t="s">
        <v>74</v>
      </c>
      <c r="P352" s="43" t="s">
        <v>506</v>
      </c>
      <c r="Q352" s="93">
        <v>40088</v>
      </c>
    </row>
    <row r="353" spans="1:17" s="31" customFormat="1" ht="102" hidden="1">
      <c r="A353" s="52" t="s">
        <v>1870</v>
      </c>
      <c r="B353" s="113" t="s">
        <v>819</v>
      </c>
      <c r="C353" s="115" t="s">
        <v>2513</v>
      </c>
      <c r="D353" s="113" t="s">
        <v>521</v>
      </c>
      <c r="E353" s="115">
        <v>4600018903</v>
      </c>
      <c r="F353" s="100">
        <v>5001309896</v>
      </c>
      <c r="G353" s="52" t="s">
        <v>820</v>
      </c>
      <c r="H353" s="52"/>
      <c r="I353" s="114">
        <v>75080.88</v>
      </c>
      <c r="J353" s="52" t="s">
        <v>1206</v>
      </c>
      <c r="K353" s="52"/>
      <c r="L353" s="52"/>
      <c r="M353" s="52"/>
      <c r="N353" s="52"/>
      <c r="O353" s="125" t="s">
        <v>1085</v>
      </c>
      <c r="P353" s="43" t="s">
        <v>506</v>
      </c>
      <c r="Q353" s="93">
        <v>40091</v>
      </c>
    </row>
    <row r="354" spans="1:17" s="31" customFormat="1" ht="293.25" hidden="1">
      <c r="A354" s="52" t="s">
        <v>1870</v>
      </c>
      <c r="B354" s="52" t="s">
        <v>31</v>
      </c>
      <c r="C354" s="52" t="s">
        <v>704</v>
      </c>
      <c r="D354" s="52" t="s">
        <v>1750</v>
      </c>
      <c r="E354" s="52">
        <v>4600019394</v>
      </c>
      <c r="F354" s="52" t="s">
        <v>32</v>
      </c>
      <c r="G354" s="52" t="s">
        <v>1178</v>
      </c>
      <c r="H354" s="52"/>
      <c r="I354" s="114">
        <v>21750</v>
      </c>
      <c r="J354" s="52" t="s">
        <v>1864</v>
      </c>
      <c r="K354" s="52"/>
      <c r="L354" s="52"/>
      <c r="M354" s="52"/>
      <c r="N354" s="52"/>
      <c r="O354" s="79" t="s">
        <v>982</v>
      </c>
      <c r="P354" s="41" t="s">
        <v>1080</v>
      </c>
      <c r="Q354" s="93">
        <v>40087</v>
      </c>
    </row>
    <row r="355" spans="1:17" s="31" customFormat="1" ht="229.5" hidden="1">
      <c r="A355" s="52" t="s">
        <v>1870</v>
      </c>
      <c r="B355" s="113" t="s">
        <v>2783</v>
      </c>
      <c r="C355" s="115" t="s">
        <v>386</v>
      </c>
      <c r="D355" s="113" t="s">
        <v>775</v>
      </c>
      <c r="E355" s="113">
        <v>4600019500</v>
      </c>
      <c r="F355" s="52" t="s">
        <v>2784</v>
      </c>
      <c r="G355" s="52">
        <v>6394418818</v>
      </c>
      <c r="H355" s="52"/>
      <c r="I355" s="114">
        <v>4788</v>
      </c>
      <c r="J355" s="52" t="s">
        <v>1864</v>
      </c>
      <c r="K355" s="52"/>
      <c r="L355" s="52"/>
      <c r="M355" s="52"/>
      <c r="N355" s="52"/>
      <c r="O355" s="172" t="s">
        <v>1257</v>
      </c>
      <c r="P355" s="43" t="s">
        <v>506</v>
      </c>
      <c r="Q355" s="93">
        <v>40096</v>
      </c>
    </row>
    <row r="356" spans="1:17" s="31" customFormat="1" ht="178.5" hidden="1">
      <c r="A356" s="52" t="s">
        <v>1870</v>
      </c>
      <c r="B356" s="113" t="s">
        <v>145</v>
      </c>
      <c r="C356" s="115" t="s">
        <v>1863</v>
      </c>
      <c r="D356" s="113" t="s">
        <v>53</v>
      </c>
      <c r="E356" s="115">
        <v>4600019053</v>
      </c>
      <c r="F356" s="100" t="s">
        <v>146</v>
      </c>
      <c r="G356" s="52" t="s">
        <v>147</v>
      </c>
      <c r="H356" s="52"/>
      <c r="I356" s="114">
        <v>135865.35</v>
      </c>
      <c r="J356" s="52" t="s">
        <v>1864</v>
      </c>
      <c r="K356" s="52"/>
      <c r="L356" s="52"/>
      <c r="M356" s="52"/>
      <c r="N356" s="52"/>
      <c r="O356" s="32" t="s">
        <v>2077</v>
      </c>
      <c r="P356" s="43" t="s">
        <v>506</v>
      </c>
      <c r="Q356" s="93">
        <v>40094</v>
      </c>
    </row>
    <row r="357" spans="1:17" s="31" customFormat="1" ht="140.25" hidden="1">
      <c r="A357" s="52" t="s">
        <v>1870</v>
      </c>
      <c r="B357" s="113" t="s">
        <v>1009</v>
      </c>
      <c r="C357" s="115" t="s">
        <v>1793</v>
      </c>
      <c r="D357" s="113" t="s">
        <v>53</v>
      </c>
      <c r="E357" s="115">
        <v>4600018681</v>
      </c>
      <c r="F357" s="100" t="s">
        <v>1010</v>
      </c>
      <c r="G357" s="52" t="s">
        <v>1177</v>
      </c>
      <c r="H357" s="52"/>
      <c r="I357" s="114">
        <v>95429.42</v>
      </c>
      <c r="J357" s="52" t="s">
        <v>1864</v>
      </c>
      <c r="K357" s="52"/>
      <c r="L357" s="52"/>
      <c r="M357" s="52"/>
      <c r="N357" s="52"/>
      <c r="O357" s="32" t="s">
        <v>1900</v>
      </c>
      <c r="P357" s="43" t="s">
        <v>506</v>
      </c>
      <c r="Q357" s="93">
        <v>40089</v>
      </c>
    </row>
    <row r="358" spans="1:17" s="31" customFormat="1" ht="127.5" hidden="1">
      <c r="A358" s="52" t="s">
        <v>1870</v>
      </c>
      <c r="B358" s="113" t="s">
        <v>2128</v>
      </c>
      <c r="C358" s="115" t="s">
        <v>2125</v>
      </c>
      <c r="D358" s="113" t="s">
        <v>1750</v>
      </c>
      <c r="E358" s="115">
        <v>4600019636</v>
      </c>
      <c r="F358" s="100" t="s">
        <v>2644</v>
      </c>
      <c r="G358" s="52" t="s">
        <v>2645</v>
      </c>
      <c r="H358" s="52"/>
      <c r="I358" s="114">
        <v>12210</v>
      </c>
      <c r="J358" s="52" t="s">
        <v>1864</v>
      </c>
      <c r="K358" s="52"/>
      <c r="L358" s="52"/>
      <c r="M358" s="52"/>
      <c r="N358" s="52"/>
      <c r="O358" s="32" t="s">
        <v>1892</v>
      </c>
      <c r="P358" s="40" t="s">
        <v>980</v>
      </c>
      <c r="Q358" s="93">
        <v>40094</v>
      </c>
    </row>
    <row r="359" spans="1:17" s="31" customFormat="1" ht="153" hidden="1">
      <c r="A359" s="52" t="s">
        <v>1870</v>
      </c>
      <c r="B359" s="113" t="s">
        <v>2646</v>
      </c>
      <c r="C359" s="115" t="s">
        <v>2125</v>
      </c>
      <c r="D359" s="113" t="s">
        <v>1750</v>
      </c>
      <c r="E359" s="115">
        <v>4600019157</v>
      </c>
      <c r="F359" s="100" t="s">
        <v>2647</v>
      </c>
      <c r="G359" s="52" t="s">
        <v>2648</v>
      </c>
      <c r="H359" s="52"/>
      <c r="I359" s="114">
        <v>19147.5</v>
      </c>
      <c r="J359" s="52" t="s">
        <v>1864</v>
      </c>
      <c r="K359" s="52"/>
      <c r="L359" s="52"/>
      <c r="M359" s="52"/>
      <c r="N359" s="52"/>
      <c r="O359" s="32" t="s">
        <v>192</v>
      </c>
      <c r="P359" s="40" t="s">
        <v>980</v>
      </c>
      <c r="Q359" s="93">
        <v>40087</v>
      </c>
    </row>
    <row r="360" spans="1:17" s="31" customFormat="1" ht="76.5" hidden="1">
      <c r="A360" s="52" t="s">
        <v>1870</v>
      </c>
      <c r="B360" s="113" t="s">
        <v>2229</v>
      </c>
      <c r="C360" s="115" t="s">
        <v>2513</v>
      </c>
      <c r="D360" s="113" t="s">
        <v>521</v>
      </c>
      <c r="E360" s="115" t="s">
        <v>2230</v>
      </c>
      <c r="F360" s="100" t="s">
        <v>2231</v>
      </c>
      <c r="G360" s="52" t="s">
        <v>128</v>
      </c>
      <c r="H360" s="52"/>
      <c r="I360" s="114">
        <v>23707.29</v>
      </c>
      <c r="J360" s="52" t="s">
        <v>1864</v>
      </c>
      <c r="K360" s="52"/>
      <c r="L360" s="52"/>
      <c r="M360" s="52"/>
      <c r="N360" s="52"/>
      <c r="O360" s="32" t="s">
        <v>2794</v>
      </c>
      <c r="P360" s="41" t="s">
        <v>1080</v>
      </c>
      <c r="Q360" s="93">
        <v>40091</v>
      </c>
    </row>
    <row r="361" spans="1:17" s="31" customFormat="1" ht="76.5" hidden="1">
      <c r="A361" s="52" t="s">
        <v>1870</v>
      </c>
      <c r="B361" s="113" t="s">
        <v>129</v>
      </c>
      <c r="C361" s="115" t="s">
        <v>2513</v>
      </c>
      <c r="D361" s="113" t="s">
        <v>521</v>
      </c>
      <c r="E361" s="115">
        <v>4600019403</v>
      </c>
      <c r="F361" s="100">
        <v>5001363023</v>
      </c>
      <c r="G361" s="52" t="s">
        <v>1317</v>
      </c>
      <c r="H361" s="52"/>
      <c r="I361" s="114">
        <v>83078.92</v>
      </c>
      <c r="J361" s="52" t="s">
        <v>1864</v>
      </c>
      <c r="K361" s="52"/>
      <c r="L361" s="52"/>
      <c r="M361" s="52"/>
      <c r="N361" s="52"/>
      <c r="O361" s="32" t="s">
        <v>301</v>
      </c>
      <c r="P361" s="43" t="s">
        <v>506</v>
      </c>
      <c r="Q361" s="93">
        <v>40087</v>
      </c>
    </row>
    <row r="362" spans="1:17" s="31" customFormat="1" ht="76.5" hidden="1">
      <c r="A362" s="52" t="s">
        <v>1870</v>
      </c>
      <c r="B362" s="113" t="s">
        <v>1318</v>
      </c>
      <c r="C362" s="115" t="s">
        <v>2513</v>
      </c>
      <c r="D362" s="113" t="s">
        <v>521</v>
      </c>
      <c r="E362" s="115">
        <v>4600019561</v>
      </c>
      <c r="F362" s="100">
        <v>5001363804</v>
      </c>
      <c r="G362" s="52" t="s">
        <v>1319</v>
      </c>
      <c r="H362" s="52"/>
      <c r="I362" s="114">
        <v>36512.83</v>
      </c>
      <c r="J362" s="52" t="s">
        <v>1864</v>
      </c>
      <c r="K362" s="52"/>
      <c r="L362" s="52"/>
      <c r="M362" s="52"/>
      <c r="N362" s="52"/>
      <c r="O362" s="32" t="s">
        <v>1632</v>
      </c>
      <c r="P362" s="43" t="s">
        <v>506</v>
      </c>
      <c r="Q362" s="93">
        <v>40087</v>
      </c>
    </row>
    <row r="363" spans="1:17" s="31" customFormat="1" ht="114.75" hidden="1">
      <c r="A363" s="52" t="s">
        <v>1870</v>
      </c>
      <c r="B363" s="113" t="s">
        <v>2236</v>
      </c>
      <c r="C363" s="115" t="s">
        <v>1863</v>
      </c>
      <c r="D363" s="113" t="s">
        <v>53</v>
      </c>
      <c r="E363" s="115">
        <v>4600019330</v>
      </c>
      <c r="F363" s="100" t="s">
        <v>260</v>
      </c>
      <c r="G363" s="52" t="s">
        <v>418</v>
      </c>
      <c r="H363" s="52"/>
      <c r="I363" s="114">
        <v>212828.3</v>
      </c>
      <c r="J363" s="52" t="s">
        <v>1864</v>
      </c>
      <c r="K363" s="52"/>
      <c r="L363" s="52"/>
      <c r="M363" s="52"/>
      <c r="N363" s="52"/>
      <c r="O363" s="32" t="s">
        <v>1218</v>
      </c>
      <c r="P363" s="43" t="s">
        <v>506</v>
      </c>
      <c r="Q363" s="93">
        <v>40096</v>
      </c>
    </row>
    <row r="364" spans="1:17" s="31" customFormat="1" ht="114.75" hidden="1">
      <c r="A364" s="52" t="s">
        <v>1870</v>
      </c>
      <c r="B364" s="113" t="s">
        <v>261</v>
      </c>
      <c r="C364" s="115" t="s">
        <v>1863</v>
      </c>
      <c r="D364" s="113" t="s">
        <v>53</v>
      </c>
      <c r="E364" s="115">
        <v>4600019320</v>
      </c>
      <c r="F364" s="100" t="s">
        <v>262</v>
      </c>
      <c r="G364" s="52" t="s">
        <v>416</v>
      </c>
      <c r="H364" s="52"/>
      <c r="I364" s="114">
        <v>49906</v>
      </c>
      <c r="J364" s="52" t="s">
        <v>1864</v>
      </c>
      <c r="K364" s="52"/>
      <c r="L364" s="52"/>
      <c r="M364" s="52"/>
      <c r="N364" s="52"/>
      <c r="O364" s="32" t="s">
        <v>1218</v>
      </c>
      <c r="P364" s="43" t="s">
        <v>506</v>
      </c>
      <c r="Q364" s="93">
        <v>40096</v>
      </c>
    </row>
    <row r="365" spans="1:17" s="31" customFormat="1" ht="114.75" hidden="1">
      <c r="A365" s="52" t="s">
        <v>1870</v>
      </c>
      <c r="B365" s="113" t="s">
        <v>263</v>
      </c>
      <c r="C365" s="115" t="s">
        <v>1863</v>
      </c>
      <c r="D365" s="113" t="s">
        <v>53</v>
      </c>
      <c r="E365" s="115">
        <v>4600019332</v>
      </c>
      <c r="F365" s="100" t="s">
        <v>264</v>
      </c>
      <c r="G365" s="52" t="s">
        <v>417</v>
      </c>
      <c r="H365" s="52"/>
      <c r="I365" s="114">
        <v>212828.3</v>
      </c>
      <c r="J365" s="52" t="s">
        <v>1864</v>
      </c>
      <c r="K365" s="52"/>
      <c r="L365" s="52"/>
      <c r="M365" s="52"/>
      <c r="N365" s="52"/>
      <c r="O365" s="32" t="s">
        <v>1218</v>
      </c>
      <c r="P365" s="43" t="s">
        <v>506</v>
      </c>
      <c r="Q365" s="93">
        <v>40096</v>
      </c>
    </row>
    <row r="366" spans="1:17" s="31" customFormat="1" ht="76.5" hidden="1">
      <c r="A366" s="52" t="s">
        <v>1870</v>
      </c>
      <c r="B366" s="113" t="s">
        <v>1039</v>
      </c>
      <c r="C366" s="115" t="s">
        <v>2513</v>
      </c>
      <c r="D366" s="113" t="s">
        <v>521</v>
      </c>
      <c r="E366" s="115">
        <v>4600019748</v>
      </c>
      <c r="F366" s="100">
        <v>5001370546</v>
      </c>
      <c r="G366" s="52" t="s">
        <v>1040</v>
      </c>
      <c r="H366" s="52"/>
      <c r="I366" s="114">
        <v>81906.559999999998</v>
      </c>
      <c r="J366" s="52" t="s">
        <v>1864</v>
      </c>
      <c r="K366" s="52"/>
      <c r="L366" s="52"/>
      <c r="M366" s="52"/>
      <c r="N366" s="52"/>
      <c r="O366" s="32" t="s">
        <v>356</v>
      </c>
      <c r="P366" s="43" t="s">
        <v>506</v>
      </c>
      <c r="Q366" s="93">
        <v>40094</v>
      </c>
    </row>
    <row r="367" spans="1:17" s="31" customFormat="1" ht="51" hidden="1">
      <c r="A367" s="52" t="s">
        <v>1870</v>
      </c>
      <c r="B367" s="113" t="s">
        <v>472</v>
      </c>
      <c r="C367" s="115" t="s">
        <v>2513</v>
      </c>
      <c r="D367" s="113" t="s">
        <v>521</v>
      </c>
      <c r="E367" s="115" t="s">
        <v>473</v>
      </c>
      <c r="F367" s="115">
        <v>5001377812</v>
      </c>
      <c r="G367" s="52" t="s">
        <v>1248</v>
      </c>
      <c r="H367" s="52"/>
      <c r="I367" s="114">
        <v>158094.14000000001</v>
      </c>
      <c r="J367" s="52" t="s">
        <v>1864</v>
      </c>
      <c r="K367" s="52"/>
      <c r="L367" s="52"/>
      <c r="M367" s="52"/>
      <c r="N367" s="52"/>
      <c r="O367" s="32" t="s">
        <v>1021</v>
      </c>
      <c r="P367" s="43" t="s">
        <v>506</v>
      </c>
      <c r="Q367" s="93">
        <v>40099</v>
      </c>
    </row>
    <row r="368" spans="1:17" s="31" customFormat="1" ht="191.25" hidden="1">
      <c r="A368" s="52" t="s">
        <v>1870</v>
      </c>
      <c r="B368" s="113" t="s">
        <v>1230</v>
      </c>
      <c r="C368" s="115" t="s">
        <v>841</v>
      </c>
      <c r="D368" s="113" t="s">
        <v>1750</v>
      </c>
      <c r="E368" s="115">
        <v>4600020573</v>
      </c>
      <c r="F368" s="100" t="s">
        <v>269</v>
      </c>
      <c r="G368" s="52" t="s">
        <v>1231</v>
      </c>
      <c r="H368" s="52"/>
      <c r="I368" s="114">
        <v>55540.800000000003</v>
      </c>
      <c r="J368" s="52" t="s">
        <v>1864</v>
      </c>
      <c r="K368" s="52"/>
      <c r="L368" s="52"/>
      <c r="M368" s="52"/>
      <c r="N368" s="52"/>
      <c r="O368" s="32" t="s">
        <v>2743</v>
      </c>
      <c r="P368" s="43" t="s">
        <v>506</v>
      </c>
      <c r="Q368" s="93">
        <v>40099</v>
      </c>
    </row>
    <row r="369" spans="1:17" s="31" customFormat="1" ht="242.25" hidden="1">
      <c r="A369" s="52" t="s">
        <v>1870</v>
      </c>
      <c r="B369" s="113" t="s">
        <v>1356</v>
      </c>
      <c r="C369" s="115" t="s">
        <v>2513</v>
      </c>
      <c r="D369" s="113" t="s">
        <v>521</v>
      </c>
      <c r="E369" s="115">
        <v>4600019745</v>
      </c>
      <c r="F369" s="100">
        <v>5001370459</v>
      </c>
      <c r="G369" s="52" t="s">
        <v>1357</v>
      </c>
      <c r="H369" s="52"/>
      <c r="I369" s="114">
        <v>55463.94</v>
      </c>
      <c r="J369" s="52" t="s">
        <v>1864</v>
      </c>
      <c r="K369" s="52"/>
      <c r="L369" s="52"/>
      <c r="M369" s="52"/>
      <c r="N369" s="52"/>
      <c r="O369" s="32" t="s">
        <v>1636</v>
      </c>
      <c r="P369" s="41" t="s">
        <v>1080</v>
      </c>
      <c r="Q369" s="93">
        <v>40101</v>
      </c>
    </row>
    <row r="370" spans="1:17" s="31" customFormat="1" ht="229.5" hidden="1">
      <c r="A370" s="52" t="s">
        <v>1870</v>
      </c>
      <c r="B370" s="113" t="s">
        <v>1041</v>
      </c>
      <c r="C370" s="115" t="s">
        <v>2513</v>
      </c>
      <c r="D370" s="113" t="s">
        <v>521</v>
      </c>
      <c r="E370" s="115">
        <v>4600019583</v>
      </c>
      <c r="F370" s="100">
        <v>5001363301</v>
      </c>
      <c r="G370" s="52" t="s">
        <v>1042</v>
      </c>
      <c r="H370" s="52"/>
      <c r="I370" s="114">
        <v>55463.94</v>
      </c>
      <c r="J370" s="52" t="s">
        <v>1206</v>
      </c>
      <c r="K370" s="52"/>
      <c r="L370" s="52"/>
      <c r="M370" s="52"/>
      <c r="N370" s="52"/>
      <c r="O370" s="125" t="s">
        <v>1439</v>
      </c>
      <c r="P370" s="41" t="s">
        <v>1080</v>
      </c>
      <c r="Q370" s="93">
        <v>40100</v>
      </c>
    </row>
    <row r="371" spans="1:17" s="31" customFormat="1" ht="140.25" hidden="1">
      <c r="A371" s="52" t="s">
        <v>1870</v>
      </c>
      <c r="B371" s="113" t="s">
        <v>255</v>
      </c>
      <c r="C371" s="115" t="s">
        <v>296</v>
      </c>
      <c r="D371" s="113" t="s">
        <v>775</v>
      </c>
      <c r="E371" s="115">
        <v>4600019998</v>
      </c>
      <c r="F371" s="100" t="s">
        <v>256</v>
      </c>
      <c r="G371" s="52">
        <v>614608253</v>
      </c>
      <c r="H371" s="52"/>
      <c r="I371" s="114">
        <v>4238</v>
      </c>
      <c r="J371" s="52" t="s">
        <v>1864</v>
      </c>
      <c r="K371" s="52"/>
      <c r="L371" s="52"/>
      <c r="M371" s="52"/>
      <c r="N371" s="52"/>
      <c r="O371" s="32" t="s">
        <v>1131</v>
      </c>
      <c r="P371" s="40" t="s">
        <v>980</v>
      </c>
      <c r="Q371" s="93">
        <v>40102</v>
      </c>
    </row>
    <row r="372" spans="1:17" s="31" customFormat="1" ht="51" hidden="1">
      <c r="A372" s="52" t="s">
        <v>1870</v>
      </c>
      <c r="B372" s="113" t="s">
        <v>186</v>
      </c>
      <c r="C372" s="115" t="s">
        <v>2513</v>
      </c>
      <c r="D372" s="113" t="s">
        <v>521</v>
      </c>
      <c r="E372" s="115" t="s">
        <v>187</v>
      </c>
      <c r="F372" s="115" t="s">
        <v>188</v>
      </c>
      <c r="G372" s="52" t="s">
        <v>189</v>
      </c>
      <c r="H372" s="52"/>
      <c r="I372" s="114">
        <v>40106.07</v>
      </c>
      <c r="J372" s="52" t="s">
        <v>1864</v>
      </c>
      <c r="K372" s="52"/>
      <c r="L372" s="52"/>
      <c r="M372" s="52"/>
      <c r="N372" s="52"/>
      <c r="O372" s="32" t="s">
        <v>349</v>
      </c>
      <c r="P372" s="43" t="s">
        <v>506</v>
      </c>
      <c r="Q372" s="93">
        <v>40101</v>
      </c>
    </row>
    <row r="373" spans="1:17" s="31" customFormat="1" ht="89.25" hidden="1">
      <c r="A373" s="52" t="s">
        <v>1870</v>
      </c>
      <c r="B373" s="113" t="s">
        <v>1897</v>
      </c>
      <c r="C373" s="115" t="s">
        <v>2513</v>
      </c>
      <c r="D373" s="113" t="s">
        <v>521</v>
      </c>
      <c r="E373" s="115" t="s">
        <v>1898</v>
      </c>
      <c r="F373" s="115" t="s">
        <v>1056</v>
      </c>
      <c r="G373" s="52" t="s">
        <v>1057</v>
      </c>
      <c r="H373" s="52"/>
      <c r="I373" s="114">
        <v>41556.33</v>
      </c>
      <c r="J373" s="52" t="s">
        <v>1864</v>
      </c>
      <c r="K373" s="52"/>
      <c r="L373" s="52"/>
      <c r="M373" s="52"/>
      <c r="N373" s="52"/>
      <c r="O373" s="32" t="s">
        <v>1854</v>
      </c>
      <c r="P373" s="43" t="s">
        <v>506</v>
      </c>
      <c r="Q373" s="93">
        <v>40101</v>
      </c>
    </row>
    <row r="374" spans="1:17" s="73" customFormat="1" ht="25.5" hidden="1">
      <c r="A374" s="72"/>
      <c r="B374" s="72" t="s">
        <v>22</v>
      </c>
      <c r="C374" s="72" t="s">
        <v>2080</v>
      </c>
      <c r="D374" s="72" t="s">
        <v>1750</v>
      </c>
      <c r="E374" s="72">
        <v>4600021371</v>
      </c>
      <c r="F374" s="72" t="s">
        <v>785</v>
      </c>
      <c r="G374" s="72">
        <v>9083358</v>
      </c>
      <c r="H374" s="72"/>
      <c r="I374" s="135">
        <v>2293.1999999999998</v>
      </c>
      <c r="J374" s="72" t="s">
        <v>582</v>
      </c>
      <c r="K374" s="72"/>
      <c r="L374" s="72"/>
      <c r="M374" s="72"/>
      <c r="N374" s="72"/>
      <c r="O374" s="136" t="s">
        <v>350</v>
      </c>
      <c r="P374" s="174" t="s">
        <v>980</v>
      </c>
      <c r="Q374" s="82">
        <v>40102</v>
      </c>
    </row>
    <row r="375" spans="1:17" s="73" customFormat="1" ht="25.5" hidden="1">
      <c r="A375" s="72"/>
      <c r="B375" s="72" t="s">
        <v>786</v>
      </c>
      <c r="C375" s="72" t="s">
        <v>2518</v>
      </c>
      <c r="D375" s="72" t="s">
        <v>1750</v>
      </c>
      <c r="E375" s="134" t="s">
        <v>787</v>
      </c>
      <c r="F375" s="72" t="s">
        <v>788</v>
      </c>
      <c r="G375" s="72" t="s">
        <v>1586</v>
      </c>
      <c r="H375" s="72"/>
      <c r="I375" s="135">
        <v>6631.2</v>
      </c>
      <c r="J375" s="72" t="s">
        <v>582</v>
      </c>
      <c r="K375" s="72"/>
      <c r="L375" s="72"/>
      <c r="M375" s="72"/>
      <c r="N375" s="72"/>
      <c r="O375" s="136" t="s">
        <v>1527</v>
      </c>
      <c r="P375" s="173" t="s">
        <v>1080</v>
      </c>
      <c r="Q375" s="82">
        <v>40102</v>
      </c>
    </row>
    <row r="376" spans="1:17" s="73" customFormat="1" ht="25.5" hidden="1">
      <c r="A376" s="72"/>
      <c r="B376" s="72" t="s">
        <v>2003</v>
      </c>
      <c r="C376" s="72" t="s">
        <v>841</v>
      </c>
      <c r="D376" s="72" t="s">
        <v>1750</v>
      </c>
      <c r="E376" s="134">
        <v>4600021369</v>
      </c>
      <c r="F376" s="72" t="s">
        <v>2098</v>
      </c>
      <c r="G376" s="72" t="s">
        <v>1723</v>
      </c>
      <c r="H376" s="72"/>
      <c r="I376" s="135">
        <v>3380.04</v>
      </c>
      <c r="J376" s="72" t="s">
        <v>582</v>
      </c>
      <c r="K376" s="72"/>
      <c r="L376" s="72"/>
      <c r="M376" s="72"/>
      <c r="N376" s="72"/>
      <c r="O376" s="136" t="s">
        <v>1527</v>
      </c>
      <c r="P376" s="173" t="s">
        <v>1080</v>
      </c>
      <c r="Q376" s="82">
        <v>40102</v>
      </c>
    </row>
    <row r="377" spans="1:17" customFormat="1" ht="72" hidden="1">
      <c r="A377" s="139"/>
      <c r="B377" s="140" t="s">
        <v>1665</v>
      </c>
      <c r="C377" s="74" t="s">
        <v>570</v>
      </c>
      <c r="D377" s="74" t="s">
        <v>1012</v>
      </c>
      <c r="E377" s="116">
        <v>580000057</v>
      </c>
      <c r="F377" s="116" t="s">
        <v>1666</v>
      </c>
      <c r="G377" s="74" t="s">
        <v>2829</v>
      </c>
      <c r="H377" s="74"/>
      <c r="I377" s="77">
        <v>4228</v>
      </c>
      <c r="J377" s="74" t="s">
        <v>582</v>
      </c>
      <c r="K377" s="74"/>
      <c r="L377" s="74"/>
      <c r="M377" s="74"/>
      <c r="N377" s="74"/>
      <c r="O377" s="164" t="s">
        <v>1407</v>
      </c>
      <c r="P377" s="143" t="s">
        <v>506</v>
      </c>
      <c r="Q377" s="145">
        <v>40102</v>
      </c>
    </row>
    <row r="378" spans="1:17" customFormat="1" ht="72" hidden="1">
      <c r="A378" s="139"/>
      <c r="B378" s="140" t="s">
        <v>1667</v>
      </c>
      <c r="C378" s="74" t="s">
        <v>570</v>
      </c>
      <c r="D378" s="74" t="s">
        <v>1012</v>
      </c>
      <c r="E378" s="116">
        <v>580000058</v>
      </c>
      <c r="F378" s="116" t="s">
        <v>1668</v>
      </c>
      <c r="G378" s="74" t="s">
        <v>1669</v>
      </c>
      <c r="H378" s="74"/>
      <c r="I378" s="77">
        <v>36633.599999999999</v>
      </c>
      <c r="J378" s="74" t="s">
        <v>582</v>
      </c>
      <c r="K378" s="74"/>
      <c r="L378" s="74"/>
      <c r="M378" s="74"/>
      <c r="N378" s="74"/>
      <c r="O378" s="164" t="s">
        <v>614</v>
      </c>
      <c r="P378" s="144" t="s">
        <v>980</v>
      </c>
      <c r="Q378" s="145">
        <v>40102</v>
      </c>
    </row>
    <row r="379" spans="1:17" s="31" customFormat="1" ht="191.25" hidden="1">
      <c r="A379" s="52" t="s">
        <v>1870</v>
      </c>
      <c r="B379" s="113" t="s">
        <v>266</v>
      </c>
      <c r="C379" s="115" t="s">
        <v>1863</v>
      </c>
      <c r="D379" s="113" t="s">
        <v>521</v>
      </c>
      <c r="E379" s="115">
        <v>4600017932</v>
      </c>
      <c r="F379" s="100" t="s">
        <v>267</v>
      </c>
      <c r="G379" s="52" t="s">
        <v>268</v>
      </c>
      <c r="H379" s="52"/>
      <c r="I379" s="114">
        <v>92425.16</v>
      </c>
      <c r="J379" s="52" t="s">
        <v>1864</v>
      </c>
      <c r="K379" s="52"/>
      <c r="L379" s="52"/>
      <c r="M379" s="52"/>
      <c r="N379" s="52"/>
      <c r="O379" s="32" t="s">
        <v>2660</v>
      </c>
      <c r="P379" s="41" t="s">
        <v>1080</v>
      </c>
      <c r="Q379" s="93">
        <v>40102</v>
      </c>
    </row>
    <row r="380" spans="1:17" s="31" customFormat="1" ht="51" hidden="1">
      <c r="A380" s="52" t="s">
        <v>1870</v>
      </c>
      <c r="B380" s="113" t="s">
        <v>463</v>
      </c>
      <c r="C380" s="113" t="s">
        <v>2513</v>
      </c>
      <c r="D380" s="113" t="s">
        <v>521</v>
      </c>
      <c r="E380" s="113">
        <v>4600018684</v>
      </c>
      <c r="F380" s="100">
        <v>5001332054</v>
      </c>
      <c r="G380" s="52" t="s">
        <v>464</v>
      </c>
      <c r="H380" s="52"/>
      <c r="I380" s="114">
        <v>48329.47</v>
      </c>
      <c r="J380" s="52" t="s">
        <v>1206</v>
      </c>
      <c r="K380" s="52"/>
      <c r="L380" s="52"/>
      <c r="M380" s="52"/>
      <c r="N380" s="52"/>
      <c r="O380" s="79" t="s">
        <v>1422</v>
      </c>
      <c r="P380" s="43" t="s">
        <v>506</v>
      </c>
      <c r="Q380" s="93">
        <v>40105</v>
      </c>
    </row>
    <row r="381" spans="1:17" s="31" customFormat="1" ht="114.75" hidden="1">
      <c r="A381" s="52" t="s">
        <v>1870</v>
      </c>
      <c r="B381" s="113" t="s">
        <v>1174</v>
      </c>
      <c r="C381" s="115" t="s">
        <v>2513</v>
      </c>
      <c r="D381" s="113" t="s">
        <v>53</v>
      </c>
      <c r="E381" s="115" t="s">
        <v>1175</v>
      </c>
      <c r="F381" s="100" t="s">
        <v>1176</v>
      </c>
      <c r="G381" s="52" t="s">
        <v>2490</v>
      </c>
      <c r="H381" s="52"/>
      <c r="I381" s="114">
        <v>366486.4</v>
      </c>
      <c r="J381" s="52" t="s">
        <v>1864</v>
      </c>
      <c r="K381" s="52"/>
      <c r="L381" s="52"/>
      <c r="M381" s="52"/>
      <c r="N381" s="52"/>
      <c r="O381" s="32" t="s">
        <v>501</v>
      </c>
      <c r="P381" s="43" t="s">
        <v>506</v>
      </c>
      <c r="Q381" s="93">
        <v>40105</v>
      </c>
    </row>
    <row r="382" spans="1:17" s="31" customFormat="1" ht="102" hidden="1">
      <c r="A382" s="52" t="s">
        <v>1870</v>
      </c>
      <c r="B382" s="113" t="s">
        <v>1058</v>
      </c>
      <c r="C382" s="115" t="s">
        <v>2513</v>
      </c>
      <c r="D382" s="113" t="s">
        <v>521</v>
      </c>
      <c r="E382" s="115" t="s">
        <v>1059</v>
      </c>
      <c r="F382" s="115" t="s">
        <v>1060</v>
      </c>
      <c r="G382" s="52" t="s">
        <v>1061</v>
      </c>
      <c r="H382" s="52"/>
      <c r="I382" s="114">
        <v>85183.76</v>
      </c>
      <c r="J382" s="52" t="s">
        <v>1864</v>
      </c>
      <c r="K382" s="52"/>
      <c r="L382" s="52"/>
      <c r="M382" s="52"/>
      <c r="N382" s="52"/>
      <c r="O382" s="32" t="s">
        <v>1480</v>
      </c>
      <c r="P382" s="41" t="s">
        <v>1080</v>
      </c>
      <c r="Q382" s="93">
        <v>40107</v>
      </c>
    </row>
    <row r="383" spans="1:17" s="31" customFormat="1" ht="102" hidden="1">
      <c r="A383" s="52" t="s">
        <v>1870</v>
      </c>
      <c r="B383" s="113" t="s">
        <v>1310</v>
      </c>
      <c r="C383" s="115" t="s">
        <v>2513</v>
      </c>
      <c r="D383" s="113" t="s">
        <v>521</v>
      </c>
      <c r="E383" s="115">
        <v>4600019978</v>
      </c>
      <c r="F383" s="100">
        <v>5001376535</v>
      </c>
      <c r="G383" s="52">
        <v>622500294</v>
      </c>
      <c r="H383" s="52"/>
      <c r="I383" s="114">
        <v>2304</v>
      </c>
      <c r="J383" s="52" t="s">
        <v>1864</v>
      </c>
      <c r="K383" s="52"/>
      <c r="L383" s="52"/>
      <c r="M383" s="52"/>
      <c r="N383" s="52"/>
      <c r="O383" s="32" t="s">
        <v>2190</v>
      </c>
      <c r="P383" s="43" t="s">
        <v>506</v>
      </c>
      <c r="Q383" s="93">
        <v>40107</v>
      </c>
    </row>
    <row r="384" spans="1:17" s="31" customFormat="1" ht="191.25" hidden="1">
      <c r="A384" s="52" t="s">
        <v>1870</v>
      </c>
      <c r="B384" s="113" t="s">
        <v>265</v>
      </c>
      <c r="C384" s="115" t="s">
        <v>1863</v>
      </c>
      <c r="D384" s="113" t="s">
        <v>53</v>
      </c>
      <c r="E384" s="115">
        <v>4600019334</v>
      </c>
      <c r="F384" s="100" t="s">
        <v>1055</v>
      </c>
      <c r="G384" s="52" t="s">
        <v>419</v>
      </c>
      <c r="H384" s="52"/>
      <c r="I384" s="114">
        <v>104244.26</v>
      </c>
      <c r="J384" s="52" t="s">
        <v>1864</v>
      </c>
      <c r="K384" s="52"/>
      <c r="L384" s="52"/>
      <c r="M384" s="52"/>
      <c r="N384" s="52"/>
      <c r="O384" s="32" t="s">
        <v>2320</v>
      </c>
      <c r="P384" s="43" t="s">
        <v>506</v>
      </c>
      <c r="Q384" s="93">
        <v>40107</v>
      </c>
    </row>
    <row r="385" spans="1:17" customFormat="1" ht="60" hidden="1">
      <c r="A385" s="139"/>
      <c r="B385" s="140" t="s">
        <v>2519</v>
      </c>
      <c r="C385" s="74" t="s">
        <v>570</v>
      </c>
      <c r="D385" s="74" t="s">
        <v>1012</v>
      </c>
      <c r="E385" s="116">
        <v>580000059</v>
      </c>
      <c r="F385" s="116" t="s">
        <v>2520</v>
      </c>
      <c r="G385" s="74" t="s">
        <v>1669</v>
      </c>
      <c r="H385" s="74"/>
      <c r="I385" s="77">
        <v>95385.600000000006</v>
      </c>
      <c r="J385" s="74" t="s">
        <v>582</v>
      </c>
      <c r="K385" s="74"/>
      <c r="L385" s="74"/>
      <c r="M385" s="74"/>
      <c r="N385" s="74"/>
      <c r="O385" s="164" t="s">
        <v>2207</v>
      </c>
      <c r="P385" s="143" t="s">
        <v>506</v>
      </c>
      <c r="Q385" s="145">
        <v>40107</v>
      </c>
    </row>
    <row r="386" spans="1:17" customFormat="1" ht="60" hidden="1">
      <c r="A386" s="139"/>
      <c r="B386" s="140" t="s">
        <v>2521</v>
      </c>
      <c r="C386" s="74" t="s">
        <v>570</v>
      </c>
      <c r="D386" s="74" t="s">
        <v>1012</v>
      </c>
      <c r="E386" s="116">
        <v>580000059</v>
      </c>
      <c r="F386" s="116" t="s">
        <v>2522</v>
      </c>
      <c r="G386" s="74" t="s">
        <v>377</v>
      </c>
      <c r="H386" s="74"/>
      <c r="I386" s="77">
        <v>63590.400000000001</v>
      </c>
      <c r="J386" s="74" t="s">
        <v>582</v>
      </c>
      <c r="K386" s="74"/>
      <c r="L386" s="74"/>
      <c r="M386" s="74"/>
      <c r="N386" s="74"/>
      <c r="O386" s="164" t="s">
        <v>2207</v>
      </c>
      <c r="P386" s="143" t="s">
        <v>506</v>
      </c>
      <c r="Q386" s="145">
        <v>40107</v>
      </c>
    </row>
    <row r="387" spans="1:17" customFormat="1" ht="60" hidden="1">
      <c r="A387" s="139"/>
      <c r="B387" s="140" t="s">
        <v>378</v>
      </c>
      <c r="C387" s="74" t="s">
        <v>570</v>
      </c>
      <c r="D387" s="74" t="s">
        <v>1012</v>
      </c>
      <c r="E387" s="116">
        <v>580000059</v>
      </c>
      <c r="F387" s="116" t="s">
        <v>379</v>
      </c>
      <c r="G387" s="74" t="s">
        <v>380</v>
      </c>
      <c r="H387" s="74"/>
      <c r="I387" s="77">
        <v>31795.200000000001</v>
      </c>
      <c r="J387" s="74" t="s">
        <v>582</v>
      </c>
      <c r="K387" s="74"/>
      <c r="L387" s="74"/>
      <c r="M387" s="74"/>
      <c r="N387" s="74"/>
      <c r="O387" s="164" t="s">
        <v>549</v>
      </c>
      <c r="P387" s="143" t="s">
        <v>506</v>
      </c>
      <c r="Q387" s="145">
        <v>40107</v>
      </c>
    </row>
    <row r="388" spans="1:17" s="31" customFormat="1" ht="255" hidden="1">
      <c r="A388" s="52" t="s">
        <v>1870</v>
      </c>
      <c r="B388" s="113" t="s">
        <v>1747</v>
      </c>
      <c r="C388" s="115" t="s">
        <v>386</v>
      </c>
      <c r="D388" s="113" t="s">
        <v>775</v>
      </c>
      <c r="E388" s="113">
        <v>4600019500</v>
      </c>
      <c r="F388" s="52" t="s">
        <v>1748</v>
      </c>
      <c r="G388" s="52">
        <v>6394419216</v>
      </c>
      <c r="H388" s="52"/>
      <c r="I388" s="114">
        <v>10260</v>
      </c>
      <c r="J388" s="52" t="s">
        <v>1864</v>
      </c>
      <c r="K388" s="52"/>
      <c r="L388" s="52"/>
      <c r="M388" s="52"/>
      <c r="N388" s="52"/>
      <c r="O388" s="172" t="s">
        <v>1033</v>
      </c>
      <c r="P388" s="43" t="s">
        <v>506</v>
      </c>
      <c r="Q388" s="93">
        <v>40107</v>
      </c>
    </row>
    <row r="389" spans="1:17" s="31" customFormat="1" ht="63.75" hidden="1">
      <c r="A389" s="52" t="s">
        <v>1870</v>
      </c>
      <c r="B389" s="113" t="s">
        <v>2906</v>
      </c>
      <c r="C389" s="115" t="s">
        <v>2513</v>
      </c>
      <c r="D389" s="113" t="s">
        <v>521</v>
      </c>
      <c r="E389" s="115">
        <v>4600020145</v>
      </c>
      <c r="F389" s="115">
        <v>5001387518</v>
      </c>
      <c r="G389" s="52" t="s">
        <v>2907</v>
      </c>
      <c r="H389" s="52"/>
      <c r="I389" s="114">
        <v>53844.43</v>
      </c>
      <c r="J389" s="52" t="s">
        <v>1864</v>
      </c>
      <c r="K389" s="52"/>
      <c r="L389" s="52"/>
      <c r="M389" s="52"/>
      <c r="N389" s="52"/>
      <c r="O389" s="32" t="s">
        <v>2100</v>
      </c>
      <c r="P389" s="43" t="s">
        <v>506</v>
      </c>
      <c r="Q389" s="93">
        <v>40108</v>
      </c>
    </row>
    <row r="390" spans="1:17" s="31" customFormat="1" ht="38.25" hidden="1">
      <c r="A390" s="52" t="s">
        <v>1870</v>
      </c>
      <c r="B390" s="113" t="s">
        <v>2912</v>
      </c>
      <c r="C390" s="115" t="s">
        <v>2513</v>
      </c>
      <c r="D390" s="113" t="s">
        <v>521</v>
      </c>
      <c r="E390" s="115" t="s">
        <v>2913</v>
      </c>
      <c r="F390" s="115" t="s">
        <v>2914</v>
      </c>
      <c r="G390" s="52" t="s">
        <v>1560</v>
      </c>
      <c r="H390" s="52"/>
      <c r="I390" s="114">
        <v>51486.17</v>
      </c>
      <c r="J390" s="52" t="s">
        <v>1864</v>
      </c>
      <c r="K390" s="52"/>
      <c r="L390" s="52"/>
      <c r="M390" s="52"/>
      <c r="N390" s="52"/>
      <c r="O390" s="32" t="s">
        <v>2101</v>
      </c>
      <c r="P390" s="43" t="s">
        <v>506</v>
      </c>
      <c r="Q390" s="93">
        <v>40108</v>
      </c>
    </row>
    <row r="391" spans="1:17" s="31" customFormat="1" ht="153" hidden="1">
      <c r="A391" s="52" t="s">
        <v>1870</v>
      </c>
      <c r="B391" s="113" t="s">
        <v>2269</v>
      </c>
      <c r="C391" s="115" t="s">
        <v>2022</v>
      </c>
      <c r="D391" s="113" t="s">
        <v>521</v>
      </c>
      <c r="E391" s="115">
        <v>4600020442</v>
      </c>
      <c r="F391" s="100">
        <v>4600020442</v>
      </c>
      <c r="G391" s="52">
        <v>293357</v>
      </c>
      <c r="H391" s="52"/>
      <c r="I391" s="114">
        <v>8707.68</v>
      </c>
      <c r="J391" s="52" t="s">
        <v>1864</v>
      </c>
      <c r="K391" s="52"/>
      <c r="L391" s="52"/>
      <c r="M391" s="52"/>
      <c r="N391" s="52"/>
      <c r="O391" s="32" t="s">
        <v>2688</v>
      </c>
      <c r="P391" s="43" t="s">
        <v>506</v>
      </c>
      <c r="Q391" s="93">
        <v>40108</v>
      </c>
    </row>
    <row r="392" spans="1:17" s="31" customFormat="1" ht="140.25" hidden="1">
      <c r="A392" s="52" t="s">
        <v>1870</v>
      </c>
      <c r="B392" s="113" t="s">
        <v>1066</v>
      </c>
      <c r="C392" s="115" t="s">
        <v>1793</v>
      </c>
      <c r="D392" s="113" t="s">
        <v>53</v>
      </c>
      <c r="E392" s="115">
        <v>4600019060</v>
      </c>
      <c r="F392" s="100" t="s">
        <v>1067</v>
      </c>
      <c r="G392" s="52" t="s">
        <v>2797</v>
      </c>
      <c r="H392" s="52"/>
      <c r="I392" s="114">
        <v>102877</v>
      </c>
      <c r="J392" s="52" t="s">
        <v>1864</v>
      </c>
      <c r="K392" s="52"/>
      <c r="L392" s="52"/>
      <c r="M392" s="52"/>
      <c r="N392" s="52"/>
      <c r="O392" s="32" t="s">
        <v>1484</v>
      </c>
      <c r="P392" s="43" t="s">
        <v>506</v>
      </c>
      <c r="Q392" s="93">
        <v>40109</v>
      </c>
    </row>
    <row r="393" spans="1:17" s="31" customFormat="1" ht="89.25" hidden="1">
      <c r="A393" s="52" t="s">
        <v>1870</v>
      </c>
      <c r="B393" s="113" t="s">
        <v>2904</v>
      </c>
      <c r="C393" s="115" t="s">
        <v>2513</v>
      </c>
      <c r="D393" s="113" t="s">
        <v>521</v>
      </c>
      <c r="E393" s="115">
        <v>4600019408</v>
      </c>
      <c r="F393" s="115">
        <v>5001389781</v>
      </c>
      <c r="G393" s="52" t="s">
        <v>2905</v>
      </c>
      <c r="H393" s="52"/>
      <c r="I393" s="114">
        <v>48329.47</v>
      </c>
      <c r="J393" s="52" t="s">
        <v>1864</v>
      </c>
      <c r="K393" s="52"/>
      <c r="L393" s="52"/>
      <c r="M393" s="52"/>
      <c r="N393" s="52"/>
      <c r="O393" s="32" t="s">
        <v>1899</v>
      </c>
      <c r="P393" s="43" t="s">
        <v>506</v>
      </c>
      <c r="Q393" s="93">
        <v>40108</v>
      </c>
    </row>
    <row r="394" spans="1:17" s="31" customFormat="1" ht="127.5" hidden="1">
      <c r="A394" s="52" t="s">
        <v>1870</v>
      </c>
      <c r="B394" s="113" t="s">
        <v>964</v>
      </c>
      <c r="C394" s="115" t="s">
        <v>841</v>
      </c>
      <c r="D394" s="113" t="s">
        <v>1750</v>
      </c>
      <c r="E394" s="115"/>
      <c r="F394" s="115" t="s">
        <v>2524</v>
      </c>
      <c r="G394" s="52" t="s">
        <v>2525</v>
      </c>
      <c r="H394" s="52" t="s">
        <v>1026</v>
      </c>
      <c r="I394" s="114">
        <v>107800.56</v>
      </c>
      <c r="J394" s="52" t="s">
        <v>1864</v>
      </c>
      <c r="K394" s="52"/>
      <c r="L394" s="52"/>
      <c r="M394" s="52"/>
      <c r="N394" s="52"/>
      <c r="O394" s="32" t="s">
        <v>2506</v>
      </c>
      <c r="P394" s="43" t="s">
        <v>506</v>
      </c>
      <c r="Q394" s="93">
        <v>40108</v>
      </c>
    </row>
    <row r="395" spans="1:17" s="31" customFormat="1" ht="89.25" hidden="1">
      <c r="A395" s="52" t="s">
        <v>1870</v>
      </c>
      <c r="B395" s="113" t="s">
        <v>1134</v>
      </c>
      <c r="C395" s="115" t="s">
        <v>2513</v>
      </c>
      <c r="D395" s="113" t="s">
        <v>521</v>
      </c>
      <c r="E395" s="115" t="s">
        <v>227</v>
      </c>
      <c r="F395" s="115">
        <v>5001392045</v>
      </c>
      <c r="G395" s="52" t="s">
        <v>228</v>
      </c>
      <c r="H395" s="52" t="s">
        <v>230</v>
      </c>
      <c r="I395" s="114">
        <v>188147.4</v>
      </c>
      <c r="J395" s="52" t="s">
        <v>1864</v>
      </c>
      <c r="K395" s="52"/>
      <c r="L395" s="52"/>
      <c r="M395" s="52"/>
      <c r="N395" s="52"/>
      <c r="O395" s="32" t="s">
        <v>115</v>
      </c>
      <c r="P395" s="40" t="s">
        <v>980</v>
      </c>
      <c r="Q395" s="93">
        <v>40112</v>
      </c>
    </row>
    <row r="396" spans="1:17" s="31" customFormat="1" ht="242.25" hidden="1">
      <c r="A396" s="52" t="s">
        <v>1870</v>
      </c>
      <c r="B396" s="113" t="s">
        <v>257</v>
      </c>
      <c r="C396" s="115" t="s">
        <v>2125</v>
      </c>
      <c r="D396" s="113" t="s">
        <v>1750</v>
      </c>
      <c r="E396" s="115" t="s">
        <v>1241</v>
      </c>
      <c r="F396" s="100" t="s">
        <v>1309</v>
      </c>
      <c r="G396" s="52">
        <v>614608254</v>
      </c>
      <c r="H396" s="52" t="s">
        <v>2573</v>
      </c>
      <c r="I396" s="114">
        <v>26527.27</v>
      </c>
      <c r="J396" s="52" t="s">
        <v>1864</v>
      </c>
      <c r="K396" s="52"/>
      <c r="L396" s="52"/>
      <c r="M396" s="52"/>
      <c r="N396" s="52"/>
      <c r="O396" s="32" t="s">
        <v>1740</v>
      </c>
      <c r="P396" s="43" t="s">
        <v>506</v>
      </c>
      <c r="Q396" s="93">
        <v>40114</v>
      </c>
    </row>
    <row r="397" spans="1:17" s="31" customFormat="1" ht="89.25" hidden="1">
      <c r="A397" s="52" t="s">
        <v>1870</v>
      </c>
      <c r="B397" s="113" t="s">
        <v>2910</v>
      </c>
      <c r="C397" s="115" t="s">
        <v>2513</v>
      </c>
      <c r="D397" s="113" t="s">
        <v>521</v>
      </c>
      <c r="E397" s="115">
        <v>4600020145</v>
      </c>
      <c r="F397" s="115">
        <v>5001387520</v>
      </c>
      <c r="G397" s="52" t="s">
        <v>2911</v>
      </c>
      <c r="H397" s="52" t="s">
        <v>230</v>
      </c>
      <c r="I397" s="114">
        <v>53844.43</v>
      </c>
      <c r="J397" s="52" t="s">
        <v>1864</v>
      </c>
      <c r="K397" s="52"/>
      <c r="L397" s="52"/>
      <c r="M397" s="52"/>
      <c r="N397" s="52"/>
      <c r="O397" s="32" t="s">
        <v>1485</v>
      </c>
      <c r="P397" s="43" t="s">
        <v>506</v>
      </c>
      <c r="Q397" s="93">
        <v>40114</v>
      </c>
    </row>
    <row r="398" spans="1:17" s="31" customFormat="1" ht="127.5" hidden="1">
      <c r="A398" s="52" t="s">
        <v>1870</v>
      </c>
      <c r="B398" s="113" t="s">
        <v>2908</v>
      </c>
      <c r="C398" s="115" t="s">
        <v>2513</v>
      </c>
      <c r="D398" s="113" t="s">
        <v>521</v>
      </c>
      <c r="E398" s="115">
        <v>4600020145</v>
      </c>
      <c r="F398" s="115">
        <v>5001387519</v>
      </c>
      <c r="G398" s="52" t="s">
        <v>2909</v>
      </c>
      <c r="H398" s="52" t="s">
        <v>230</v>
      </c>
      <c r="I398" s="114">
        <v>53844.43</v>
      </c>
      <c r="J398" s="52" t="s">
        <v>1864</v>
      </c>
      <c r="K398" s="52"/>
      <c r="L398" s="52"/>
      <c r="M398" s="52"/>
      <c r="N398" s="52"/>
      <c r="O398" s="32" t="s">
        <v>73</v>
      </c>
      <c r="P398" s="43" t="s">
        <v>506</v>
      </c>
      <c r="Q398" s="93">
        <v>40115</v>
      </c>
    </row>
    <row r="399" spans="1:17" s="31" customFormat="1" ht="178.5" hidden="1">
      <c r="A399" s="52" t="s">
        <v>1870</v>
      </c>
      <c r="B399" s="113" t="s">
        <v>1234</v>
      </c>
      <c r="C399" s="115" t="s">
        <v>296</v>
      </c>
      <c r="D399" s="113" t="s">
        <v>775</v>
      </c>
      <c r="E399" s="115">
        <v>4600020143</v>
      </c>
      <c r="F399" s="100" t="s">
        <v>1235</v>
      </c>
      <c r="G399" s="52">
        <v>614608320</v>
      </c>
      <c r="H399" s="52" t="s">
        <v>1023</v>
      </c>
      <c r="I399" s="114">
        <v>11501.28</v>
      </c>
      <c r="J399" s="52" t="s">
        <v>1864</v>
      </c>
      <c r="K399" s="52"/>
      <c r="L399" s="52"/>
      <c r="M399" s="52"/>
      <c r="N399" s="52"/>
      <c r="O399" s="32" t="s">
        <v>1164</v>
      </c>
      <c r="P399" s="43" t="s">
        <v>506</v>
      </c>
      <c r="Q399" s="93">
        <v>40115</v>
      </c>
    </row>
    <row r="400" spans="1:17" s="31" customFormat="1" ht="127.5" hidden="1">
      <c r="A400" s="52" t="s">
        <v>1870</v>
      </c>
      <c r="B400" s="113" t="s">
        <v>680</v>
      </c>
      <c r="C400" s="115" t="s">
        <v>2125</v>
      </c>
      <c r="D400" s="113" t="s">
        <v>1750</v>
      </c>
      <c r="E400" s="115">
        <v>4600019671</v>
      </c>
      <c r="F400" s="100" t="s">
        <v>681</v>
      </c>
      <c r="G400" s="52" t="s">
        <v>682</v>
      </c>
      <c r="H400" s="52" t="s">
        <v>1023</v>
      </c>
      <c r="I400" s="114">
        <v>17094</v>
      </c>
      <c r="J400" s="52" t="s">
        <v>1864</v>
      </c>
      <c r="K400" s="52"/>
      <c r="L400" s="52"/>
      <c r="M400" s="52"/>
      <c r="N400" s="52"/>
      <c r="O400" s="32" t="s">
        <v>1141</v>
      </c>
      <c r="P400" s="43" t="s">
        <v>506</v>
      </c>
      <c r="Q400" s="93">
        <v>40115</v>
      </c>
    </row>
    <row r="401" spans="1:17" customFormat="1" ht="60" hidden="1">
      <c r="A401" s="139"/>
      <c r="B401" s="140" t="s">
        <v>1487</v>
      </c>
      <c r="C401" s="74" t="s">
        <v>570</v>
      </c>
      <c r="D401" s="74" t="s">
        <v>1012</v>
      </c>
      <c r="E401" s="116">
        <v>580000060</v>
      </c>
      <c r="F401" s="116" t="s">
        <v>1488</v>
      </c>
      <c r="G401" s="74" t="s">
        <v>1489</v>
      </c>
      <c r="H401" s="74"/>
      <c r="I401" s="77">
        <v>134006.39999999999</v>
      </c>
      <c r="J401" s="74" t="s">
        <v>582</v>
      </c>
      <c r="K401" s="74"/>
      <c r="L401" s="74"/>
      <c r="M401" s="74"/>
      <c r="N401" s="74"/>
      <c r="O401" s="164" t="s">
        <v>809</v>
      </c>
      <c r="P401" s="143" t="s">
        <v>506</v>
      </c>
      <c r="Q401" s="175">
        <v>40114</v>
      </c>
    </row>
    <row r="402" spans="1:17" customFormat="1" ht="72" hidden="1">
      <c r="A402" s="139"/>
      <c r="B402" s="140" t="s">
        <v>1491</v>
      </c>
      <c r="C402" s="74" t="s">
        <v>570</v>
      </c>
      <c r="D402" s="74" t="s">
        <v>1012</v>
      </c>
      <c r="E402" s="116">
        <v>580000060</v>
      </c>
      <c r="F402" s="116" t="s">
        <v>1490</v>
      </c>
      <c r="G402" s="74" t="s">
        <v>1669</v>
      </c>
      <c r="H402" s="74" t="s">
        <v>1025</v>
      </c>
      <c r="I402" s="77">
        <v>36633.599999999999</v>
      </c>
      <c r="J402" s="74" t="s">
        <v>582</v>
      </c>
      <c r="K402" s="74"/>
      <c r="L402" s="74"/>
      <c r="M402" s="74"/>
      <c r="N402" s="74"/>
      <c r="O402" s="164" t="s">
        <v>831</v>
      </c>
      <c r="P402" s="143" t="s">
        <v>506</v>
      </c>
      <c r="Q402" s="175">
        <v>40114</v>
      </c>
    </row>
    <row r="403" spans="1:17" customFormat="1" ht="60" hidden="1">
      <c r="A403" s="139"/>
      <c r="B403" s="140" t="s">
        <v>1492</v>
      </c>
      <c r="C403" s="74" t="s">
        <v>570</v>
      </c>
      <c r="D403" s="74" t="s">
        <v>1012</v>
      </c>
      <c r="E403" s="116">
        <v>580000060</v>
      </c>
      <c r="F403" s="116" t="s">
        <v>1493</v>
      </c>
      <c r="G403" s="74" t="s">
        <v>377</v>
      </c>
      <c r="H403" s="74" t="s">
        <v>2422</v>
      </c>
      <c r="I403" s="77">
        <v>354585.59999999998</v>
      </c>
      <c r="J403" s="74" t="s">
        <v>582</v>
      </c>
      <c r="K403" s="74"/>
      <c r="L403" s="74"/>
      <c r="M403" s="74"/>
      <c r="N403" s="74"/>
      <c r="O403" s="164" t="s">
        <v>2421</v>
      </c>
      <c r="P403" s="143" t="s">
        <v>506</v>
      </c>
      <c r="Q403" s="175">
        <v>40114</v>
      </c>
    </row>
    <row r="404" spans="1:17" customFormat="1" ht="60" hidden="1">
      <c r="A404" s="139"/>
      <c r="B404" s="140" t="s">
        <v>125</v>
      </c>
      <c r="C404" s="74" t="s">
        <v>570</v>
      </c>
      <c r="D404" s="74" t="s">
        <v>1012</v>
      </c>
      <c r="E404" s="116">
        <v>580000062</v>
      </c>
      <c r="F404" s="116" t="s">
        <v>126</v>
      </c>
      <c r="G404" s="168" t="s">
        <v>127</v>
      </c>
      <c r="H404" s="168"/>
      <c r="I404" s="77">
        <v>18900</v>
      </c>
      <c r="J404" s="74" t="s">
        <v>582</v>
      </c>
      <c r="K404" s="74"/>
      <c r="L404" s="74"/>
      <c r="M404" s="74"/>
      <c r="N404" s="74"/>
      <c r="O404" s="164" t="s">
        <v>23</v>
      </c>
      <c r="P404" s="143" t="s">
        <v>506</v>
      </c>
      <c r="Q404" s="175">
        <v>40114</v>
      </c>
    </row>
    <row r="405" spans="1:17" customFormat="1" ht="72" hidden="1">
      <c r="A405" s="139"/>
      <c r="B405" s="140" t="s">
        <v>1691</v>
      </c>
      <c r="C405" s="74" t="s">
        <v>570</v>
      </c>
      <c r="D405" s="74" t="s">
        <v>1012</v>
      </c>
      <c r="E405" s="116">
        <v>580000061</v>
      </c>
      <c r="F405" s="116" t="s">
        <v>1145</v>
      </c>
      <c r="G405" s="74" t="s">
        <v>1146</v>
      </c>
      <c r="H405" s="74" t="s">
        <v>1147</v>
      </c>
      <c r="I405" s="77">
        <v>4851</v>
      </c>
      <c r="J405" s="74" t="s">
        <v>582</v>
      </c>
      <c r="K405" s="74"/>
      <c r="L405" s="74"/>
      <c r="M405" s="74"/>
      <c r="N405" s="74"/>
      <c r="O405" s="164" t="s">
        <v>1879</v>
      </c>
      <c r="P405" s="171" t="s">
        <v>1080</v>
      </c>
      <c r="Q405" s="175">
        <v>40116</v>
      </c>
    </row>
    <row r="406" spans="1:17" customFormat="1" ht="60" hidden="1">
      <c r="A406" s="139"/>
      <c r="B406" s="140" t="s">
        <v>1148</v>
      </c>
      <c r="C406" s="74" t="s">
        <v>570</v>
      </c>
      <c r="D406" s="74" t="s">
        <v>1012</v>
      </c>
      <c r="E406" s="116">
        <v>580000061</v>
      </c>
      <c r="F406" s="116" t="s">
        <v>1149</v>
      </c>
      <c r="G406" s="74" t="s">
        <v>113</v>
      </c>
      <c r="H406" s="74" t="s">
        <v>114</v>
      </c>
      <c r="I406" s="77">
        <v>8470</v>
      </c>
      <c r="J406" s="74" t="s">
        <v>582</v>
      </c>
      <c r="K406" s="74"/>
      <c r="L406" s="74"/>
      <c r="M406" s="74"/>
      <c r="N406" s="74"/>
      <c r="O406" s="164" t="s">
        <v>2102</v>
      </c>
      <c r="P406" s="143" t="s">
        <v>506</v>
      </c>
      <c r="Q406" s="175">
        <v>40116</v>
      </c>
    </row>
    <row r="407" spans="1:17" s="31" customFormat="1" ht="76.5" hidden="1">
      <c r="A407" s="52" t="s">
        <v>1870</v>
      </c>
      <c r="B407" s="113" t="s">
        <v>1494</v>
      </c>
      <c r="C407" s="115" t="s">
        <v>2513</v>
      </c>
      <c r="D407" s="113" t="s">
        <v>521</v>
      </c>
      <c r="E407" s="115">
        <v>4600020325</v>
      </c>
      <c r="F407" s="115">
        <v>5001399121</v>
      </c>
      <c r="G407" s="52" t="s">
        <v>1495</v>
      </c>
      <c r="H407" s="52" t="s">
        <v>539</v>
      </c>
      <c r="I407" s="114">
        <v>105504</v>
      </c>
      <c r="J407" s="52" t="s">
        <v>1864</v>
      </c>
      <c r="K407" s="52"/>
      <c r="L407" s="52"/>
      <c r="M407" s="52"/>
      <c r="N407" s="52"/>
      <c r="O407" s="32" t="s">
        <v>2897</v>
      </c>
      <c r="P407" s="43" t="s">
        <v>506</v>
      </c>
      <c r="Q407" s="93">
        <v>40120</v>
      </c>
    </row>
    <row r="408" spans="1:17" s="31" customFormat="1" ht="114.75" hidden="1">
      <c r="A408" s="52" t="s">
        <v>1870</v>
      </c>
      <c r="B408" s="113" t="s">
        <v>1290</v>
      </c>
      <c r="C408" s="115" t="s">
        <v>2125</v>
      </c>
      <c r="D408" s="113" t="s">
        <v>1750</v>
      </c>
      <c r="E408" s="115">
        <v>4600020326</v>
      </c>
      <c r="F408" s="115" t="s">
        <v>1291</v>
      </c>
      <c r="G408" s="52" t="s">
        <v>1915</v>
      </c>
      <c r="H408" s="52" t="s">
        <v>2571</v>
      </c>
      <c r="I408" s="114">
        <v>17094</v>
      </c>
      <c r="J408" s="52" t="s">
        <v>1864</v>
      </c>
      <c r="K408" s="52"/>
      <c r="L408" s="52"/>
      <c r="M408" s="52"/>
      <c r="N408" s="52"/>
      <c r="O408" s="32" t="s">
        <v>690</v>
      </c>
      <c r="P408" s="43" t="s">
        <v>506</v>
      </c>
      <c r="Q408" s="93">
        <v>40120</v>
      </c>
    </row>
    <row r="409" spans="1:17" s="31" customFormat="1" ht="140.25" hidden="1">
      <c r="A409" s="52" t="s">
        <v>1870</v>
      </c>
      <c r="B409" s="113" t="s">
        <v>983</v>
      </c>
      <c r="C409" s="115" t="s">
        <v>296</v>
      </c>
      <c r="D409" s="113" t="s">
        <v>775</v>
      </c>
      <c r="E409" s="115" t="s">
        <v>984</v>
      </c>
      <c r="F409" s="100" t="s">
        <v>985</v>
      </c>
      <c r="G409" s="52">
        <v>614608461</v>
      </c>
      <c r="H409" s="52" t="s">
        <v>2571</v>
      </c>
      <c r="I409" s="114">
        <v>7272</v>
      </c>
      <c r="J409" s="52" t="s">
        <v>1864</v>
      </c>
      <c r="K409" s="52"/>
      <c r="L409" s="52"/>
      <c r="M409" s="52"/>
      <c r="N409" s="52"/>
      <c r="O409" s="32" t="s">
        <v>2553</v>
      </c>
      <c r="P409" s="43" t="s">
        <v>506</v>
      </c>
      <c r="Q409" s="93">
        <v>40120</v>
      </c>
    </row>
    <row r="410" spans="1:17" s="31" customFormat="1" ht="165.75" hidden="1">
      <c r="A410" s="52" t="s">
        <v>1870</v>
      </c>
      <c r="B410" s="113" t="s">
        <v>1065</v>
      </c>
      <c r="C410" s="115" t="s">
        <v>2266</v>
      </c>
      <c r="D410" s="113" t="s">
        <v>521</v>
      </c>
      <c r="E410" s="115">
        <v>4600019467</v>
      </c>
      <c r="F410" s="100">
        <v>4300280704</v>
      </c>
      <c r="G410" s="52" t="s">
        <v>2497</v>
      </c>
      <c r="H410" s="52" t="s">
        <v>230</v>
      </c>
      <c r="I410" s="114">
        <v>54645.97</v>
      </c>
      <c r="J410" s="52" t="s">
        <v>1864</v>
      </c>
      <c r="K410" s="52"/>
      <c r="L410" s="52"/>
      <c r="M410" s="52"/>
      <c r="N410" s="52"/>
      <c r="O410" s="32" t="s">
        <v>204</v>
      </c>
      <c r="P410" s="41" t="s">
        <v>1080</v>
      </c>
      <c r="Q410" s="93">
        <v>40120</v>
      </c>
    </row>
    <row r="411" spans="1:17" s="31" customFormat="1" ht="114.75" hidden="1">
      <c r="A411" s="52" t="s">
        <v>1870</v>
      </c>
      <c r="B411" s="113" t="s">
        <v>303</v>
      </c>
      <c r="C411" s="115" t="s">
        <v>2513</v>
      </c>
      <c r="D411" s="113" t="s">
        <v>521</v>
      </c>
      <c r="E411" s="115">
        <v>4600020422</v>
      </c>
      <c r="F411" s="100" t="s">
        <v>304</v>
      </c>
      <c r="G411" s="52">
        <v>614608414</v>
      </c>
      <c r="H411" s="52" t="s">
        <v>2571</v>
      </c>
      <c r="I411" s="114">
        <v>10340</v>
      </c>
      <c r="J411" s="52" t="s">
        <v>1864</v>
      </c>
      <c r="K411" s="52"/>
      <c r="L411" s="52"/>
      <c r="M411" s="52"/>
      <c r="N411" s="52"/>
      <c r="O411" s="32" t="s">
        <v>1150</v>
      </c>
      <c r="P411" s="43" t="s">
        <v>506</v>
      </c>
      <c r="Q411" s="93">
        <v>40120</v>
      </c>
    </row>
    <row r="412" spans="1:17" s="31" customFormat="1" ht="216.75" hidden="1">
      <c r="A412" s="52" t="s">
        <v>1870</v>
      </c>
      <c r="B412" s="113" t="s">
        <v>1724</v>
      </c>
      <c r="C412" s="115" t="s">
        <v>704</v>
      </c>
      <c r="D412" s="113" t="s">
        <v>1750</v>
      </c>
      <c r="E412" s="115">
        <v>4600019673</v>
      </c>
      <c r="F412" s="100" t="s">
        <v>1725</v>
      </c>
      <c r="G412" s="52" t="s">
        <v>659</v>
      </c>
      <c r="H412" s="52" t="s">
        <v>230</v>
      </c>
      <c r="I412" s="114">
        <v>13050</v>
      </c>
      <c r="J412" s="52" t="s">
        <v>1864</v>
      </c>
      <c r="K412" s="52"/>
      <c r="L412" s="52"/>
      <c r="M412" s="52"/>
      <c r="N412" s="52"/>
      <c r="O412" s="32" t="s">
        <v>2595</v>
      </c>
      <c r="P412" s="41" t="s">
        <v>1080</v>
      </c>
      <c r="Q412" s="93">
        <v>40121</v>
      </c>
    </row>
    <row r="413" spans="1:17" s="31" customFormat="1" ht="25.5" hidden="1">
      <c r="A413" s="52" t="s">
        <v>1870</v>
      </c>
      <c r="B413" s="113" t="s">
        <v>2159</v>
      </c>
      <c r="C413" s="115" t="s">
        <v>2513</v>
      </c>
      <c r="D413" s="113" t="s">
        <v>521</v>
      </c>
      <c r="E413" s="115">
        <v>4600020046</v>
      </c>
      <c r="F413" s="115">
        <v>5001409585</v>
      </c>
      <c r="G413" s="52" t="s">
        <v>2160</v>
      </c>
      <c r="H413" s="52" t="s">
        <v>1024</v>
      </c>
      <c r="I413" s="114">
        <v>42900.38</v>
      </c>
      <c r="J413" s="52" t="s">
        <v>1864</v>
      </c>
      <c r="K413" s="52"/>
      <c r="L413" s="52"/>
      <c r="M413" s="52"/>
      <c r="N413" s="52"/>
      <c r="O413" s="32" t="s">
        <v>2161</v>
      </c>
      <c r="P413" s="43" t="s">
        <v>506</v>
      </c>
      <c r="Q413" s="93">
        <v>40122</v>
      </c>
    </row>
    <row r="414" spans="1:17" s="31" customFormat="1" ht="51" hidden="1">
      <c r="A414" s="52" t="s">
        <v>1870</v>
      </c>
      <c r="B414" s="113" t="s">
        <v>1498</v>
      </c>
      <c r="C414" s="115" t="s">
        <v>2513</v>
      </c>
      <c r="D414" s="113" t="s">
        <v>521</v>
      </c>
      <c r="E414" s="115">
        <v>4600020324</v>
      </c>
      <c r="F414" s="115">
        <v>5001399107</v>
      </c>
      <c r="G414" s="52" t="s">
        <v>1499</v>
      </c>
      <c r="H414" s="52" t="s">
        <v>539</v>
      </c>
      <c r="I414" s="114">
        <v>53844.43</v>
      </c>
      <c r="J414" s="52" t="s">
        <v>1864</v>
      </c>
      <c r="K414" s="52"/>
      <c r="L414" s="52"/>
      <c r="M414" s="52"/>
      <c r="N414" s="52"/>
      <c r="O414" s="32" t="s">
        <v>1078</v>
      </c>
      <c r="P414" s="43" t="s">
        <v>506</v>
      </c>
      <c r="Q414" s="93">
        <v>40122</v>
      </c>
    </row>
    <row r="415" spans="1:17" s="31" customFormat="1" ht="25.5" hidden="1">
      <c r="A415" s="52" t="s">
        <v>1870</v>
      </c>
      <c r="B415" s="113" t="s">
        <v>2162</v>
      </c>
      <c r="C415" s="115" t="s">
        <v>2513</v>
      </c>
      <c r="D415" s="113" t="s">
        <v>521</v>
      </c>
      <c r="E415" s="115">
        <v>4600020599</v>
      </c>
      <c r="F415" s="115" t="s">
        <v>2163</v>
      </c>
      <c r="G415" s="52" t="s">
        <v>2164</v>
      </c>
      <c r="H415" s="52" t="s">
        <v>1024</v>
      </c>
      <c r="I415" s="114">
        <v>55892.99</v>
      </c>
      <c r="J415" s="52" t="s">
        <v>1864</v>
      </c>
      <c r="K415" s="52"/>
      <c r="L415" s="52"/>
      <c r="M415" s="52"/>
      <c r="N415" s="52"/>
      <c r="O415" s="32" t="s">
        <v>2161</v>
      </c>
      <c r="P415" s="43" t="s">
        <v>506</v>
      </c>
      <c r="Q415" s="93">
        <v>40122</v>
      </c>
    </row>
    <row r="416" spans="1:17" s="31" customFormat="1" ht="114.75" hidden="1">
      <c r="A416" s="52" t="s">
        <v>1870</v>
      </c>
      <c r="B416" s="113" t="s">
        <v>1496</v>
      </c>
      <c r="C416" s="115" t="s">
        <v>2513</v>
      </c>
      <c r="D416" s="113" t="s">
        <v>521</v>
      </c>
      <c r="E416" s="115">
        <v>4600020324</v>
      </c>
      <c r="F416" s="115">
        <v>5001399108</v>
      </c>
      <c r="G416" s="52" t="s">
        <v>1497</v>
      </c>
      <c r="H416" s="52" t="s">
        <v>539</v>
      </c>
      <c r="I416" s="114">
        <v>53844.43</v>
      </c>
      <c r="J416" s="52" t="s">
        <v>1864</v>
      </c>
      <c r="K416" s="52"/>
      <c r="L416" s="52"/>
      <c r="M416" s="52"/>
      <c r="N416" s="52"/>
      <c r="O416" s="32" t="s">
        <v>2354</v>
      </c>
      <c r="P416" s="43" t="s">
        <v>506</v>
      </c>
      <c r="Q416" s="93">
        <v>40121</v>
      </c>
    </row>
    <row r="417" spans="1:17" customFormat="1" ht="60" hidden="1">
      <c r="A417" s="139"/>
      <c r="B417" s="140" t="s">
        <v>832</v>
      </c>
      <c r="C417" s="74" t="s">
        <v>570</v>
      </c>
      <c r="D417" s="74" t="s">
        <v>1012</v>
      </c>
      <c r="E417" s="116">
        <v>580000063</v>
      </c>
      <c r="F417" s="116" t="s">
        <v>833</v>
      </c>
      <c r="G417" s="74" t="s">
        <v>834</v>
      </c>
      <c r="H417" s="74" t="s">
        <v>1759</v>
      </c>
      <c r="I417" s="77">
        <v>337219.2</v>
      </c>
      <c r="J417" s="74" t="s">
        <v>582</v>
      </c>
      <c r="K417" s="74"/>
      <c r="L417" s="74"/>
      <c r="M417" s="74"/>
      <c r="N417" s="74"/>
      <c r="O417" s="164" t="s">
        <v>1413</v>
      </c>
      <c r="P417" s="143" t="s">
        <v>506</v>
      </c>
      <c r="Q417" s="175">
        <v>40122</v>
      </c>
    </row>
    <row r="418" spans="1:17" s="31" customFormat="1" ht="153" hidden="1">
      <c r="A418" s="52" t="s">
        <v>1870</v>
      </c>
      <c r="B418" s="113" t="s">
        <v>1561</v>
      </c>
      <c r="C418" s="115" t="s">
        <v>2513</v>
      </c>
      <c r="D418" s="113" t="s">
        <v>521</v>
      </c>
      <c r="E418" s="115" t="s">
        <v>1130</v>
      </c>
      <c r="F418" s="115" t="s">
        <v>1132</v>
      </c>
      <c r="G418" s="52" t="s">
        <v>1133</v>
      </c>
      <c r="H418" s="52" t="s">
        <v>539</v>
      </c>
      <c r="I418" s="114">
        <v>44677.1</v>
      </c>
      <c r="J418" s="52" t="s">
        <v>1864</v>
      </c>
      <c r="K418" s="52"/>
      <c r="L418" s="52"/>
      <c r="M418" s="52"/>
      <c r="N418" s="52"/>
      <c r="O418" s="32" t="s">
        <v>151</v>
      </c>
      <c r="P418" s="41" t="s">
        <v>1080</v>
      </c>
      <c r="Q418" s="93">
        <v>40123</v>
      </c>
    </row>
    <row r="419" spans="1:17" s="31" customFormat="1" ht="102" hidden="1">
      <c r="A419" s="52" t="s">
        <v>1870</v>
      </c>
      <c r="B419" s="113" t="s">
        <v>360</v>
      </c>
      <c r="C419" s="115" t="s">
        <v>2022</v>
      </c>
      <c r="D419" s="113" t="s">
        <v>521</v>
      </c>
      <c r="E419" s="115">
        <v>4600020632</v>
      </c>
      <c r="F419" s="115">
        <v>4600020632</v>
      </c>
      <c r="G419" s="52">
        <v>293654</v>
      </c>
      <c r="H419" s="52" t="s">
        <v>1025</v>
      </c>
      <c r="I419" s="114">
        <v>7256.4</v>
      </c>
      <c r="J419" s="52" t="s">
        <v>1864</v>
      </c>
      <c r="K419" s="52"/>
      <c r="L419" s="52"/>
      <c r="M419" s="52"/>
      <c r="N419" s="52"/>
      <c r="O419" s="32" t="s">
        <v>797</v>
      </c>
      <c r="P419" s="43" t="s">
        <v>506</v>
      </c>
      <c r="Q419" s="93">
        <v>40123</v>
      </c>
    </row>
    <row r="420" spans="1:17" s="31" customFormat="1" ht="63.75" hidden="1">
      <c r="A420" s="52" t="s">
        <v>1870</v>
      </c>
      <c r="B420" s="113" t="s">
        <v>1500</v>
      </c>
      <c r="C420" s="115" t="s">
        <v>2513</v>
      </c>
      <c r="D420" s="113" t="s">
        <v>521</v>
      </c>
      <c r="E420" s="115">
        <v>4600020324</v>
      </c>
      <c r="F420" s="115">
        <v>5001399106</v>
      </c>
      <c r="G420" s="52" t="s">
        <v>1501</v>
      </c>
      <c r="H420" s="52" t="s">
        <v>539</v>
      </c>
      <c r="I420" s="114">
        <v>53844.43</v>
      </c>
      <c r="J420" s="52" t="s">
        <v>1864</v>
      </c>
      <c r="K420" s="52"/>
      <c r="L420" s="52"/>
      <c r="M420" s="52"/>
      <c r="N420" s="52"/>
      <c r="O420" s="32" t="s">
        <v>60</v>
      </c>
      <c r="P420" s="43" t="s">
        <v>506</v>
      </c>
      <c r="Q420" s="93">
        <v>40123</v>
      </c>
    </row>
    <row r="421" spans="1:17" s="31" customFormat="1" ht="140.25" hidden="1">
      <c r="A421" s="52" t="s">
        <v>1870</v>
      </c>
      <c r="B421" s="113" t="s">
        <v>2528</v>
      </c>
      <c r="C421" s="115" t="s">
        <v>2080</v>
      </c>
      <c r="D421" s="113" t="s">
        <v>1750</v>
      </c>
      <c r="E421" s="115">
        <v>4600020987</v>
      </c>
      <c r="F421" s="115" t="s">
        <v>2529</v>
      </c>
      <c r="G421" s="52">
        <v>9104552</v>
      </c>
      <c r="H421" s="52" t="s">
        <v>1024</v>
      </c>
      <c r="I421" s="114">
        <v>1600</v>
      </c>
      <c r="J421" s="52" t="s">
        <v>1864</v>
      </c>
      <c r="K421" s="52"/>
      <c r="L421" s="52"/>
      <c r="M421" s="52"/>
      <c r="N421" s="52"/>
      <c r="O421" s="32" t="s">
        <v>2477</v>
      </c>
      <c r="P421" s="43" t="s">
        <v>506</v>
      </c>
      <c r="Q421" s="93">
        <v>40126</v>
      </c>
    </row>
    <row r="422" spans="1:17" s="31" customFormat="1" ht="229.5" hidden="1">
      <c r="A422" s="52" t="s">
        <v>1870</v>
      </c>
      <c r="B422" s="113" t="s">
        <v>2798</v>
      </c>
      <c r="C422" s="115" t="s">
        <v>2513</v>
      </c>
      <c r="D422" s="113" t="s">
        <v>53</v>
      </c>
      <c r="E422" s="115">
        <v>4600020039</v>
      </c>
      <c r="F422" s="100" t="s">
        <v>2799</v>
      </c>
      <c r="G422" s="52" t="s">
        <v>2308</v>
      </c>
      <c r="H422" s="52" t="s">
        <v>1024</v>
      </c>
      <c r="I422" s="114">
        <v>121448.02</v>
      </c>
      <c r="J422" s="100" t="s">
        <v>2075</v>
      </c>
      <c r="K422" s="100"/>
      <c r="L422" s="100"/>
      <c r="M422" s="100"/>
      <c r="N422" s="100"/>
      <c r="O422" s="32" t="s">
        <v>1566</v>
      </c>
      <c r="P422" s="41" t="s">
        <v>1080</v>
      </c>
      <c r="Q422" s="93">
        <v>40127</v>
      </c>
    </row>
    <row r="423" spans="1:17" s="31" customFormat="1" ht="102" hidden="1">
      <c r="A423" s="52" t="s">
        <v>1870</v>
      </c>
      <c r="B423" s="113" t="s">
        <v>2202</v>
      </c>
      <c r="C423" s="115" t="s">
        <v>2125</v>
      </c>
      <c r="D423" s="113" t="s">
        <v>1750</v>
      </c>
      <c r="E423" s="115">
        <v>4600020453</v>
      </c>
      <c r="F423" s="115" t="s">
        <v>2203</v>
      </c>
      <c r="G423" s="52" t="s">
        <v>1289</v>
      </c>
      <c r="H423" s="52" t="s">
        <v>2572</v>
      </c>
      <c r="I423" s="114">
        <v>17094</v>
      </c>
      <c r="J423" s="52" t="s">
        <v>1864</v>
      </c>
      <c r="K423" s="52"/>
      <c r="L423" s="52"/>
      <c r="M423" s="52"/>
      <c r="N423" s="52"/>
      <c r="O423" s="32" t="s">
        <v>2073</v>
      </c>
      <c r="P423" s="43" t="s">
        <v>506</v>
      </c>
      <c r="Q423" s="93">
        <v>40127</v>
      </c>
    </row>
    <row r="424" spans="1:17" customFormat="1" ht="60" hidden="1">
      <c r="A424" s="139"/>
      <c r="B424" s="140" t="s">
        <v>634</v>
      </c>
      <c r="C424" s="74" t="s">
        <v>570</v>
      </c>
      <c r="D424" s="74" t="s">
        <v>1012</v>
      </c>
      <c r="E424" s="116">
        <v>580000063</v>
      </c>
      <c r="F424" s="116" t="s">
        <v>635</v>
      </c>
      <c r="G424" s="74" t="s">
        <v>377</v>
      </c>
      <c r="H424" s="74" t="s">
        <v>2422</v>
      </c>
      <c r="I424" s="77">
        <v>31795.200000000001</v>
      </c>
      <c r="J424" s="74" t="s">
        <v>582</v>
      </c>
      <c r="K424" s="74"/>
      <c r="L424" s="74"/>
      <c r="M424" s="74"/>
      <c r="N424" s="74"/>
      <c r="O424" s="164" t="s">
        <v>1624</v>
      </c>
      <c r="P424" s="143" t="s">
        <v>506</v>
      </c>
      <c r="Q424" s="175">
        <v>40128</v>
      </c>
    </row>
    <row r="425" spans="1:17" customFormat="1" ht="96" hidden="1">
      <c r="A425" s="139"/>
      <c r="B425" s="140" t="s">
        <v>1414</v>
      </c>
      <c r="C425" s="74" t="s">
        <v>570</v>
      </c>
      <c r="D425" s="74" t="s">
        <v>1012</v>
      </c>
      <c r="E425" s="116">
        <v>580000063</v>
      </c>
      <c r="F425" s="116" t="s">
        <v>1415</v>
      </c>
      <c r="G425" s="74" t="s">
        <v>1754</v>
      </c>
      <c r="H425" s="74" t="s">
        <v>1755</v>
      </c>
      <c r="I425" s="77">
        <v>342057.6</v>
      </c>
      <c r="J425" s="74" t="s">
        <v>582</v>
      </c>
      <c r="K425" s="74"/>
      <c r="L425" s="74"/>
      <c r="M425" s="74"/>
      <c r="N425" s="74"/>
      <c r="O425" s="164" t="s">
        <v>1373</v>
      </c>
      <c r="P425" s="144" t="s">
        <v>980</v>
      </c>
      <c r="Q425" s="175">
        <v>40128</v>
      </c>
    </row>
    <row r="426" spans="1:17" customFormat="1" ht="60" hidden="1">
      <c r="A426" s="139"/>
      <c r="B426" s="140" t="s">
        <v>1756</v>
      </c>
      <c r="C426" s="74" t="s">
        <v>570</v>
      </c>
      <c r="D426" s="74" t="s">
        <v>1012</v>
      </c>
      <c r="E426" s="116">
        <v>580000063</v>
      </c>
      <c r="F426" s="116" t="s">
        <v>1757</v>
      </c>
      <c r="G426" s="74" t="s">
        <v>1758</v>
      </c>
      <c r="H426" s="74" t="s">
        <v>1759</v>
      </c>
      <c r="I426" s="77">
        <v>300672</v>
      </c>
      <c r="J426" s="74" t="s">
        <v>582</v>
      </c>
      <c r="K426" s="74"/>
      <c r="L426" s="74"/>
      <c r="M426" s="74"/>
      <c r="N426" s="74"/>
      <c r="O426" s="164" t="s">
        <v>1624</v>
      </c>
      <c r="P426" s="143" t="s">
        <v>506</v>
      </c>
      <c r="Q426" s="175">
        <v>40128</v>
      </c>
    </row>
    <row r="427" spans="1:17" customFormat="1" ht="60" hidden="1">
      <c r="A427" s="139"/>
      <c r="B427" s="140" t="s">
        <v>835</v>
      </c>
      <c r="C427" s="74" t="s">
        <v>570</v>
      </c>
      <c r="D427" s="74" t="s">
        <v>1012</v>
      </c>
      <c r="E427" s="116">
        <v>580000063</v>
      </c>
      <c r="F427" s="116" t="s">
        <v>2039</v>
      </c>
      <c r="G427" s="74" t="s">
        <v>2040</v>
      </c>
      <c r="H427" s="74" t="s">
        <v>1147</v>
      </c>
      <c r="I427" s="77">
        <v>36633.599999999999</v>
      </c>
      <c r="J427" s="74" t="s">
        <v>582</v>
      </c>
      <c r="K427" s="74"/>
      <c r="L427" s="74"/>
      <c r="M427" s="74"/>
      <c r="N427" s="74"/>
      <c r="O427" s="164" t="s">
        <v>1624</v>
      </c>
      <c r="P427" s="143" t="s">
        <v>506</v>
      </c>
      <c r="Q427" s="175">
        <v>40128</v>
      </c>
    </row>
    <row r="428" spans="1:17" customFormat="1" ht="120" hidden="1">
      <c r="A428" s="139"/>
      <c r="B428" s="140" t="s">
        <v>2041</v>
      </c>
      <c r="C428" s="74" t="s">
        <v>570</v>
      </c>
      <c r="D428" s="74" t="s">
        <v>1012</v>
      </c>
      <c r="E428" s="116">
        <v>580000064</v>
      </c>
      <c r="F428" s="116" t="s">
        <v>795</v>
      </c>
      <c r="G428" s="74" t="s">
        <v>1146</v>
      </c>
      <c r="H428" s="74" t="s">
        <v>1147</v>
      </c>
      <c r="I428" s="77">
        <v>15176.25</v>
      </c>
      <c r="J428" s="74" t="s">
        <v>582</v>
      </c>
      <c r="K428" s="74"/>
      <c r="L428" s="74"/>
      <c r="M428" s="74"/>
      <c r="N428" s="74"/>
      <c r="O428" s="164" t="s">
        <v>1574</v>
      </c>
      <c r="P428" s="143" t="s">
        <v>506</v>
      </c>
      <c r="Q428" s="175">
        <v>40128</v>
      </c>
    </row>
    <row r="429" spans="1:17" customFormat="1" ht="60" hidden="1">
      <c r="A429" s="139"/>
      <c r="B429" s="140" t="s">
        <v>2722</v>
      </c>
      <c r="C429" s="74" t="s">
        <v>570</v>
      </c>
      <c r="D429" s="74" t="s">
        <v>1012</v>
      </c>
      <c r="E429" s="116">
        <v>580000064</v>
      </c>
      <c r="F429" s="116" t="s">
        <v>2723</v>
      </c>
      <c r="G429" s="74" t="s">
        <v>1699</v>
      </c>
      <c r="H429" s="74" t="s">
        <v>114</v>
      </c>
      <c r="I429" s="77">
        <v>2170</v>
      </c>
      <c r="J429" s="74" t="s">
        <v>582</v>
      </c>
      <c r="K429" s="74"/>
      <c r="L429" s="74"/>
      <c r="M429" s="74"/>
      <c r="N429" s="74"/>
      <c r="O429" s="164" t="s">
        <v>1184</v>
      </c>
      <c r="P429" s="143" t="s">
        <v>506</v>
      </c>
      <c r="Q429" s="175">
        <v>40128</v>
      </c>
    </row>
    <row r="430" spans="1:17" customFormat="1" ht="60" hidden="1">
      <c r="A430" s="139"/>
      <c r="B430" s="140" t="s">
        <v>2724</v>
      </c>
      <c r="C430" s="74" t="s">
        <v>570</v>
      </c>
      <c r="D430" s="74" t="s">
        <v>1012</v>
      </c>
      <c r="E430" s="116">
        <v>580000065</v>
      </c>
      <c r="F430" s="116" t="s">
        <v>2725</v>
      </c>
      <c r="G430" s="74" t="s">
        <v>2040</v>
      </c>
      <c r="H430" s="74" t="s">
        <v>1147</v>
      </c>
      <c r="I430" s="77">
        <v>36633.599999999999</v>
      </c>
      <c r="J430" s="74" t="s">
        <v>582</v>
      </c>
      <c r="K430" s="74"/>
      <c r="L430" s="74"/>
      <c r="M430" s="74"/>
      <c r="N430" s="74"/>
      <c r="O430" s="164" t="s">
        <v>1435</v>
      </c>
      <c r="P430" s="144" t="s">
        <v>980</v>
      </c>
      <c r="Q430" s="175">
        <v>40128</v>
      </c>
    </row>
    <row r="431" spans="1:17" s="31" customFormat="1" ht="191.25" hidden="1">
      <c r="A431" s="52" t="s">
        <v>1870</v>
      </c>
      <c r="B431" s="113" t="s">
        <v>13</v>
      </c>
      <c r="C431" s="115" t="s">
        <v>2266</v>
      </c>
      <c r="D431" s="113" t="s">
        <v>521</v>
      </c>
      <c r="E431" s="115">
        <v>4600019466</v>
      </c>
      <c r="F431" s="100" t="s">
        <v>14</v>
      </c>
      <c r="G431" s="52" t="s">
        <v>2737</v>
      </c>
      <c r="H431" s="52" t="s">
        <v>1024</v>
      </c>
      <c r="I431" s="114">
        <v>35464.32</v>
      </c>
      <c r="J431" s="100" t="s">
        <v>1625</v>
      </c>
      <c r="K431" s="100"/>
      <c r="L431" s="100"/>
      <c r="M431" s="100"/>
      <c r="N431" s="100"/>
      <c r="O431" s="32" t="s">
        <v>2210</v>
      </c>
      <c r="P431" s="43" t="s">
        <v>506</v>
      </c>
      <c r="Q431" s="93">
        <v>40129</v>
      </c>
    </row>
    <row r="432" spans="1:17" s="31" customFormat="1" ht="178.5" hidden="1">
      <c r="A432" s="52" t="s">
        <v>1870</v>
      </c>
      <c r="B432" s="113" t="s">
        <v>683</v>
      </c>
      <c r="C432" s="115" t="s">
        <v>704</v>
      </c>
      <c r="D432" s="113" t="s">
        <v>1750</v>
      </c>
      <c r="E432" s="115">
        <v>4600020491</v>
      </c>
      <c r="F432" s="100" t="s">
        <v>684</v>
      </c>
      <c r="G432" s="52" t="s">
        <v>693</v>
      </c>
      <c r="H432" s="52" t="s">
        <v>1008</v>
      </c>
      <c r="I432" s="114">
        <v>31320</v>
      </c>
      <c r="J432" s="52" t="s">
        <v>1864</v>
      </c>
      <c r="K432" s="52"/>
      <c r="L432" s="52"/>
      <c r="M432" s="52"/>
      <c r="N432" s="52"/>
      <c r="O432" s="32" t="s">
        <v>2492</v>
      </c>
      <c r="P432" s="41" t="s">
        <v>1080</v>
      </c>
      <c r="Q432" s="93">
        <v>40129</v>
      </c>
    </row>
    <row r="433" spans="1:17" s="31" customFormat="1" ht="306" hidden="1">
      <c r="A433" s="52" t="s">
        <v>1870</v>
      </c>
      <c r="B433" s="113" t="s">
        <v>2802</v>
      </c>
      <c r="C433" s="115" t="s">
        <v>1863</v>
      </c>
      <c r="D433" s="113" t="s">
        <v>521</v>
      </c>
      <c r="E433" s="115" t="s">
        <v>2403</v>
      </c>
      <c r="F433" s="100" t="s">
        <v>2404</v>
      </c>
      <c r="G433" s="52" t="s">
        <v>955</v>
      </c>
      <c r="H433" s="52" t="s">
        <v>1023</v>
      </c>
      <c r="I433" s="114">
        <v>184850.32</v>
      </c>
      <c r="J433" s="52" t="s">
        <v>1864</v>
      </c>
      <c r="K433" s="52"/>
      <c r="L433" s="52"/>
      <c r="M433" s="52"/>
      <c r="N433" s="52"/>
      <c r="O433" s="32" t="s">
        <v>1509</v>
      </c>
      <c r="P433" s="41" t="s">
        <v>1080</v>
      </c>
      <c r="Q433" s="93">
        <v>40128</v>
      </c>
    </row>
    <row r="434" spans="1:17" s="31" customFormat="1" ht="114.75" hidden="1">
      <c r="A434" s="52" t="s">
        <v>1870</v>
      </c>
      <c r="B434" s="113" t="s">
        <v>654</v>
      </c>
      <c r="C434" s="115" t="s">
        <v>2513</v>
      </c>
      <c r="D434" s="113" t="s">
        <v>521</v>
      </c>
      <c r="E434" s="115">
        <v>4600020056</v>
      </c>
      <c r="F434" s="115">
        <v>5001404859</v>
      </c>
      <c r="G434" s="52" t="s">
        <v>655</v>
      </c>
      <c r="H434" s="52" t="s">
        <v>1024</v>
      </c>
      <c r="I434" s="114">
        <v>49455.5</v>
      </c>
      <c r="J434" s="52" t="s">
        <v>1864</v>
      </c>
      <c r="K434" s="52"/>
      <c r="L434" s="52"/>
      <c r="M434" s="52"/>
      <c r="N434" s="52"/>
      <c r="O434" s="32" t="s">
        <v>1461</v>
      </c>
      <c r="P434" s="41" t="s">
        <v>1080</v>
      </c>
      <c r="Q434" s="93">
        <v>40133</v>
      </c>
    </row>
    <row r="435" spans="1:17" s="31" customFormat="1" ht="51" hidden="1">
      <c r="A435" s="52" t="s">
        <v>1870</v>
      </c>
      <c r="B435" s="113" t="s">
        <v>2082</v>
      </c>
      <c r="C435" s="115" t="s">
        <v>2513</v>
      </c>
      <c r="D435" s="113" t="s">
        <v>521</v>
      </c>
      <c r="E435" s="115">
        <v>4600020599</v>
      </c>
      <c r="F435" s="115">
        <v>5001403675</v>
      </c>
      <c r="G435" s="52" t="s">
        <v>2083</v>
      </c>
      <c r="H435" s="52" t="s">
        <v>1024</v>
      </c>
      <c r="I435" s="114">
        <v>53844.43</v>
      </c>
      <c r="J435" s="52" t="s">
        <v>1864</v>
      </c>
      <c r="K435" s="52"/>
      <c r="L435" s="52"/>
      <c r="M435" s="52"/>
      <c r="N435" s="52"/>
      <c r="O435" s="32" t="s">
        <v>2089</v>
      </c>
      <c r="P435" s="43" t="s">
        <v>506</v>
      </c>
      <c r="Q435" s="93">
        <v>40126</v>
      </c>
    </row>
    <row r="436" spans="1:17" s="31" customFormat="1" ht="153" hidden="1">
      <c r="A436" s="52" t="s">
        <v>1870</v>
      </c>
      <c r="B436" s="113" t="s">
        <v>916</v>
      </c>
      <c r="C436" s="115" t="s">
        <v>2513</v>
      </c>
      <c r="D436" s="113" t="s">
        <v>521</v>
      </c>
      <c r="E436" s="115">
        <v>4600020599</v>
      </c>
      <c r="F436" s="115">
        <v>5001403674</v>
      </c>
      <c r="G436" s="52" t="s">
        <v>917</v>
      </c>
      <c r="H436" s="52" t="s">
        <v>1024</v>
      </c>
      <c r="I436" s="114">
        <v>53844.43</v>
      </c>
      <c r="J436" s="52" t="s">
        <v>1206</v>
      </c>
      <c r="K436" s="52"/>
      <c r="L436" s="52"/>
      <c r="M436" s="52"/>
      <c r="N436" s="52"/>
      <c r="O436" s="32" t="s">
        <v>2034</v>
      </c>
      <c r="P436" s="43" t="s">
        <v>506</v>
      </c>
      <c r="Q436" s="93">
        <v>40134</v>
      </c>
    </row>
    <row r="437" spans="1:17" s="31" customFormat="1" ht="89.25" hidden="1">
      <c r="A437" s="52" t="s">
        <v>1870</v>
      </c>
      <c r="B437" s="113" t="s">
        <v>650</v>
      </c>
      <c r="C437" s="115" t="s">
        <v>2513</v>
      </c>
      <c r="D437" s="113" t="s">
        <v>521</v>
      </c>
      <c r="E437" s="115">
        <v>4600020977</v>
      </c>
      <c r="F437" s="115">
        <v>5001411769</v>
      </c>
      <c r="G437" s="52" t="s">
        <v>651</v>
      </c>
      <c r="H437" s="52" t="s">
        <v>1008</v>
      </c>
      <c r="I437" s="114">
        <v>32298.6</v>
      </c>
      <c r="J437" s="52" t="s">
        <v>1864</v>
      </c>
      <c r="K437" s="52"/>
      <c r="L437" s="52"/>
      <c r="M437" s="52"/>
      <c r="N437" s="52"/>
      <c r="O437" s="32" t="s">
        <v>70</v>
      </c>
      <c r="P437" s="41" t="s">
        <v>1080</v>
      </c>
      <c r="Q437" s="93">
        <v>40134</v>
      </c>
    </row>
    <row r="438" spans="1:17" s="31" customFormat="1" ht="51" hidden="1">
      <c r="A438" s="52" t="s">
        <v>1870</v>
      </c>
      <c r="B438" s="113" t="s">
        <v>479</v>
      </c>
      <c r="C438" s="115" t="s">
        <v>2513</v>
      </c>
      <c r="D438" s="113" t="s">
        <v>521</v>
      </c>
      <c r="E438" s="115">
        <v>4600020499</v>
      </c>
      <c r="F438" s="115">
        <v>5001399149</v>
      </c>
      <c r="G438" s="52" t="s">
        <v>480</v>
      </c>
      <c r="H438" s="52" t="s">
        <v>1024</v>
      </c>
      <c r="I438" s="114">
        <v>40394.239999999998</v>
      </c>
      <c r="J438" s="52" t="s">
        <v>1864</v>
      </c>
      <c r="K438" s="52"/>
      <c r="L438" s="52"/>
      <c r="M438" s="52"/>
      <c r="N438" s="52"/>
      <c r="O438" s="32" t="s">
        <v>2074</v>
      </c>
      <c r="P438" s="43" t="s">
        <v>506</v>
      </c>
      <c r="Q438" s="93">
        <v>40127</v>
      </c>
    </row>
    <row r="439" spans="1:17" s="31" customFormat="1" ht="76.5" hidden="1">
      <c r="A439" s="52" t="s">
        <v>1870</v>
      </c>
      <c r="B439" s="113" t="s">
        <v>1830</v>
      </c>
      <c r="C439" s="115" t="s">
        <v>2513</v>
      </c>
      <c r="D439" s="113" t="s">
        <v>521</v>
      </c>
      <c r="E439" s="115">
        <v>4600020840</v>
      </c>
      <c r="F439" s="115">
        <v>5001410793</v>
      </c>
      <c r="G439" s="52" t="s">
        <v>1831</v>
      </c>
      <c r="H439" s="52" t="s">
        <v>1008</v>
      </c>
      <c r="I439" s="114">
        <v>27735.56</v>
      </c>
      <c r="J439" s="52" t="s">
        <v>1864</v>
      </c>
      <c r="K439" s="52"/>
      <c r="L439" s="52"/>
      <c r="M439" s="52"/>
      <c r="N439" s="52"/>
      <c r="O439" s="32" t="s">
        <v>1020</v>
      </c>
      <c r="P439" s="43" t="s">
        <v>506</v>
      </c>
      <c r="Q439" s="93">
        <v>40129</v>
      </c>
    </row>
    <row r="440" spans="1:17" s="31" customFormat="1" ht="38.25" hidden="1">
      <c r="A440" s="52" t="s">
        <v>1870</v>
      </c>
      <c r="B440" s="113" t="s">
        <v>2084</v>
      </c>
      <c r="C440" s="115" t="s">
        <v>2513</v>
      </c>
      <c r="D440" s="113" t="s">
        <v>521</v>
      </c>
      <c r="E440" s="115" t="s">
        <v>2085</v>
      </c>
      <c r="F440" s="115">
        <v>5001403605</v>
      </c>
      <c r="G440" s="52" t="s">
        <v>2086</v>
      </c>
      <c r="H440" s="52" t="s">
        <v>1024</v>
      </c>
      <c r="I440" s="114">
        <v>127879.03999999999</v>
      </c>
      <c r="J440" s="52" t="s">
        <v>1864</v>
      </c>
      <c r="K440" s="52"/>
      <c r="L440" s="52"/>
      <c r="M440" s="52"/>
      <c r="N440" s="52"/>
      <c r="O440" s="32" t="s">
        <v>478</v>
      </c>
      <c r="P440" s="43" t="s">
        <v>506</v>
      </c>
      <c r="Q440" s="93">
        <v>40126</v>
      </c>
    </row>
    <row r="441" spans="1:17" customFormat="1" ht="36" hidden="1">
      <c r="A441" s="139" t="s">
        <v>515</v>
      </c>
      <c r="B441" s="180" t="s">
        <v>220</v>
      </c>
      <c r="C441" s="148" t="s">
        <v>524</v>
      </c>
      <c r="D441" s="148" t="s">
        <v>525</v>
      </c>
      <c r="E441" s="149" t="s">
        <v>1822</v>
      </c>
      <c r="F441" s="149" t="s">
        <v>1194</v>
      </c>
      <c r="G441" s="148" t="s">
        <v>1195</v>
      </c>
      <c r="H441" s="150">
        <v>3646.5</v>
      </c>
      <c r="I441" s="150" t="s">
        <v>1193</v>
      </c>
      <c r="J441" s="145">
        <v>40134</v>
      </c>
      <c r="K441" s="145"/>
      <c r="L441" s="145"/>
      <c r="M441" s="145"/>
      <c r="N441" s="145"/>
      <c r="O441" s="141" t="s">
        <v>2434</v>
      </c>
      <c r="P441" s="181" t="s">
        <v>506</v>
      </c>
      <c r="Q441" s="145">
        <v>40136</v>
      </c>
    </row>
    <row r="442" spans="1:17" s="31" customFormat="1" ht="204" hidden="1">
      <c r="A442" s="52" t="s">
        <v>1870</v>
      </c>
      <c r="B442" s="113" t="s">
        <v>2306</v>
      </c>
      <c r="C442" s="115" t="s">
        <v>1793</v>
      </c>
      <c r="D442" s="113" t="s">
        <v>53</v>
      </c>
      <c r="E442" s="115">
        <v>4600019781</v>
      </c>
      <c r="F442" s="115" t="s">
        <v>2307</v>
      </c>
      <c r="G442" s="52">
        <v>6394426978</v>
      </c>
      <c r="H442" s="52" t="s">
        <v>669</v>
      </c>
      <c r="I442" s="114">
        <v>209545.08</v>
      </c>
      <c r="J442" s="52" t="s">
        <v>1864</v>
      </c>
      <c r="K442" s="52"/>
      <c r="L442" s="52"/>
      <c r="M442" s="52"/>
      <c r="N442" s="52"/>
      <c r="O442" s="32" t="s">
        <v>842</v>
      </c>
      <c r="P442" s="43" t="s">
        <v>506</v>
      </c>
      <c r="Q442" s="93">
        <v>40140</v>
      </c>
    </row>
    <row r="443" spans="1:17" s="31" customFormat="1" ht="127.5" hidden="1">
      <c r="A443" s="52" t="s">
        <v>1870</v>
      </c>
      <c r="B443" s="113" t="s">
        <v>652</v>
      </c>
      <c r="C443" s="115" t="s">
        <v>2513</v>
      </c>
      <c r="D443" s="113" t="s">
        <v>521</v>
      </c>
      <c r="E443" s="115">
        <v>4600020050</v>
      </c>
      <c r="F443" s="115">
        <v>5001394674</v>
      </c>
      <c r="G443" s="52">
        <v>563521393</v>
      </c>
      <c r="H443" s="52" t="s">
        <v>653</v>
      </c>
      <c r="I443" s="114">
        <v>31288.99</v>
      </c>
      <c r="J443" s="52" t="s">
        <v>1864</v>
      </c>
      <c r="K443" s="52"/>
      <c r="L443" s="52"/>
      <c r="M443" s="52"/>
      <c r="N443" s="52"/>
      <c r="O443" s="32" t="s">
        <v>2738</v>
      </c>
      <c r="P443" s="41" t="s">
        <v>1080</v>
      </c>
      <c r="Q443" s="93">
        <v>40135</v>
      </c>
    </row>
    <row r="444" spans="1:17" customFormat="1" ht="60" hidden="1">
      <c r="A444" s="139"/>
      <c r="B444" s="140" t="s">
        <v>1734</v>
      </c>
      <c r="C444" s="74" t="s">
        <v>570</v>
      </c>
      <c r="D444" s="74" t="s">
        <v>1012</v>
      </c>
      <c r="E444" s="116">
        <v>580000067</v>
      </c>
      <c r="F444" s="116" t="s">
        <v>1706</v>
      </c>
      <c r="G444" s="74" t="s">
        <v>1778</v>
      </c>
      <c r="H444" s="74" t="s">
        <v>1147</v>
      </c>
      <c r="I444" s="77">
        <v>9576</v>
      </c>
      <c r="J444" s="74" t="s">
        <v>582</v>
      </c>
      <c r="K444" s="74"/>
      <c r="L444" s="74"/>
      <c r="M444" s="74"/>
      <c r="N444" s="74"/>
      <c r="O444" s="163" t="s">
        <v>948</v>
      </c>
      <c r="P444" s="143" t="s">
        <v>506</v>
      </c>
      <c r="Q444" s="175">
        <v>40130</v>
      </c>
    </row>
    <row r="445" spans="1:17" customFormat="1" ht="60" hidden="1">
      <c r="A445" s="139"/>
      <c r="B445" s="140" t="s">
        <v>1779</v>
      </c>
      <c r="C445" s="74" t="s">
        <v>570</v>
      </c>
      <c r="D445" s="74" t="s">
        <v>1012</v>
      </c>
      <c r="E445" s="116">
        <v>580000067</v>
      </c>
      <c r="F445" s="116" t="s">
        <v>1780</v>
      </c>
      <c r="G445" s="74" t="s">
        <v>1699</v>
      </c>
      <c r="H445" s="74" t="s">
        <v>114</v>
      </c>
      <c r="I445" s="77">
        <v>2478</v>
      </c>
      <c r="J445" s="74" t="s">
        <v>582</v>
      </c>
      <c r="K445" s="74"/>
      <c r="L445" s="74"/>
      <c r="M445" s="74"/>
      <c r="N445" s="74"/>
      <c r="O445" s="163" t="s">
        <v>948</v>
      </c>
      <c r="P445" s="143" t="s">
        <v>506</v>
      </c>
      <c r="Q445" s="175">
        <v>40130</v>
      </c>
    </row>
    <row r="446" spans="1:17" customFormat="1" ht="60" hidden="1">
      <c r="A446" s="139"/>
      <c r="B446" s="140" t="s">
        <v>1781</v>
      </c>
      <c r="C446" s="74" t="s">
        <v>570</v>
      </c>
      <c r="D446" s="74" t="s">
        <v>1012</v>
      </c>
      <c r="E446" s="116">
        <v>580000066</v>
      </c>
      <c r="F446" s="116" t="s">
        <v>2542</v>
      </c>
      <c r="G446" s="74" t="s">
        <v>2543</v>
      </c>
      <c r="H446" s="74" t="s">
        <v>1147</v>
      </c>
      <c r="I446" s="77">
        <v>39830.400000000001</v>
      </c>
      <c r="J446" s="74" t="s">
        <v>582</v>
      </c>
      <c r="K446" s="74"/>
      <c r="L446" s="74"/>
      <c r="M446" s="74"/>
      <c r="N446" s="74"/>
      <c r="O446" s="163" t="s">
        <v>948</v>
      </c>
      <c r="P446" s="143" t="s">
        <v>506</v>
      </c>
      <c r="Q446" s="175">
        <v>40130</v>
      </c>
    </row>
    <row r="447" spans="1:17" customFormat="1" ht="48" hidden="1">
      <c r="A447" s="139"/>
      <c r="B447" s="140" t="s">
        <v>71</v>
      </c>
      <c r="C447" s="74" t="s">
        <v>570</v>
      </c>
      <c r="D447" s="74" t="s">
        <v>1012</v>
      </c>
      <c r="E447" s="116">
        <v>580000070</v>
      </c>
      <c r="F447" s="116" t="s">
        <v>72</v>
      </c>
      <c r="G447" s="74">
        <v>67660755731</v>
      </c>
      <c r="H447" s="74"/>
      <c r="I447" s="77">
        <v>18900</v>
      </c>
      <c r="J447" s="74" t="s">
        <v>582</v>
      </c>
      <c r="K447" s="74"/>
      <c r="L447" s="74"/>
      <c r="M447" s="74"/>
      <c r="N447" s="74"/>
      <c r="O447" s="163" t="s">
        <v>1259</v>
      </c>
      <c r="P447" s="143" t="s">
        <v>506</v>
      </c>
      <c r="Q447" s="175">
        <v>40135</v>
      </c>
    </row>
    <row r="448" spans="1:17" customFormat="1" ht="60" hidden="1">
      <c r="A448" s="139"/>
      <c r="B448" s="140" t="s">
        <v>2183</v>
      </c>
      <c r="C448" s="74" t="s">
        <v>570</v>
      </c>
      <c r="D448" s="74" t="s">
        <v>1012</v>
      </c>
      <c r="E448" s="116">
        <v>580000069</v>
      </c>
      <c r="F448" s="116" t="s">
        <v>2184</v>
      </c>
      <c r="G448" s="74" t="s">
        <v>1146</v>
      </c>
      <c r="H448" s="74" t="s">
        <v>1147</v>
      </c>
      <c r="I448" s="77">
        <v>5400</v>
      </c>
      <c r="J448" s="74" t="s">
        <v>582</v>
      </c>
      <c r="K448" s="74"/>
      <c r="L448" s="74"/>
      <c r="M448" s="74"/>
      <c r="N448" s="74"/>
      <c r="O448" s="163" t="s">
        <v>2821</v>
      </c>
      <c r="P448" s="143" t="s">
        <v>506</v>
      </c>
      <c r="Q448" s="175">
        <v>40135</v>
      </c>
    </row>
    <row r="449" spans="1:17" customFormat="1" ht="60" hidden="1">
      <c r="A449" s="139"/>
      <c r="B449" s="140" t="s">
        <v>77</v>
      </c>
      <c r="C449" s="74" t="s">
        <v>570</v>
      </c>
      <c r="D449" s="74" t="s">
        <v>1012</v>
      </c>
      <c r="E449" s="116">
        <v>580000068</v>
      </c>
      <c r="F449" s="116" t="s">
        <v>78</v>
      </c>
      <c r="G449" s="74" t="s">
        <v>2040</v>
      </c>
      <c r="H449" s="74" t="s">
        <v>1147</v>
      </c>
      <c r="I449" s="77">
        <v>130809.60000000001</v>
      </c>
      <c r="J449" s="74" t="s">
        <v>582</v>
      </c>
      <c r="K449" s="74"/>
      <c r="L449" s="74"/>
      <c r="M449" s="74"/>
      <c r="N449" s="74"/>
      <c r="O449" s="163" t="s">
        <v>986</v>
      </c>
      <c r="P449" s="143" t="s">
        <v>506</v>
      </c>
      <c r="Q449" s="176">
        <v>40135</v>
      </c>
    </row>
    <row r="450" spans="1:17" customFormat="1" ht="60" hidden="1">
      <c r="A450" s="139"/>
      <c r="B450" s="140" t="s">
        <v>79</v>
      </c>
      <c r="C450" s="74" t="s">
        <v>570</v>
      </c>
      <c r="D450" s="74" t="s">
        <v>1012</v>
      </c>
      <c r="E450" s="116">
        <v>580000068</v>
      </c>
      <c r="F450" s="116" t="s">
        <v>2038</v>
      </c>
      <c r="G450" s="74" t="s">
        <v>1910</v>
      </c>
      <c r="H450" s="74" t="s">
        <v>1911</v>
      </c>
      <c r="I450" s="77">
        <v>331430.40000000002</v>
      </c>
      <c r="J450" s="74" t="s">
        <v>582</v>
      </c>
      <c r="K450" s="74"/>
      <c r="L450" s="74"/>
      <c r="M450" s="74"/>
      <c r="N450" s="74"/>
      <c r="O450" s="163" t="s">
        <v>170</v>
      </c>
      <c r="P450" s="143" t="s">
        <v>506</v>
      </c>
      <c r="Q450" s="176">
        <v>40135</v>
      </c>
    </row>
    <row r="451" spans="1:17" customFormat="1" ht="60" hidden="1">
      <c r="A451" s="139"/>
      <c r="B451" s="140" t="s">
        <v>1912</v>
      </c>
      <c r="C451" s="74" t="s">
        <v>570</v>
      </c>
      <c r="D451" s="74" t="s">
        <v>1012</v>
      </c>
      <c r="E451" s="116">
        <v>580000068</v>
      </c>
      <c r="F451" s="116" t="s">
        <v>1913</v>
      </c>
      <c r="G451" s="74" t="s">
        <v>1914</v>
      </c>
      <c r="H451" s="74" t="s">
        <v>1911</v>
      </c>
      <c r="I451" s="77">
        <v>347414.4</v>
      </c>
      <c r="J451" s="74" t="s">
        <v>582</v>
      </c>
      <c r="K451" s="74"/>
      <c r="L451" s="74"/>
      <c r="M451" s="74"/>
      <c r="N451" s="74"/>
      <c r="O451" s="163" t="s">
        <v>986</v>
      </c>
      <c r="P451" s="143" t="s">
        <v>506</v>
      </c>
      <c r="Q451" s="176">
        <v>40135</v>
      </c>
    </row>
    <row r="452" spans="1:17" customFormat="1" ht="127.5" hidden="1">
      <c r="A452" s="139" t="s">
        <v>515</v>
      </c>
      <c r="B452" s="180" t="s">
        <v>2437</v>
      </c>
      <c r="C452" s="148" t="s">
        <v>1863</v>
      </c>
      <c r="D452" s="148" t="s">
        <v>521</v>
      </c>
      <c r="E452" s="149">
        <v>4600021696</v>
      </c>
      <c r="F452" s="149" t="s">
        <v>1191</v>
      </c>
      <c r="G452" s="148" t="s">
        <v>1192</v>
      </c>
      <c r="H452" s="150">
        <v>49872</v>
      </c>
      <c r="I452" s="150" t="s">
        <v>1193</v>
      </c>
      <c r="J452" s="145">
        <v>40143</v>
      </c>
      <c r="K452" s="145"/>
      <c r="L452" s="145"/>
      <c r="M452" s="145"/>
      <c r="N452" s="145"/>
      <c r="O452" s="141" t="s">
        <v>2096</v>
      </c>
      <c r="P452" s="181" t="s">
        <v>506</v>
      </c>
      <c r="Q452" s="145">
        <v>40144</v>
      </c>
    </row>
    <row r="453" spans="1:17" customFormat="1" ht="76.5" hidden="1">
      <c r="A453" s="139" t="s">
        <v>515</v>
      </c>
      <c r="B453" s="180" t="s">
        <v>223</v>
      </c>
      <c r="C453" s="148" t="s">
        <v>2266</v>
      </c>
      <c r="D453" s="148" t="s">
        <v>1190</v>
      </c>
      <c r="E453" s="149">
        <v>4600022366</v>
      </c>
      <c r="F453" s="149">
        <v>1101528413</v>
      </c>
      <c r="G453" s="148">
        <v>414608282</v>
      </c>
      <c r="H453" s="150">
        <v>643.28</v>
      </c>
      <c r="I453" s="150" t="s">
        <v>1193</v>
      </c>
      <c r="J453" s="145">
        <v>40142</v>
      </c>
      <c r="K453" s="145"/>
      <c r="L453" s="145"/>
      <c r="M453" s="145"/>
      <c r="N453" s="145"/>
      <c r="O453" s="141" t="s">
        <v>2158</v>
      </c>
      <c r="P453" s="152" t="s">
        <v>506</v>
      </c>
      <c r="Q453" s="145">
        <v>40144</v>
      </c>
    </row>
    <row r="454" spans="1:17" customFormat="1" ht="76.5" hidden="1">
      <c r="A454" s="139" t="s">
        <v>515</v>
      </c>
      <c r="B454" s="180" t="s">
        <v>224</v>
      </c>
      <c r="C454" s="148" t="s">
        <v>2546</v>
      </c>
      <c r="D454" s="148" t="s">
        <v>1750</v>
      </c>
      <c r="E454" s="149">
        <v>4600022060</v>
      </c>
      <c r="F454" s="149">
        <v>4600022060</v>
      </c>
      <c r="G454" s="148">
        <v>294456</v>
      </c>
      <c r="H454" s="150">
        <v>494</v>
      </c>
      <c r="I454" s="150" t="s">
        <v>1188</v>
      </c>
      <c r="J454" s="145">
        <v>40140</v>
      </c>
      <c r="K454" s="145"/>
      <c r="L454" s="145"/>
      <c r="M454" s="145"/>
      <c r="N454" s="145"/>
      <c r="O454" s="141" t="s">
        <v>2805</v>
      </c>
      <c r="P454" s="152" t="s">
        <v>506</v>
      </c>
      <c r="Q454" s="145">
        <v>40142</v>
      </c>
    </row>
    <row r="455" spans="1:17" s="16" customFormat="1" ht="127.5" hidden="1">
      <c r="A455" s="146" t="s">
        <v>515</v>
      </c>
      <c r="B455" s="180" t="s">
        <v>844</v>
      </c>
      <c r="C455" s="148" t="s">
        <v>1863</v>
      </c>
      <c r="D455" s="148" t="s">
        <v>53</v>
      </c>
      <c r="E455" s="149">
        <v>4600021352</v>
      </c>
      <c r="F455" s="149" t="s">
        <v>845</v>
      </c>
      <c r="G455" s="148" t="s">
        <v>846</v>
      </c>
      <c r="H455" s="150">
        <v>34811.61</v>
      </c>
      <c r="I455" s="150" t="s">
        <v>1193</v>
      </c>
      <c r="J455" s="133">
        <v>40143</v>
      </c>
      <c r="K455" s="133"/>
      <c r="L455" s="133"/>
      <c r="M455" s="133"/>
      <c r="N455" s="133"/>
      <c r="O455" s="189" t="s">
        <v>563</v>
      </c>
      <c r="P455" s="152" t="s">
        <v>506</v>
      </c>
      <c r="Q455" s="133">
        <v>40144</v>
      </c>
    </row>
    <row r="456" spans="1:17" s="16" customFormat="1" ht="63.75" hidden="1">
      <c r="A456" s="146" t="s">
        <v>515</v>
      </c>
      <c r="B456" s="180" t="s">
        <v>398</v>
      </c>
      <c r="C456" s="148" t="s">
        <v>990</v>
      </c>
      <c r="D456" s="148" t="s">
        <v>1750</v>
      </c>
      <c r="E456" s="149">
        <v>4600021921</v>
      </c>
      <c r="F456" s="149">
        <v>40005047</v>
      </c>
      <c r="G456" s="148">
        <v>4811742456</v>
      </c>
      <c r="H456" s="150">
        <v>18585</v>
      </c>
      <c r="I456" s="150" t="s">
        <v>1193</v>
      </c>
      <c r="J456" s="133">
        <v>40139</v>
      </c>
      <c r="K456" s="133"/>
      <c r="L456" s="133"/>
      <c r="M456" s="133"/>
      <c r="N456" s="133"/>
      <c r="O456" s="189" t="s">
        <v>1048</v>
      </c>
      <c r="P456" s="152" t="s">
        <v>506</v>
      </c>
      <c r="Q456" s="133">
        <v>40141</v>
      </c>
    </row>
    <row r="457" spans="1:17" customFormat="1" ht="38.25" hidden="1">
      <c r="A457" s="139" t="s">
        <v>515</v>
      </c>
      <c r="B457" s="180" t="s">
        <v>869</v>
      </c>
      <c r="C457" s="148" t="s">
        <v>524</v>
      </c>
      <c r="D457" s="148" t="s">
        <v>525</v>
      </c>
      <c r="E457" s="149" t="s">
        <v>2381</v>
      </c>
      <c r="F457" s="149" t="s">
        <v>2382</v>
      </c>
      <c r="G457" s="148" t="s">
        <v>2383</v>
      </c>
      <c r="H457" s="150">
        <v>3872</v>
      </c>
      <c r="I457" s="150" t="s">
        <v>1193</v>
      </c>
      <c r="J457" s="145">
        <v>40141</v>
      </c>
      <c r="K457" s="145"/>
      <c r="L457" s="145"/>
      <c r="M457" s="145"/>
      <c r="N457" s="145"/>
      <c r="O457" s="141" t="s">
        <v>1199</v>
      </c>
      <c r="P457" s="152" t="s">
        <v>506</v>
      </c>
      <c r="Q457" s="145">
        <v>40142</v>
      </c>
    </row>
    <row r="458" spans="1:17" customFormat="1" ht="38.25" hidden="1">
      <c r="A458" s="139" t="s">
        <v>515</v>
      </c>
      <c r="B458" s="180" t="s">
        <v>2384</v>
      </c>
      <c r="C458" s="148" t="s">
        <v>524</v>
      </c>
      <c r="D458" s="148" t="s">
        <v>525</v>
      </c>
      <c r="E458" s="149">
        <v>4600021603</v>
      </c>
      <c r="F458" s="149">
        <v>40760192</v>
      </c>
      <c r="G458" s="148" t="s">
        <v>2385</v>
      </c>
      <c r="H458" s="150">
        <v>465.5</v>
      </c>
      <c r="I458" s="150" t="s">
        <v>1193</v>
      </c>
      <c r="J458" s="145">
        <v>40140</v>
      </c>
      <c r="K458" s="145"/>
      <c r="L458" s="145"/>
      <c r="M458" s="145"/>
      <c r="N458" s="145"/>
      <c r="O458" s="141" t="s">
        <v>1200</v>
      </c>
      <c r="P458" s="152" t="s">
        <v>506</v>
      </c>
      <c r="Q458" s="145">
        <v>40142</v>
      </c>
    </row>
    <row r="459" spans="1:17" customFormat="1" ht="76.5" hidden="1">
      <c r="A459" s="139" t="s">
        <v>515</v>
      </c>
      <c r="B459" s="180" t="s">
        <v>222</v>
      </c>
      <c r="C459" s="148" t="s">
        <v>2266</v>
      </c>
      <c r="D459" s="148" t="s">
        <v>1197</v>
      </c>
      <c r="E459" s="149">
        <v>4600021526</v>
      </c>
      <c r="F459" s="149" t="s">
        <v>1198</v>
      </c>
      <c r="G459" s="148">
        <v>414608281</v>
      </c>
      <c r="H459" s="150">
        <v>181304.95999999999</v>
      </c>
      <c r="I459" s="150" t="s">
        <v>1193</v>
      </c>
      <c r="J459" s="145">
        <v>40143</v>
      </c>
      <c r="K459" s="145"/>
      <c r="L459" s="145"/>
      <c r="M459" s="145"/>
      <c r="N459" s="145"/>
      <c r="O459" s="141" t="s">
        <v>709</v>
      </c>
      <c r="P459" s="152" t="s">
        <v>506</v>
      </c>
      <c r="Q459" s="145">
        <v>40145</v>
      </c>
    </row>
    <row r="460" spans="1:17" customFormat="1" ht="48" hidden="1">
      <c r="A460" s="139"/>
      <c r="B460" s="140" t="s">
        <v>2664</v>
      </c>
      <c r="C460" s="74" t="s">
        <v>570</v>
      </c>
      <c r="D460" s="74" t="s">
        <v>1012</v>
      </c>
      <c r="E460" s="116">
        <v>580000071</v>
      </c>
      <c r="F460" s="116" t="s">
        <v>2665</v>
      </c>
      <c r="G460" s="74" t="s">
        <v>2666</v>
      </c>
      <c r="H460" s="74" t="s">
        <v>1025</v>
      </c>
      <c r="I460" s="77">
        <v>126835.2</v>
      </c>
      <c r="J460" s="74" t="s">
        <v>582</v>
      </c>
      <c r="K460" s="74"/>
      <c r="L460" s="74"/>
      <c r="M460" s="74"/>
      <c r="N460" s="74"/>
      <c r="O460" s="163" t="s">
        <v>1513</v>
      </c>
      <c r="P460" s="143" t="s">
        <v>506</v>
      </c>
      <c r="Q460" s="176">
        <v>40142</v>
      </c>
    </row>
    <row r="461" spans="1:17" customFormat="1" ht="60" hidden="1">
      <c r="A461" s="139"/>
      <c r="B461" s="140" t="s">
        <v>62</v>
      </c>
      <c r="C461" s="74" t="s">
        <v>570</v>
      </c>
      <c r="D461" s="74" t="s">
        <v>1012</v>
      </c>
      <c r="E461" s="116"/>
      <c r="F461" s="116" t="s">
        <v>63</v>
      </c>
      <c r="G461" s="74" t="s">
        <v>1699</v>
      </c>
      <c r="H461" s="74" t="s">
        <v>114</v>
      </c>
      <c r="I461" s="77">
        <v>1260</v>
      </c>
      <c r="J461" s="74" t="s">
        <v>582</v>
      </c>
      <c r="K461" s="74"/>
      <c r="L461" s="74"/>
      <c r="M461" s="74"/>
      <c r="N461" s="74"/>
      <c r="O461" s="163" t="s">
        <v>1643</v>
      </c>
      <c r="P461" s="143" t="s">
        <v>506</v>
      </c>
      <c r="Q461" s="176">
        <v>40143</v>
      </c>
    </row>
    <row r="462" spans="1:17" customFormat="1" ht="60" hidden="1">
      <c r="A462" s="139"/>
      <c r="B462" s="140" t="s">
        <v>64</v>
      </c>
      <c r="C462" s="74" t="s">
        <v>570</v>
      </c>
      <c r="D462" s="74" t="s">
        <v>1012</v>
      </c>
      <c r="E462" s="116"/>
      <c r="F462" s="116" t="s">
        <v>65</v>
      </c>
      <c r="G462" s="74" t="s">
        <v>1146</v>
      </c>
      <c r="H462" s="74" t="s">
        <v>1147</v>
      </c>
      <c r="I462" s="77">
        <v>630</v>
      </c>
      <c r="J462" s="74" t="s">
        <v>582</v>
      </c>
      <c r="K462" s="74"/>
      <c r="L462" s="74"/>
      <c r="M462" s="74"/>
      <c r="N462" s="74"/>
      <c r="O462" s="163" t="s">
        <v>1643</v>
      </c>
      <c r="P462" s="143" t="s">
        <v>506</v>
      </c>
      <c r="Q462" s="176">
        <v>40143</v>
      </c>
    </row>
    <row r="463" spans="1:17" customFormat="1" ht="60" hidden="1">
      <c r="A463" s="139"/>
      <c r="B463" s="140" t="s">
        <v>66</v>
      </c>
      <c r="C463" s="74" t="s">
        <v>570</v>
      </c>
      <c r="D463" s="74" t="s">
        <v>1012</v>
      </c>
      <c r="E463" s="116"/>
      <c r="F463" s="116" t="s">
        <v>67</v>
      </c>
      <c r="G463" s="74" t="s">
        <v>68</v>
      </c>
      <c r="H463" s="74"/>
      <c r="I463" s="77">
        <v>140530.5</v>
      </c>
      <c r="J463" s="74" t="s">
        <v>582</v>
      </c>
      <c r="K463" s="74"/>
      <c r="L463" s="74"/>
      <c r="M463" s="74"/>
      <c r="N463" s="74"/>
      <c r="O463" s="163" t="s">
        <v>1643</v>
      </c>
      <c r="P463" s="143" t="s">
        <v>506</v>
      </c>
      <c r="Q463" s="176">
        <v>40143</v>
      </c>
    </row>
    <row r="464" spans="1:17" s="16" customFormat="1" ht="76.5" hidden="1">
      <c r="A464" s="146" t="s">
        <v>515</v>
      </c>
      <c r="B464" s="180" t="s">
        <v>1646</v>
      </c>
      <c r="C464" s="148" t="s">
        <v>1793</v>
      </c>
      <c r="D464" s="148" t="s">
        <v>1197</v>
      </c>
      <c r="E464" s="149">
        <v>4600021914</v>
      </c>
      <c r="F464" s="149" t="s">
        <v>1928</v>
      </c>
      <c r="G464" s="148">
        <v>4394633570</v>
      </c>
      <c r="H464" s="150">
        <v>12712.89</v>
      </c>
      <c r="I464" s="150" t="s">
        <v>1193</v>
      </c>
      <c r="J464" s="133">
        <v>40145</v>
      </c>
      <c r="K464" s="133"/>
      <c r="L464" s="133"/>
      <c r="M464" s="133"/>
      <c r="N464" s="133"/>
      <c r="O464" s="151" t="s">
        <v>1836</v>
      </c>
      <c r="P464" s="152" t="s">
        <v>506</v>
      </c>
      <c r="Q464" s="133">
        <v>40147</v>
      </c>
    </row>
    <row r="465" spans="1:17" s="31" customFormat="1" ht="63.75" hidden="1">
      <c r="A465" s="52" t="s">
        <v>1870</v>
      </c>
      <c r="B465" s="113" t="s">
        <v>1249</v>
      </c>
      <c r="C465" s="115" t="s">
        <v>2513</v>
      </c>
      <c r="D465" s="113" t="s">
        <v>521</v>
      </c>
      <c r="E465" s="115">
        <v>4600019407</v>
      </c>
      <c r="F465" s="115">
        <v>5001375922</v>
      </c>
      <c r="G465" s="52" t="s">
        <v>1250</v>
      </c>
      <c r="H465" s="52" t="s">
        <v>620</v>
      </c>
      <c r="I465" s="114">
        <v>48329.47</v>
      </c>
      <c r="J465" s="52" t="s">
        <v>1206</v>
      </c>
      <c r="K465" s="52"/>
      <c r="L465" s="52"/>
      <c r="M465" s="52"/>
      <c r="N465" s="52"/>
      <c r="O465" s="32" t="s">
        <v>2780</v>
      </c>
      <c r="P465" s="43" t="s">
        <v>506</v>
      </c>
      <c r="Q465" s="93">
        <v>40144</v>
      </c>
    </row>
    <row r="466" spans="1:17" s="31" customFormat="1" ht="191.25" hidden="1">
      <c r="A466" s="52" t="s">
        <v>1870</v>
      </c>
      <c r="B466" s="113" t="s">
        <v>1916</v>
      </c>
      <c r="C466" s="115" t="s">
        <v>2125</v>
      </c>
      <c r="D466" s="113" t="s">
        <v>1750</v>
      </c>
      <c r="E466" s="115">
        <v>4600020796</v>
      </c>
      <c r="F466" s="115" t="s">
        <v>678</v>
      </c>
      <c r="G466" s="52" t="s">
        <v>1630</v>
      </c>
      <c r="H466" s="52" t="s">
        <v>669</v>
      </c>
      <c r="I466" s="114">
        <v>14652</v>
      </c>
      <c r="J466" s="52" t="s">
        <v>1864</v>
      </c>
      <c r="K466" s="52"/>
      <c r="L466" s="52"/>
      <c r="M466" s="52"/>
      <c r="N466" s="52"/>
      <c r="O466" s="32" t="s">
        <v>1082</v>
      </c>
      <c r="P466" s="43" t="s">
        <v>506</v>
      </c>
      <c r="Q466" s="93">
        <v>40142</v>
      </c>
    </row>
    <row r="467" spans="1:17" s="31" customFormat="1" ht="242.25" hidden="1">
      <c r="A467" s="52" t="s">
        <v>1870</v>
      </c>
      <c r="B467" s="113" t="s">
        <v>116</v>
      </c>
      <c r="C467" s="115" t="s">
        <v>1863</v>
      </c>
      <c r="D467" s="113" t="s">
        <v>521</v>
      </c>
      <c r="E467" s="115">
        <v>4600019863</v>
      </c>
      <c r="F467" s="115" t="s">
        <v>117</v>
      </c>
      <c r="G467" s="52" t="s">
        <v>118</v>
      </c>
      <c r="H467" s="52" t="s">
        <v>670</v>
      </c>
      <c r="I467" s="114">
        <v>92425.16</v>
      </c>
      <c r="J467" s="52" t="s">
        <v>1864</v>
      </c>
      <c r="K467" s="52"/>
      <c r="L467" s="52"/>
      <c r="M467" s="52"/>
      <c r="N467" s="52"/>
      <c r="O467" s="32" t="s">
        <v>1920</v>
      </c>
      <c r="P467" s="41" t="s">
        <v>1080</v>
      </c>
      <c r="Q467" s="93">
        <v>40142</v>
      </c>
    </row>
    <row r="468" spans="1:17" s="31" customFormat="1" ht="63.75" hidden="1">
      <c r="A468" s="52" t="s">
        <v>1870</v>
      </c>
      <c r="B468" s="113" t="s">
        <v>2087</v>
      </c>
      <c r="C468" s="115" t="s">
        <v>2513</v>
      </c>
      <c r="D468" s="113" t="s">
        <v>521</v>
      </c>
      <c r="E468" s="115">
        <v>4600020047</v>
      </c>
      <c r="F468" s="115">
        <v>5001403695</v>
      </c>
      <c r="G468" s="52" t="s">
        <v>2088</v>
      </c>
      <c r="H468" s="52" t="s">
        <v>1024</v>
      </c>
      <c r="I468" s="114">
        <v>48329.47</v>
      </c>
      <c r="J468" s="52" t="s">
        <v>1864</v>
      </c>
      <c r="K468" s="52"/>
      <c r="L468" s="52"/>
      <c r="M468" s="52"/>
      <c r="N468" s="195"/>
      <c r="O468" s="32" t="s">
        <v>2282</v>
      </c>
      <c r="P468" s="43" t="s">
        <v>506</v>
      </c>
      <c r="Q468" s="93">
        <v>40130</v>
      </c>
    </row>
    <row r="469" spans="1:17" s="31" customFormat="1" ht="114.75" hidden="1">
      <c r="A469" s="52" t="s">
        <v>1870</v>
      </c>
      <c r="B469" s="113" t="s">
        <v>2355</v>
      </c>
      <c r="C469" s="115" t="s">
        <v>2513</v>
      </c>
      <c r="D469" s="113" t="s">
        <v>521</v>
      </c>
      <c r="E469" s="115" t="s">
        <v>2356</v>
      </c>
      <c r="F469" s="115">
        <v>5001418787</v>
      </c>
      <c r="G469" s="52" t="s">
        <v>1076</v>
      </c>
      <c r="H469" s="52" t="s">
        <v>1984</v>
      </c>
      <c r="I469" s="114">
        <v>114065.51</v>
      </c>
      <c r="J469" s="52" t="s">
        <v>1864</v>
      </c>
      <c r="K469" s="52"/>
      <c r="L469" s="52"/>
      <c r="M469" s="52"/>
      <c r="N469" s="195"/>
      <c r="O469" s="125" t="s">
        <v>2478</v>
      </c>
      <c r="P469" s="40" t="s">
        <v>980</v>
      </c>
      <c r="Q469" s="93">
        <v>40142</v>
      </c>
    </row>
    <row r="470" spans="1:17" s="31" customFormat="1" ht="127.5" hidden="1">
      <c r="A470" s="52" t="s">
        <v>1870</v>
      </c>
      <c r="B470" s="113" t="s">
        <v>648</v>
      </c>
      <c r="C470" s="115" t="s">
        <v>2513</v>
      </c>
      <c r="D470" s="113" t="s">
        <v>521</v>
      </c>
      <c r="E470" s="115">
        <v>4600020976</v>
      </c>
      <c r="F470" s="115">
        <v>5001418897</v>
      </c>
      <c r="G470" s="52" t="s">
        <v>649</v>
      </c>
      <c r="H470" s="52" t="s">
        <v>1984</v>
      </c>
      <c r="I470" s="114">
        <v>32298.6</v>
      </c>
      <c r="J470" s="100" t="s">
        <v>2075</v>
      </c>
      <c r="K470" s="100"/>
      <c r="L470" s="100"/>
      <c r="M470" s="100"/>
      <c r="N470" s="196"/>
      <c r="O470" s="32" t="s">
        <v>567</v>
      </c>
      <c r="P470" s="41" t="s">
        <v>1080</v>
      </c>
      <c r="Q470" s="93">
        <v>40141</v>
      </c>
    </row>
    <row r="471" spans="1:17" s="31" customFormat="1" ht="63.75" hidden="1">
      <c r="A471" s="52" t="s">
        <v>1870</v>
      </c>
      <c r="B471" s="113" t="s">
        <v>481</v>
      </c>
      <c r="C471" s="115" t="s">
        <v>2513</v>
      </c>
      <c r="D471" s="113" t="s">
        <v>521</v>
      </c>
      <c r="E471" s="115" t="s">
        <v>482</v>
      </c>
      <c r="F471" s="115" t="s">
        <v>919</v>
      </c>
      <c r="G471" s="52" t="s">
        <v>920</v>
      </c>
      <c r="H471" s="52" t="s">
        <v>1984</v>
      </c>
      <c r="I471" s="114">
        <v>117248.48</v>
      </c>
      <c r="J471" s="52" t="s">
        <v>1864</v>
      </c>
      <c r="K471" s="52"/>
      <c r="L471" s="52"/>
      <c r="M471" s="52"/>
      <c r="N471" s="195"/>
      <c r="O471" s="125" t="s">
        <v>2037</v>
      </c>
      <c r="P471" s="43" t="s">
        <v>506</v>
      </c>
      <c r="Q471" s="93">
        <v>40140</v>
      </c>
    </row>
    <row r="472" spans="1:17" s="31" customFormat="1" ht="191.25" hidden="1">
      <c r="A472" s="52" t="s">
        <v>1870</v>
      </c>
      <c r="B472" s="113" t="s">
        <v>1832</v>
      </c>
      <c r="C472" s="115" t="s">
        <v>2513</v>
      </c>
      <c r="D472" s="115" t="s">
        <v>521</v>
      </c>
      <c r="E472" s="115" t="s">
        <v>2726</v>
      </c>
      <c r="F472" s="115" t="s">
        <v>2446</v>
      </c>
      <c r="G472" s="52" t="s">
        <v>2447</v>
      </c>
      <c r="H472" s="52" t="s">
        <v>1024</v>
      </c>
      <c r="I472" s="114">
        <v>40301.589999999997</v>
      </c>
      <c r="J472" s="52" t="s">
        <v>1864</v>
      </c>
      <c r="K472" s="52"/>
      <c r="L472" s="52"/>
      <c r="M472" s="52"/>
      <c r="N472" s="195"/>
      <c r="O472" s="32" t="s">
        <v>2612</v>
      </c>
      <c r="P472" s="40" t="s">
        <v>980</v>
      </c>
      <c r="Q472" s="93">
        <v>40142</v>
      </c>
    </row>
    <row r="473" spans="1:17" s="31" customFormat="1" ht="165.75" hidden="1">
      <c r="A473" s="52" t="s">
        <v>1870</v>
      </c>
      <c r="B473" s="113" t="s">
        <v>1880</v>
      </c>
      <c r="C473" s="115" t="s">
        <v>2266</v>
      </c>
      <c r="D473" s="113" t="s">
        <v>521</v>
      </c>
      <c r="E473" s="115">
        <v>4600020637</v>
      </c>
      <c r="F473" s="115">
        <v>4300288195</v>
      </c>
      <c r="G473" s="52" t="s">
        <v>1007</v>
      </c>
      <c r="H473" s="52" t="s">
        <v>1008</v>
      </c>
      <c r="I473" s="114">
        <v>54645.97</v>
      </c>
      <c r="J473" s="52" t="s">
        <v>1864</v>
      </c>
      <c r="K473" s="52"/>
      <c r="L473" s="52"/>
      <c r="M473" s="52"/>
      <c r="N473" s="195"/>
      <c r="O473" s="32" t="s">
        <v>2182</v>
      </c>
      <c r="P473" s="41" t="s">
        <v>1080</v>
      </c>
      <c r="Q473" s="93">
        <v>40134</v>
      </c>
    </row>
    <row r="474" spans="1:17" s="31" customFormat="1" ht="114.75" hidden="1">
      <c r="A474" s="52" t="s">
        <v>1870</v>
      </c>
      <c r="B474" s="113" t="s">
        <v>61</v>
      </c>
      <c r="C474" s="115" t="s">
        <v>2022</v>
      </c>
      <c r="D474" s="113" t="s">
        <v>521</v>
      </c>
      <c r="E474" s="115">
        <v>4600021650</v>
      </c>
      <c r="F474" s="115">
        <v>4600021650</v>
      </c>
      <c r="G474" s="52">
        <v>294022</v>
      </c>
      <c r="H474" s="52" t="s">
        <v>848</v>
      </c>
      <c r="I474" s="114">
        <v>14512.8</v>
      </c>
      <c r="J474" s="52" t="s">
        <v>1864</v>
      </c>
      <c r="K474" s="52"/>
      <c r="L474" s="52"/>
      <c r="M474" s="52"/>
      <c r="N474" s="195"/>
      <c r="O474" s="32" t="s">
        <v>1790</v>
      </c>
      <c r="P474" s="43" t="s">
        <v>506</v>
      </c>
      <c r="Q474" s="93">
        <v>40148</v>
      </c>
    </row>
    <row r="475" spans="1:17" s="31" customFormat="1" ht="63.75" hidden="1">
      <c r="A475" s="52" t="s">
        <v>1870</v>
      </c>
      <c r="B475" s="113" t="s">
        <v>2165</v>
      </c>
      <c r="C475" s="115" t="s">
        <v>2266</v>
      </c>
      <c r="D475" s="113" t="s">
        <v>521</v>
      </c>
      <c r="E475" s="115">
        <v>4600020639</v>
      </c>
      <c r="F475" s="115">
        <v>1101505633</v>
      </c>
      <c r="G475" s="52" t="s">
        <v>2166</v>
      </c>
      <c r="H475" s="52" t="s">
        <v>1984</v>
      </c>
      <c r="I475" s="114">
        <v>95264.639999999999</v>
      </c>
      <c r="J475" s="52" t="s">
        <v>1864</v>
      </c>
      <c r="K475" s="52"/>
      <c r="L475" s="52"/>
      <c r="M475" s="52"/>
      <c r="N475" s="195"/>
      <c r="O475" s="32" t="s">
        <v>235</v>
      </c>
      <c r="P475" s="43" t="s">
        <v>506</v>
      </c>
      <c r="Q475" s="93">
        <v>40136</v>
      </c>
    </row>
    <row r="476" spans="1:17" s="31" customFormat="1" ht="140.25" hidden="1">
      <c r="A476" s="52" t="s">
        <v>1870</v>
      </c>
      <c r="B476" s="113" t="s">
        <v>236</v>
      </c>
      <c r="C476" s="115" t="s">
        <v>2513</v>
      </c>
      <c r="D476" s="113" t="s">
        <v>521</v>
      </c>
      <c r="E476" s="115" t="s">
        <v>237</v>
      </c>
      <c r="F476" s="115">
        <v>5001425864</v>
      </c>
      <c r="G476" s="52" t="s">
        <v>238</v>
      </c>
      <c r="H476" s="52" t="s">
        <v>1772</v>
      </c>
      <c r="I476" s="114">
        <v>48329.47</v>
      </c>
      <c r="J476" s="52" t="s">
        <v>1864</v>
      </c>
      <c r="K476" s="52"/>
      <c r="L476" s="52"/>
      <c r="M476" s="52"/>
      <c r="N476" s="195"/>
      <c r="O476" s="32" t="s">
        <v>2593</v>
      </c>
      <c r="P476" s="43" t="s">
        <v>506</v>
      </c>
      <c r="Q476" s="93">
        <v>40144</v>
      </c>
    </row>
    <row r="477" spans="1:17" s="31" customFormat="1" ht="89.25" hidden="1">
      <c r="A477" s="52" t="s">
        <v>1870</v>
      </c>
      <c r="B477" s="113" t="s">
        <v>239</v>
      </c>
      <c r="C477" s="115" t="s">
        <v>2513</v>
      </c>
      <c r="D477" s="113" t="s">
        <v>521</v>
      </c>
      <c r="E477" s="115" t="s">
        <v>2459</v>
      </c>
      <c r="F477" s="115" t="s">
        <v>2460</v>
      </c>
      <c r="G477" s="52" t="s">
        <v>2461</v>
      </c>
      <c r="H477" s="52" t="s">
        <v>1772</v>
      </c>
      <c r="I477" s="114">
        <v>69123.87</v>
      </c>
      <c r="J477" s="52" t="s">
        <v>1864</v>
      </c>
      <c r="K477" s="52"/>
      <c r="L477" s="52"/>
      <c r="M477" s="52"/>
      <c r="N477" s="195"/>
      <c r="O477" s="32" t="s">
        <v>893</v>
      </c>
      <c r="P477" s="43" t="s">
        <v>506</v>
      </c>
      <c r="Q477" s="93">
        <v>40143</v>
      </c>
    </row>
    <row r="478" spans="1:17" s="31" customFormat="1" ht="140.25" hidden="1">
      <c r="A478" s="52" t="s">
        <v>1870</v>
      </c>
      <c r="B478" s="113" t="s">
        <v>2526</v>
      </c>
      <c r="C478" s="115" t="s">
        <v>386</v>
      </c>
      <c r="D478" s="113" t="s">
        <v>775</v>
      </c>
      <c r="E478" s="115">
        <v>4600020539</v>
      </c>
      <c r="F478" s="115" t="s">
        <v>2527</v>
      </c>
      <c r="G478" s="52">
        <v>6394427676</v>
      </c>
      <c r="H478" s="52" t="s">
        <v>2728</v>
      </c>
      <c r="I478" s="114">
        <v>12155</v>
      </c>
      <c r="J478" s="52" t="s">
        <v>1864</v>
      </c>
      <c r="K478" s="165">
        <v>40143</v>
      </c>
      <c r="L478" s="52"/>
      <c r="M478" s="52"/>
      <c r="N478" s="197" t="s">
        <v>2613</v>
      </c>
      <c r="O478" s="32" t="s">
        <v>1559</v>
      </c>
      <c r="P478" s="43" t="s">
        <v>506</v>
      </c>
      <c r="Q478" s="93">
        <v>40154</v>
      </c>
    </row>
    <row r="479" spans="1:17" s="31" customFormat="1" ht="267.75" hidden="1">
      <c r="A479" s="52" t="s">
        <v>1870</v>
      </c>
      <c r="B479" s="113" t="s">
        <v>1440</v>
      </c>
      <c r="C479" s="115" t="s">
        <v>1129</v>
      </c>
      <c r="D479" s="113" t="s">
        <v>521</v>
      </c>
      <c r="E479" s="115" t="s">
        <v>1216</v>
      </c>
      <c r="F479" s="115" t="s">
        <v>2186</v>
      </c>
      <c r="G479" s="52" t="s">
        <v>2569</v>
      </c>
      <c r="H479" s="52" t="s">
        <v>538</v>
      </c>
      <c r="I479" s="114">
        <v>25732.799999999999</v>
      </c>
      <c r="J479" s="52" t="s">
        <v>1864</v>
      </c>
      <c r="K479" s="165">
        <v>40138</v>
      </c>
      <c r="L479" s="52"/>
      <c r="M479" s="52"/>
      <c r="N479" s="197" t="s">
        <v>2613</v>
      </c>
      <c r="O479" s="32" t="s">
        <v>1135</v>
      </c>
      <c r="P479" s="43" t="s">
        <v>506</v>
      </c>
      <c r="Q479" s="93">
        <v>40149</v>
      </c>
    </row>
    <row r="480" spans="1:17" s="31" customFormat="1" ht="153" hidden="1">
      <c r="A480" s="52" t="s">
        <v>1870</v>
      </c>
      <c r="B480" s="113" t="s">
        <v>946</v>
      </c>
      <c r="C480" s="115" t="s">
        <v>2513</v>
      </c>
      <c r="D480" s="113" t="s">
        <v>521</v>
      </c>
      <c r="E480" s="115">
        <v>4600020778</v>
      </c>
      <c r="F480" s="115" t="s">
        <v>947</v>
      </c>
      <c r="G480" s="52">
        <v>614608633</v>
      </c>
      <c r="H480" s="52" t="s">
        <v>540</v>
      </c>
      <c r="I480" s="114">
        <v>20783.400000000001</v>
      </c>
      <c r="J480" s="52" t="s">
        <v>1864</v>
      </c>
      <c r="K480" s="165">
        <v>40139</v>
      </c>
      <c r="L480" s="52"/>
      <c r="M480" s="52"/>
      <c r="N480" s="197" t="s">
        <v>2613</v>
      </c>
      <c r="O480" s="32" t="s">
        <v>1281</v>
      </c>
      <c r="P480" s="43" t="s">
        <v>506</v>
      </c>
      <c r="Q480" s="93">
        <v>40150</v>
      </c>
    </row>
    <row r="481" spans="1:17" s="31" customFormat="1" ht="318.75" hidden="1">
      <c r="A481" s="52" t="s">
        <v>1870</v>
      </c>
      <c r="B481" s="113" t="s">
        <v>119</v>
      </c>
      <c r="C481" s="115" t="s">
        <v>1863</v>
      </c>
      <c r="D481" s="113" t="s">
        <v>521</v>
      </c>
      <c r="E481" s="115">
        <v>4600019864</v>
      </c>
      <c r="F481" s="115" t="s">
        <v>120</v>
      </c>
      <c r="G481" s="52" t="s">
        <v>121</v>
      </c>
      <c r="H481" s="52" t="s">
        <v>670</v>
      </c>
      <c r="I481" s="114">
        <v>92425.16</v>
      </c>
      <c r="J481" s="52" t="s">
        <v>1864</v>
      </c>
      <c r="K481" s="165">
        <v>40126</v>
      </c>
      <c r="L481" s="52" t="s">
        <v>2614</v>
      </c>
      <c r="M481" s="165">
        <v>40134</v>
      </c>
      <c r="N481" s="199">
        <v>40136</v>
      </c>
      <c r="O481" s="32" t="s">
        <v>2640</v>
      </c>
      <c r="P481" s="41" t="s">
        <v>1080</v>
      </c>
      <c r="Q481" s="93">
        <v>40148</v>
      </c>
    </row>
    <row r="482" spans="1:17" s="31" customFormat="1" ht="318.75" hidden="1">
      <c r="A482" s="52" t="s">
        <v>1870</v>
      </c>
      <c r="B482" s="113" t="s">
        <v>122</v>
      </c>
      <c r="C482" s="115" t="s">
        <v>1863</v>
      </c>
      <c r="D482" s="113" t="s">
        <v>521</v>
      </c>
      <c r="E482" s="115">
        <v>4600019865</v>
      </c>
      <c r="F482" s="115" t="s">
        <v>123</v>
      </c>
      <c r="G482" s="52" t="s">
        <v>124</v>
      </c>
      <c r="H482" s="52" t="s">
        <v>670</v>
      </c>
      <c r="I482" s="114">
        <v>92425.16</v>
      </c>
      <c r="J482" s="52" t="s">
        <v>1864</v>
      </c>
      <c r="K482" s="165">
        <v>40126</v>
      </c>
      <c r="L482" s="52" t="s">
        <v>2614</v>
      </c>
      <c r="M482" s="165">
        <v>40134</v>
      </c>
      <c r="N482" s="199">
        <v>40136</v>
      </c>
      <c r="O482" s="32" t="s">
        <v>2485</v>
      </c>
      <c r="P482" s="41" t="s">
        <v>1080</v>
      </c>
      <c r="Q482" s="93">
        <v>40148</v>
      </c>
    </row>
    <row r="483" spans="1:17" s="31" customFormat="1" ht="255" hidden="1">
      <c r="A483" s="52" t="s">
        <v>1870</v>
      </c>
      <c r="B483" s="113" t="s">
        <v>1436</v>
      </c>
      <c r="C483" s="115" t="s">
        <v>2266</v>
      </c>
      <c r="D483" s="113" t="s">
        <v>521</v>
      </c>
      <c r="E483" s="115">
        <v>4600021244</v>
      </c>
      <c r="F483" s="115">
        <v>4300292299</v>
      </c>
      <c r="G483" s="52" t="s">
        <v>1437</v>
      </c>
      <c r="H483" s="52" t="s">
        <v>2728</v>
      </c>
      <c r="I483" s="114">
        <v>54645.97</v>
      </c>
      <c r="J483" s="52" t="s">
        <v>1864</v>
      </c>
      <c r="K483" s="165">
        <v>40143</v>
      </c>
      <c r="L483" s="52" t="s">
        <v>2614</v>
      </c>
      <c r="M483" s="165">
        <v>40150</v>
      </c>
      <c r="N483" s="199">
        <v>40152</v>
      </c>
      <c r="O483" s="125" t="s">
        <v>1280</v>
      </c>
      <c r="P483" s="41" t="s">
        <v>1080</v>
      </c>
      <c r="Q483" s="93">
        <v>40157</v>
      </c>
    </row>
    <row r="484" spans="1:17" s="31" customFormat="1" ht="216.75" hidden="1">
      <c r="A484" s="52" t="s">
        <v>1870</v>
      </c>
      <c r="B484" s="113" t="s">
        <v>2170</v>
      </c>
      <c r="C484" s="115" t="s">
        <v>2266</v>
      </c>
      <c r="D484" s="113" t="s">
        <v>521</v>
      </c>
      <c r="E484" s="115">
        <v>4600020638</v>
      </c>
      <c r="F484" s="115">
        <v>4300290510</v>
      </c>
      <c r="G484" s="52" t="s">
        <v>1462</v>
      </c>
      <c r="H484" s="52" t="s">
        <v>1772</v>
      </c>
      <c r="I484" s="114">
        <v>54645.97</v>
      </c>
      <c r="J484" s="52" t="s">
        <v>1864</v>
      </c>
      <c r="K484" s="165">
        <v>40136</v>
      </c>
      <c r="L484" s="52" t="s">
        <v>2614</v>
      </c>
      <c r="M484" s="165">
        <v>40144</v>
      </c>
      <c r="N484" s="199">
        <v>40146</v>
      </c>
      <c r="O484" s="32" t="s">
        <v>1108</v>
      </c>
      <c r="P484" s="41" t="s">
        <v>1080</v>
      </c>
      <c r="Q484" s="93">
        <v>40152</v>
      </c>
    </row>
    <row r="485" spans="1:17" s="31" customFormat="1" ht="127.5" hidden="1">
      <c r="A485" s="52" t="s">
        <v>1870</v>
      </c>
      <c r="B485" s="113" t="s">
        <v>1538</v>
      </c>
      <c r="C485" s="115" t="s">
        <v>2266</v>
      </c>
      <c r="D485" s="113" t="s">
        <v>521</v>
      </c>
      <c r="E485" s="115">
        <v>4600021247</v>
      </c>
      <c r="F485" s="115">
        <v>1101513434</v>
      </c>
      <c r="G485" s="52" t="s">
        <v>1539</v>
      </c>
      <c r="H485" s="52" t="s">
        <v>2169</v>
      </c>
      <c r="I485" s="114">
        <v>88070.399999999994</v>
      </c>
      <c r="J485" s="52" t="s">
        <v>1864</v>
      </c>
      <c r="K485" s="165">
        <v>40149</v>
      </c>
      <c r="L485" s="52" t="s">
        <v>2614</v>
      </c>
      <c r="M485" s="165">
        <v>40157</v>
      </c>
      <c r="N485" s="202">
        <v>40159</v>
      </c>
      <c r="O485" s="32" t="s">
        <v>159</v>
      </c>
      <c r="P485" s="43" t="s">
        <v>506</v>
      </c>
      <c r="Q485" s="93">
        <v>40157</v>
      </c>
    </row>
    <row r="486" spans="1:17" s="31" customFormat="1" ht="127.5" hidden="1">
      <c r="A486" s="52" t="s">
        <v>1870</v>
      </c>
      <c r="B486" s="113" t="s">
        <v>2462</v>
      </c>
      <c r="C486" s="115" t="s">
        <v>2513</v>
      </c>
      <c r="D486" s="113" t="s">
        <v>521</v>
      </c>
      <c r="E486" s="115" t="s">
        <v>2874</v>
      </c>
      <c r="F486" s="115" t="s">
        <v>2875</v>
      </c>
      <c r="G486" s="52">
        <v>563521495</v>
      </c>
      <c r="H486" s="52" t="s">
        <v>1772</v>
      </c>
      <c r="I486" s="114">
        <v>20348.599999999999</v>
      </c>
      <c r="J486" s="52" t="s">
        <v>1864</v>
      </c>
      <c r="K486" s="165">
        <v>40136</v>
      </c>
      <c r="L486" s="52" t="s">
        <v>2920</v>
      </c>
      <c r="M486" s="165">
        <v>40163</v>
      </c>
      <c r="N486" s="199">
        <v>40166</v>
      </c>
      <c r="O486" s="32" t="s">
        <v>1641</v>
      </c>
      <c r="P486" s="41" t="s">
        <v>1080</v>
      </c>
      <c r="Q486" s="93">
        <v>40150</v>
      </c>
    </row>
    <row r="487" spans="1:17" s="31" customFormat="1" ht="76.5" hidden="1">
      <c r="A487" s="52" t="s">
        <v>1870</v>
      </c>
      <c r="B487" s="113" t="s">
        <v>2237</v>
      </c>
      <c r="C487" s="115" t="s">
        <v>2513</v>
      </c>
      <c r="D487" s="113" t="s">
        <v>521</v>
      </c>
      <c r="E487" s="115" t="s">
        <v>2238</v>
      </c>
      <c r="F487" s="115" t="s">
        <v>2239</v>
      </c>
      <c r="G487" s="52" t="s">
        <v>2240</v>
      </c>
      <c r="H487" s="52" t="s">
        <v>2241</v>
      </c>
      <c r="I487" s="114">
        <v>38567.11</v>
      </c>
      <c r="J487" s="52" t="s">
        <v>1864</v>
      </c>
      <c r="K487" s="165">
        <v>40143</v>
      </c>
      <c r="L487" s="52" t="s">
        <v>2920</v>
      </c>
      <c r="M487" s="165">
        <v>40170</v>
      </c>
      <c r="N487" s="199">
        <v>40173</v>
      </c>
      <c r="O487" s="32" t="s">
        <v>426</v>
      </c>
      <c r="P487" s="43" t="s">
        <v>506</v>
      </c>
      <c r="Q487" s="93">
        <v>39817</v>
      </c>
    </row>
    <row r="488" spans="1:17" s="31" customFormat="1" ht="102" hidden="1">
      <c r="A488" s="52" t="s">
        <v>1870</v>
      </c>
      <c r="B488" s="113" t="s">
        <v>2242</v>
      </c>
      <c r="C488" s="115" t="s">
        <v>2513</v>
      </c>
      <c r="D488" s="113" t="s">
        <v>521</v>
      </c>
      <c r="E488" s="115">
        <v>4600020424</v>
      </c>
      <c r="F488" s="115">
        <v>5001433899</v>
      </c>
      <c r="G488" s="52" t="s">
        <v>2243</v>
      </c>
      <c r="H488" s="52" t="s">
        <v>2241</v>
      </c>
      <c r="I488" s="114">
        <v>48329.47</v>
      </c>
      <c r="J488" s="52" t="s">
        <v>1864</v>
      </c>
      <c r="K488" s="165">
        <v>40143</v>
      </c>
      <c r="L488" s="52" t="s">
        <v>2920</v>
      </c>
      <c r="M488" s="165">
        <v>40170</v>
      </c>
      <c r="N488" s="199">
        <v>40173</v>
      </c>
      <c r="O488" s="32" t="s">
        <v>1862</v>
      </c>
      <c r="P488" s="43" t="s">
        <v>506</v>
      </c>
      <c r="Q488" s="93">
        <v>40154</v>
      </c>
    </row>
    <row r="489" spans="1:17" s="31" customFormat="1" ht="127.5" hidden="1">
      <c r="A489" s="52" t="s">
        <v>1870</v>
      </c>
      <c r="B489" s="113" t="s">
        <v>2244</v>
      </c>
      <c r="C489" s="115" t="s">
        <v>2513</v>
      </c>
      <c r="D489" s="113" t="s">
        <v>521</v>
      </c>
      <c r="E489" s="115">
        <v>4600021443</v>
      </c>
      <c r="F489" s="115">
        <v>5001434833</v>
      </c>
      <c r="G489" s="52" t="s">
        <v>2245</v>
      </c>
      <c r="H489" s="52" t="s">
        <v>2241</v>
      </c>
      <c r="I489" s="114">
        <v>32298.6</v>
      </c>
      <c r="J489" s="52" t="s">
        <v>1864</v>
      </c>
      <c r="K489" s="165">
        <v>40143</v>
      </c>
      <c r="L489" s="52" t="s">
        <v>2920</v>
      </c>
      <c r="M489" s="165">
        <v>40170</v>
      </c>
      <c r="N489" s="199">
        <v>40173</v>
      </c>
      <c r="O489" s="32" t="s">
        <v>1811</v>
      </c>
      <c r="P489" s="41" t="s">
        <v>1080</v>
      </c>
      <c r="Q489" s="93">
        <v>40157</v>
      </c>
    </row>
    <row r="490" spans="1:17" s="31" customFormat="1" ht="114.75" hidden="1">
      <c r="A490" s="52" t="s">
        <v>1870</v>
      </c>
      <c r="B490" s="113" t="s">
        <v>2246</v>
      </c>
      <c r="C490" s="115" t="s">
        <v>2513</v>
      </c>
      <c r="D490" s="113" t="s">
        <v>521</v>
      </c>
      <c r="E490" s="115">
        <v>4600021442</v>
      </c>
      <c r="F490" s="115">
        <v>5001434832</v>
      </c>
      <c r="G490" s="52" t="s">
        <v>2247</v>
      </c>
      <c r="H490" s="52" t="s">
        <v>2241</v>
      </c>
      <c r="I490" s="114">
        <v>32298.6</v>
      </c>
      <c r="J490" s="52" t="s">
        <v>1864</v>
      </c>
      <c r="K490" s="165">
        <v>40143</v>
      </c>
      <c r="L490" s="52" t="s">
        <v>2920</v>
      </c>
      <c r="M490" s="165">
        <v>40170</v>
      </c>
      <c r="N490" s="199">
        <v>40173</v>
      </c>
      <c r="O490" s="32" t="s">
        <v>2866</v>
      </c>
      <c r="P490" s="41" t="s">
        <v>1080</v>
      </c>
      <c r="Q490" s="93">
        <v>40157</v>
      </c>
    </row>
    <row r="491" spans="1:17" s="31" customFormat="1" ht="204" hidden="1">
      <c r="A491" s="52" t="s">
        <v>1870</v>
      </c>
      <c r="B491" s="113" t="s">
        <v>2248</v>
      </c>
      <c r="C491" s="115" t="s">
        <v>2513</v>
      </c>
      <c r="D491" s="113" t="s">
        <v>521</v>
      </c>
      <c r="E491" s="115" t="s">
        <v>2249</v>
      </c>
      <c r="F491" s="115">
        <v>5001434720</v>
      </c>
      <c r="G491" s="52" t="s">
        <v>2250</v>
      </c>
      <c r="H491" s="52" t="s">
        <v>2241</v>
      </c>
      <c r="I491" s="114">
        <v>115882.69</v>
      </c>
      <c r="J491" s="52" t="s">
        <v>1864</v>
      </c>
      <c r="K491" s="165">
        <v>40143</v>
      </c>
      <c r="L491" s="52" t="s">
        <v>2920</v>
      </c>
      <c r="M491" s="165">
        <v>40170</v>
      </c>
      <c r="N491" s="199">
        <v>40173</v>
      </c>
      <c r="O491" s="32" t="s">
        <v>1152</v>
      </c>
      <c r="P491" s="43" t="s">
        <v>506</v>
      </c>
      <c r="Q491" s="93">
        <v>40150</v>
      </c>
    </row>
    <row r="492" spans="1:17" s="31" customFormat="1" ht="102" hidden="1">
      <c r="A492" s="52" t="s">
        <v>1870</v>
      </c>
      <c r="B492" s="113" t="s">
        <v>740</v>
      </c>
      <c r="C492" s="115" t="s">
        <v>2513</v>
      </c>
      <c r="D492" s="113" t="s">
        <v>521</v>
      </c>
      <c r="E492" s="115" t="s">
        <v>741</v>
      </c>
      <c r="F492" s="115" t="s">
        <v>273</v>
      </c>
      <c r="G492" s="52" t="s">
        <v>274</v>
      </c>
      <c r="H492" s="52" t="s">
        <v>2169</v>
      </c>
      <c r="I492" s="114">
        <v>57103.6</v>
      </c>
      <c r="J492" s="52" t="s">
        <v>1864</v>
      </c>
      <c r="K492" s="165">
        <v>40149</v>
      </c>
      <c r="L492" s="52" t="s">
        <v>2920</v>
      </c>
      <c r="M492" s="165">
        <v>40175</v>
      </c>
      <c r="N492" s="205">
        <v>40180</v>
      </c>
      <c r="O492" s="32" t="s">
        <v>2915</v>
      </c>
      <c r="P492" s="43" t="s">
        <v>506</v>
      </c>
      <c r="Q492" s="93">
        <v>40155</v>
      </c>
    </row>
    <row r="493" spans="1:17" s="31" customFormat="1" ht="89.25" hidden="1">
      <c r="A493" s="52" t="s">
        <v>1870</v>
      </c>
      <c r="B493" s="113" t="s">
        <v>281</v>
      </c>
      <c r="C493" s="115" t="s">
        <v>2513</v>
      </c>
      <c r="D493" s="113" t="s">
        <v>521</v>
      </c>
      <c r="E493" s="115">
        <v>4600021660</v>
      </c>
      <c r="F493" s="115">
        <v>5001444645</v>
      </c>
      <c r="G493" s="52" t="s">
        <v>282</v>
      </c>
      <c r="H493" s="52" t="s">
        <v>2169</v>
      </c>
      <c r="I493" s="114">
        <v>146426.16</v>
      </c>
      <c r="J493" s="52" t="s">
        <v>1864</v>
      </c>
      <c r="K493" s="165">
        <v>40149</v>
      </c>
      <c r="L493" s="52" t="s">
        <v>2920</v>
      </c>
      <c r="M493" s="165">
        <v>40175</v>
      </c>
      <c r="N493" s="205">
        <v>40180</v>
      </c>
      <c r="O493" s="32" t="s">
        <v>1791</v>
      </c>
      <c r="P493" s="43" t="s">
        <v>506</v>
      </c>
      <c r="Q493" s="93">
        <v>40156</v>
      </c>
    </row>
    <row r="494" spans="1:17" s="31" customFormat="1" ht="306" hidden="1">
      <c r="A494" s="52" t="s">
        <v>1870</v>
      </c>
      <c r="B494" s="113" t="s">
        <v>2187</v>
      </c>
      <c r="C494" s="115" t="s">
        <v>704</v>
      </c>
      <c r="D494" s="113" t="s">
        <v>1750</v>
      </c>
      <c r="E494" s="115">
        <v>4600020315</v>
      </c>
      <c r="F494" s="115" t="s">
        <v>2188</v>
      </c>
      <c r="G494" s="52" t="s">
        <v>2727</v>
      </c>
      <c r="H494" s="52" t="s">
        <v>2728</v>
      </c>
      <c r="I494" s="114">
        <v>26100</v>
      </c>
      <c r="J494" s="100" t="s">
        <v>1073</v>
      </c>
      <c r="K494" s="165">
        <v>40165</v>
      </c>
      <c r="L494" s="52"/>
      <c r="M494" s="52"/>
      <c r="N494" s="197" t="s">
        <v>2613</v>
      </c>
      <c r="O494" s="32" t="s">
        <v>2692</v>
      </c>
      <c r="P494" s="41" t="s">
        <v>1080</v>
      </c>
      <c r="Q494" s="93">
        <v>40183</v>
      </c>
    </row>
    <row r="495" spans="1:17" s="31" customFormat="1" ht="229.5" hidden="1">
      <c r="A495" s="52" t="s">
        <v>1870</v>
      </c>
      <c r="B495" s="113" t="s">
        <v>26</v>
      </c>
      <c r="C495" s="115" t="s">
        <v>2513</v>
      </c>
      <c r="D495" s="113" t="s">
        <v>521</v>
      </c>
      <c r="E495" s="115">
        <v>4600020049</v>
      </c>
      <c r="F495" s="115" t="s">
        <v>2211</v>
      </c>
      <c r="G495" s="52">
        <v>614608723</v>
      </c>
      <c r="H495" s="52" t="s">
        <v>2729</v>
      </c>
      <c r="I495" s="114">
        <v>15510</v>
      </c>
      <c r="J495" s="52" t="s">
        <v>1864</v>
      </c>
      <c r="K495" s="165">
        <v>40155</v>
      </c>
      <c r="L495" s="52"/>
      <c r="M495" s="52"/>
      <c r="N495" s="197" t="s">
        <v>2613</v>
      </c>
      <c r="O495" s="32" t="s">
        <v>701</v>
      </c>
      <c r="P495" s="43" t="s">
        <v>506</v>
      </c>
      <c r="Q495" s="93">
        <v>40162</v>
      </c>
    </row>
    <row r="496" spans="1:17" s="31" customFormat="1" ht="76.5" hidden="1">
      <c r="A496" s="52" t="s">
        <v>1870</v>
      </c>
      <c r="B496" s="113" t="s">
        <v>646</v>
      </c>
      <c r="C496" s="115" t="s">
        <v>2513</v>
      </c>
      <c r="D496" s="113" t="s">
        <v>521</v>
      </c>
      <c r="E496" s="115">
        <v>4600020047</v>
      </c>
      <c r="F496" s="115">
        <v>5001403694</v>
      </c>
      <c r="G496" s="52" t="s">
        <v>647</v>
      </c>
      <c r="H496" s="52" t="s">
        <v>1024</v>
      </c>
      <c r="I496" s="114">
        <v>48349.47</v>
      </c>
      <c r="J496" s="52" t="s">
        <v>1206</v>
      </c>
      <c r="K496" s="165">
        <v>40115</v>
      </c>
      <c r="L496" s="52"/>
      <c r="M496" s="52"/>
      <c r="N496" s="197" t="s">
        <v>457</v>
      </c>
      <c r="O496" s="32" t="s">
        <v>2172</v>
      </c>
      <c r="P496" s="43" t="s">
        <v>506</v>
      </c>
      <c r="Q496" s="93">
        <v>40176</v>
      </c>
    </row>
    <row r="497" spans="1:17" s="31" customFormat="1" ht="102" hidden="1">
      <c r="A497" s="52" t="s">
        <v>1870</v>
      </c>
      <c r="B497" s="113" t="s">
        <v>921</v>
      </c>
      <c r="C497" s="115" t="s">
        <v>2513</v>
      </c>
      <c r="D497" s="113" t="s">
        <v>521</v>
      </c>
      <c r="E497" s="115">
        <v>4600020499</v>
      </c>
      <c r="F497" s="115">
        <v>5001399148</v>
      </c>
      <c r="G497" s="52" t="s">
        <v>1829</v>
      </c>
      <c r="H497" s="52" t="s">
        <v>1024</v>
      </c>
      <c r="I497" s="114">
        <v>41045.760000000002</v>
      </c>
      <c r="J497" s="52" t="s">
        <v>1206</v>
      </c>
      <c r="K497" s="165">
        <v>40115</v>
      </c>
      <c r="L497" s="52"/>
      <c r="M497" s="52"/>
      <c r="N497" s="197" t="s">
        <v>457</v>
      </c>
      <c r="O497" s="32" t="s">
        <v>850</v>
      </c>
      <c r="P497" s="43" t="s">
        <v>506</v>
      </c>
      <c r="Q497" s="93">
        <v>40165</v>
      </c>
    </row>
    <row r="498" spans="1:17" s="31" customFormat="1" ht="191.25" hidden="1">
      <c r="A498" s="52" t="s">
        <v>1870</v>
      </c>
      <c r="B498" s="113" t="s">
        <v>1575</v>
      </c>
      <c r="C498" s="115" t="s">
        <v>704</v>
      </c>
      <c r="D498" s="113" t="s">
        <v>1750</v>
      </c>
      <c r="E498" s="115">
        <v>4600021755</v>
      </c>
      <c r="F498" s="115" t="s">
        <v>1576</v>
      </c>
      <c r="G498" s="52" t="s">
        <v>415</v>
      </c>
      <c r="H498" s="52" t="s">
        <v>2729</v>
      </c>
      <c r="I498" s="114">
        <v>7830</v>
      </c>
      <c r="J498" s="52" t="s">
        <v>1864</v>
      </c>
      <c r="K498" s="165">
        <v>40155</v>
      </c>
      <c r="L498" s="52"/>
      <c r="M498" s="52"/>
      <c r="N498" s="195" t="s">
        <v>2613</v>
      </c>
      <c r="O498" s="32" t="s">
        <v>687</v>
      </c>
      <c r="P498" s="41" t="s">
        <v>1080</v>
      </c>
      <c r="Q498" s="93">
        <v>40165</v>
      </c>
    </row>
    <row r="499" spans="1:17" s="31" customFormat="1" ht="178.5" hidden="1">
      <c r="A499" s="52" t="s">
        <v>1870</v>
      </c>
      <c r="B499" s="113" t="s">
        <v>1628</v>
      </c>
      <c r="C499" s="115" t="s">
        <v>296</v>
      </c>
      <c r="D499" s="113" t="s">
        <v>775</v>
      </c>
      <c r="E499" s="115">
        <v>4600020452</v>
      </c>
      <c r="F499" s="115" t="s">
        <v>1629</v>
      </c>
      <c r="G499" s="52">
        <v>614608805</v>
      </c>
      <c r="H499" s="52" t="s">
        <v>2729</v>
      </c>
      <c r="I499" s="114">
        <v>3139.17</v>
      </c>
      <c r="J499" s="52" t="s">
        <v>1864</v>
      </c>
      <c r="K499" s="165">
        <v>40155</v>
      </c>
      <c r="L499" s="52"/>
      <c r="M499" s="52"/>
      <c r="N499" s="197" t="s">
        <v>2613</v>
      </c>
      <c r="O499" s="32" t="s">
        <v>191</v>
      </c>
      <c r="P499" s="43" t="s">
        <v>506</v>
      </c>
      <c r="Q499" s="93">
        <v>40162</v>
      </c>
    </row>
    <row r="500" spans="1:17" s="31" customFormat="1" ht="165.75" hidden="1">
      <c r="A500" s="52" t="s">
        <v>1870</v>
      </c>
      <c r="B500" s="113" t="s">
        <v>2544</v>
      </c>
      <c r="C500" s="115" t="s">
        <v>704</v>
      </c>
      <c r="D500" s="113" t="s">
        <v>1750</v>
      </c>
      <c r="E500" s="115">
        <v>4600022066</v>
      </c>
      <c r="F500" s="115" t="s">
        <v>2097</v>
      </c>
      <c r="G500" s="52" t="s">
        <v>2350</v>
      </c>
      <c r="H500" s="52" t="s">
        <v>1072</v>
      </c>
      <c r="I500" s="114">
        <v>10875</v>
      </c>
      <c r="J500" s="52" t="s">
        <v>1864</v>
      </c>
      <c r="K500" s="165">
        <v>40165</v>
      </c>
      <c r="L500" s="52"/>
      <c r="M500" s="52"/>
      <c r="N500" s="197" t="s">
        <v>2613</v>
      </c>
      <c r="O500" s="32" t="s">
        <v>1181</v>
      </c>
      <c r="P500" s="41" t="s">
        <v>1080</v>
      </c>
      <c r="Q500" s="93">
        <v>40183</v>
      </c>
    </row>
    <row r="501" spans="1:17" s="31" customFormat="1" ht="255" hidden="1">
      <c r="A501" s="52" t="s">
        <v>1870</v>
      </c>
      <c r="B501" s="113" t="s">
        <v>1119</v>
      </c>
      <c r="C501" s="115" t="s">
        <v>1120</v>
      </c>
      <c r="D501" s="113" t="s">
        <v>521</v>
      </c>
      <c r="E501" s="115">
        <v>4600021821</v>
      </c>
      <c r="F501" s="115">
        <v>91106008</v>
      </c>
      <c r="G501" s="52">
        <v>614608828</v>
      </c>
      <c r="H501" s="52" t="s">
        <v>1121</v>
      </c>
      <c r="I501" s="114">
        <v>1700</v>
      </c>
      <c r="J501" s="52" t="s">
        <v>1864</v>
      </c>
      <c r="K501" s="165">
        <v>40164</v>
      </c>
      <c r="L501" s="52"/>
      <c r="M501" s="52"/>
      <c r="N501" s="195" t="s">
        <v>2613</v>
      </c>
      <c r="O501" s="32" t="s">
        <v>918</v>
      </c>
      <c r="P501" s="43" t="s">
        <v>506</v>
      </c>
      <c r="Q501" s="93">
        <v>40177</v>
      </c>
    </row>
    <row r="502" spans="1:17" s="31" customFormat="1" ht="165.75" hidden="1">
      <c r="A502" s="52" t="s">
        <v>1870</v>
      </c>
      <c r="B502" s="113" t="s">
        <v>2167</v>
      </c>
      <c r="C502" s="115" t="s">
        <v>2266</v>
      </c>
      <c r="D502" s="113" t="s">
        <v>521</v>
      </c>
      <c r="E502" s="115">
        <v>4600020639</v>
      </c>
      <c r="F502" s="115">
        <v>1101505637</v>
      </c>
      <c r="G502" s="52" t="s">
        <v>2168</v>
      </c>
      <c r="H502" s="52" t="s">
        <v>2169</v>
      </c>
      <c r="I502" s="114">
        <v>62455.68</v>
      </c>
      <c r="J502" s="52" t="s">
        <v>1864</v>
      </c>
      <c r="K502" s="165">
        <v>40149</v>
      </c>
      <c r="L502" s="52"/>
      <c r="M502" s="52"/>
      <c r="N502" s="195" t="s">
        <v>2613</v>
      </c>
      <c r="O502" s="32" t="s">
        <v>1921</v>
      </c>
      <c r="P502" s="43" t="s">
        <v>506</v>
      </c>
      <c r="Q502" s="93">
        <v>40159</v>
      </c>
    </row>
    <row r="503" spans="1:17" s="31" customFormat="1" ht="331.5" hidden="1">
      <c r="A503" s="52" t="s">
        <v>1870</v>
      </c>
      <c r="B503" s="113" t="s">
        <v>2579</v>
      </c>
      <c r="C503" s="115" t="s">
        <v>1793</v>
      </c>
      <c r="D503" s="113" t="s">
        <v>1197</v>
      </c>
      <c r="E503" s="115">
        <v>4600020462</v>
      </c>
      <c r="F503" s="115" t="s">
        <v>2580</v>
      </c>
      <c r="G503" s="52">
        <v>6394435762</v>
      </c>
      <c r="H503" s="52" t="s">
        <v>1121</v>
      </c>
      <c r="I503" s="114">
        <v>165288.04</v>
      </c>
      <c r="J503" s="52" t="s">
        <v>1864</v>
      </c>
      <c r="K503" s="165">
        <v>40164</v>
      </c>
      <c r="L503" s="52" t="s">
        <v>2920</v>
      </c>
      <c r="M503" s="206">
        <v>40191</v>
      </c>
      <c r="N503" s="205">
        <v>40195</v>
      </c>
      <c r="O503" s="32" t="s">
        <v>2667</v>
      </c>
      <c r="P503" s="40" t="s">
        <v>980</v>
      </c>
      <c r="Q503" s="93">
        <v>40182</v>
      </c>
    </row>
    <row r="504" spans="1:17" s="31" customFormat="1" ht="89.25" hidden="1">
      <c r="A504" s="52" t="s">
        <v>1870</v>
      </c>
      <c r="B504" s="113" t="s">
        <v>2292</v>
      </c>
      <c r="C504" s="115" t="s">
        <v>2266</v>
      </c>
      <c r="D504" s="113" t="s">
        <v>1750</v>
      </c>
      <c r="E504" s="115">
        <v>4600022086</v>
      </c>
      <c r="F504" s="115" t="s">
        <v>2293</v>
      </c>
      <c r="G504" s="52" t="s">
        <v>2294</v>
      </c>
      <c r="H504" s="52" t="s">
        <v>620</v>
      </c>
      <c r="I504" s="114">
        <v>64198.400000000001</v>
      </c>
      <c r="J504" s="52" t="s">
        <v>1864</v>
      </c>
      <c r="K504" s="165">
        <v>40171</v>
      </c>
      <c r="L504" s="52" t="s">
        <v>2614</v>
      </c>
      <c r="M504" s="165">
        <v>40542</v>
      </c>
      <c r="N504" s="199">
        <v>40180</v>
      </c>
      <c r="O504" s="32" t="s">
        <v>556</v>
      </c>
      <c r="P504" s="43" t="s">
        <v>506</v>
      </c>
      <c r="Q504" s="93">
        <v>40182</v>
      </c>
    </row>
    <row r="505" spans="1:17" s="31" customFormat="1" ht="127.5" hidden="1">
      <c r="A505" s="52" t="s">
        <v>1870</v>
      </c>
      <c r="B505" s="113" t="s">
        <v>275</v>
      </c>
      <c r="C505" s="115" t="s">
        <v>2513</v>
      </c>
      <c r="D505" s="113" t="s">
        <v>521</v>
      </c>
      <c r="E505" s="115">
        <v>4600021597</v>
      </c>
      <c r="F505" s="115">
        <v>5001443037</v>
      </c>
      <c r="G505" s="52" t="s">
        <v>276</v>
      </c>
      <c r="H505" s="52" t="s">
        <v>2169</v>
      </c>
      <c r="I505" s="114">
        <v>32298.6</v>
      </c>
      <c r="J505" s="52" t="s">
        <v>1864</v>
      </c>
      <c r="K505" s="165">
        <v>40149</v>
      </c>
      <c r="L505" s="52" t="s">
        <v>2920</v>
      </c>
      <c r="M505" s="165">
        <v>40175</v>
      </c>
      <c r="N505" s="205">
        <v>40180</v>
      </c>
      <c r="O505" s="32" t="s">
        <v>2511</v>
      </c>
      <c r="P505" s="41" t="s">
        <v>1080</v>
      </c>
      <c r="Q505" s="93">
        <v>40162</v>
      </c>
    </row>
    <row r="506" spans="1:17" s="31" customFormat="1" ht="216.75" hidden="1">
      <c r="A506" s="52" t="s">
        <v>1870</v>
      </c>
      <c r="B506" s="113" t="s">
        <v>277</v>
      </c>
      <c r="C506" s="115" t="s">
        <v>2513</v>
      </c>
      <c r="D506" s="113" t="s">
        <v>521</v>
      </c>
      <c r="E506" s="115">
        <v>4600021598</v>
      </c>
      <c r="F506" s="115">
        <v>5001443038</v>
      </c>
      <c r="G506" s="52" t="s">
        <v>278</v>
      </c>
      <c r="H506" s="52" t="s">
        <v>2169</v>
      </c>
      <c r="I506" s="114">
        <v>32298.6</v>
      </c>
      <c r="J506" s="52" t="s">
        <v>1864</v>
      </c>
      <c r="K506" s="165">
        <v>40149</v>
      </c>
      <c r="L506" s="52" t="s">
        <v>2920</v>
      </c>
      <c r="M506" s="165">
        <v>40175</v>
      </c>
      <c r="N506" s="205">
        <v>40180</v>
      </c>
      <c r="O506" s="32" t="s">
        <v>155</v>
      </c>
      <c r="P506" s="41" t="s">
        <v>1080</v>
      </c>
      <c r="Q506" s="93">
        <v>40165</v>
      </c>
    </row>
    <row r="507" spans="1:17" s="31" customFormat="1" ht="114.75" hidden="1">
      <c r="A507" s="52" t="s">
        <v>1870</v>
      </c>
      <c r="B507" s="113" t="s">
        <v>279</v>
      </c>
      <c r="C507" s="115" t="s">
        <v>2513</v>
      </c>
      <c r="D507" s="113" t="s">
        <v>521</v>
      </c>
      <c r="E507" s="115">
        <v>4600021661</v>
      </c>
      <c r="F507" s="115">
        <v>5001443316</v>
      </c>
      <c r="G507" s="52" t="s">
        <v>280</v>
      </c>
      <c r="H507" s="52" t="s">
        <v>2169</v>
      </c>
      <c r="I507" s="114">
        <v>11700</v>
      </c>
      <c r="J507" s="52" t="s">
        <v>1206</v>
      </c>
      <c r="K507" s="165">
        <v>40149</v>
      </c>
      <c r="L507" s="52"/>
      <c r="M507" s="52"/>
      <c r="N507" s="197" t="s">
        <v>457</v>
      </c>
      <c r="O507" s="125" t="s">
        <v>2209</v>
      </c>
      <c r="P507" s="43" t="s">
        <v>506</v>
      </c>
      <c r="Q507" s="93">
        <v>40176</v>
      </c>
    </row>
    <row r="508" spans="1:17" s="31" customFormat="1" ht="127.5" hidden="1">
      <c r="A508" s="52" t="s">
        <v>1870</v>
      </c>
      <c r="B508" s="113" t="s">
        <v>493</v>
      </c>
      <c r="C508" s="115" t="s">
        <v>2513</v>
      </c>
      <c r="D508" s="113" t="s">
        <v>521</v>
      </c>
      <c r="E508" s="115">
        <v>4600021871</v>
      </c>
      <c r="F508" s="115">
        <v>5001451267</v>
      </c>
      <c r="G508" s="52" t="s">
        <v>494</v>
      </c>
      <c r="H508" s="52" t="s">
        <v>2223</v>
      </c>
      <c r="I508" s="114">
        <v>32298.6</v>
      </c>
      <c r="J508" s="52" t="s">
        <v>1864</v>
      </c>
      <c r="K508" s="165">
        <v>40157</v>
      </c>
      <c r="L508" s="52" t="s">
        <v>2920</v>
      </c>
      <c r="M508" s="206">
        <v>40184</v>
      </c>
      <c r="N508" s="205">
        <v>40188</v>
      </c>
      <c r="O508" s="32" t="s">
        <v>1925</v>
      </c>
      <c r="P508" s="41" t="s">
        <v>1080</v>
      </c>
      <c r="Q508" s="93">
        <v>40165</v>
      </c>
    </row>
    <row r="509" spans="1:17" s="31" customFormat="1" ht="127.5" hidden="1">
      <c r="A509" s="52" t="s">
        <v>1870</v>
      </c>
      <c r="B509" s="113" t="s">
        <v>495</v>
      </c>
      <c r="C509" s="115" t="s">
        <v>2513</v>
      </c>
      <c r="D509" s="113" t="s">
        <v>521</v>
      </c>
      <c r="E509" s="115">
        <v>4600021596</v>
      </c>
      <c r="F509" s="115">
        <v>5001451266</v>
      </c>
      <c r="G509" s="52" t="s">
        <v>496</v>
      </c>
      <c r="H509" s="52" t="s">
        <v>2223</v>
      </c>
      <c r="I509" s="114">
        <v>32298.6</v>
      </c>
      <c r="J509" s="52" t="s">
        <v>1864</v>
      </c>
      <c r="K509" s="165">
        <v>40157</v>
      </c>
      <c r="L509" s="52" t="s">
        <v>2920</v>
      </c>
      <c r="M509" s="206">
        <v>40184</v>
      </c>
      <c r="N509" s="205">
        <v>40188</v>
      </c>
      <c r="O509" s="32" t="s">
        <v>1165</v>
      </c>
      <c r="P509" s="41" t="s">
        <v>1080</v>
      </c>
      <c r="Q509" s="93">
        <v>40165</v>
      </c>
    </row>
    <row r="510" spans="1:17" s="31" customFormat="1" ht="76.5" hidden="1">
      <c r="A510" s="52" t="s">
        <v>1870</v>
      </c>
      <c r="B510" s="113" t="s">
        <v>497</v>
      </c>
      <c r="C510" s="115" t="s">
        <v>2513</v>
      </c>
      <c r="D510" s="113" t="s">
        <v>521</v>
      </c>
      <c r="E510" s="115" t="s">
        <v>498</v>
      </c>
      <c r="F510" s="115" t="s">
        <v>499</v>
      </c>
      <c r="G510" s="52" t="s">
        <v>1294</v>
      </c>
      <c r="H510" s="52" t="s">
        <v>2223</v>
      </c>
      <c r="I510" s="114">
        <v>69974.559999999998</v>
      </c>
      <c r="J510" s="52" t="s">
        <v>1864</v>
      </c>
      <c r="K510" s="165">
        <v>40157</v>
      </c>
      <c r="L510" s="52" t="s">
        <v>2920</v>
      </c>
      <c r="M510" s="206">
        <v>40184</v>
      </c>
      <c r="N510" s="205">
        <v>40188</v>
      </c>
      <c r="O510" s="32" t="s">
        <v>2295</v>
      </c>
      <c r="P510" s="43" t="s">
        <v>506</v>
      </c>
      <c r="Q510" s="93">
        <v>40163</v>
      </c>
    </row>
    <row r="511" spans="1:17" s="31" customFormat="1" ht="102" hidden="1">
      <c r="A511" s="52" t="s">
        <v>1870</v>
      </c>
      <c r="B511" s="113" t="s">
        <v>2099</v>
      </c>
      <c r="C511" s="115" t="s">
        <v>2513</v>
      </c>
      <c r="D511" s="113" t="s">
        <v>521</v>
      </c>
      <c r="E511" s="115" t="s">
        <v>2602</v>
      </c>
      <c r="F511" s="115">
        <v>5001465127</v>
      </c>
      <c r="G511" s="52" t="s">
        <v>2603</v>
      </c>
      <c r="H511" s="52" t="s">
        <v>620</v>
      </c>
      <c r="I511" s="114">
        <v>145080.32999999999</v>
      </c>
      <c r="J511" s="52" t="s">
        <v>1864</v>
      </c>
      <c r="K511" s="165">
        <v>40171</v>
      </c>
      <c r="L511" s="52" t="s">
        <v>2920</v>
      </c>
      <c r="M511" s="165">
        <v>40198</v>
      </c>
      <c r="N511" s="199">
        <v>40202</v>
      </c>
      <c r="O511" s="201" t="s">
        <v>1818</v>
      </c>
      <c r="P511" s="43" t="s">
        <v>506</v>
      </c>
      <c r="Q511" s="93">
        <v>40182</v>
      </c>
    </row>
    <row r="512" spans="1:17" s="31" customFormat="1" ht="114.75" hidden="1">
      <c r="A512" s="52" t="s">
        <v>1870</v>
      </c>
      <c r="B512" s="113" t="s">
        <v>2604</v>
      </c>
      <c r="C512" s="115" t="s">
        <v>2513</v>
      </c>
      <c r="D512" s="113" t="s">
        <v>521</v>
      </c>
      <c r="E512" s="115">
        <v>4600022297</v>
      </c>
      <c r="F512" s="115">
        <v>5001466285</v>
      </c>
      <c r="G512" s="52" t="s">
        <v>2605</v>
      </c>
      <c r="H512" s="52" t="s">
        <v>620</v>
      </c>
      <c r="I512" s="114">
        <v>32298.6</v>
      </c>
      <c r="J512" s="52" t="s">
        <v>1864</v>
      </c>
      <c r="K512" s="165">
        <v>40171</v>
      </c>
      <c r="L512" s="52" t="s">
        <v>2920</v>
      </c>
      <c r="M512" s="206">
        <v>40198</v>
      </c>
      <c r="N512" s="205">
        <v>40202</v>
      </c>
      <c r="O512" s="32" t="s">
        <v>731</v>
      </c>
      <c r="P512" s="41" t="s">
        <v>1080</v>
      </c>
      <c r="Q512" s="93">
        <v>40183</v>
      </c>
    </row>
    <row r="513" spans="1:17" s="31" customFormat="1" ht="63.75" hidden="1">
      <c r="A513" s="52" t="s">
        <v>1870</v>
      </c>
      <c r="B513" s="113" t="s">
        <v>2608</v>
      </c>
      <c r="C513" s="115" t="s">
        <v>2513</v>
      </c>
      <c r="D513" s="113" t="s">
        <v>521</v>
      </c>
      <c r="E513" s="115" t="s">
        <v>2609</v>
      </c>
      <c r="F513" s="115" t="s">
        <v>2610</v>
      </c>
      <c r="G513" s="52" t="s">
        <v>2611</v>
      </c>
      <c r="H513" s="52" t="s">
        <v>620</v>
      </c>
      <c r="I513" s="114">
        <v>67539.14</v>
      </c>
      <c r="J513" s="52" t="s">
        <v>1864</v>
      </c>
      <c r="K513" s="165">
        <v>40171</v>
      </c>
      <c r="L513" s="52" t="s">
        <v>2920</v>
      </c>
      <c r="M513" s="165">
        <v>40198</v>
      </c>
      <c r="N513" s="199">
        <v>40202</v>
      </c>
      <c r="O513" s="32" t="s">
        <v>1473</v>
      </c>
      <c r="P513" s="43" t="s">
        <v>506</v>
      </c>
      <c r="Q513" s="93">
        <v>40182</v>
      </c>
    </row>
    <row r="514" spans="1:17" s="31" customFormat="1" ht="204" hidden="1">
      <c r="A514" s="52" t="s">
        <v>1870</v>
      </c>
      <c r="B514" s="113" t="s">
        <v>2567</v>
      </c>
      <c r="C514" s="115" t="s">
        <v>1863</v>
      </c>
      <c r="D514" s="113" t="s">
        <v>521</v>
      </c>
      <c r="E514" s="115">
        <v>4600019963</v>
      </c>
      <c r="F514" s="115" t="s">
        <v>2568</v>
      </c>
      <c r="G514" s="52" t="s">
        <v>2394</v>
      </c>
      <c r="H514" s="52" t="s">
        <v>2571</v>
      </c>
      <c r="I514" s="114">
        <v>92425.16</v>
      </c>
      <c r="J514" s="52" t="s">
        <v>1864</v>
      </c>
      <c r="K514" s="165">
        <v>40182</v>
      </c>
      <c r="L514" s="52" t="s">
        <v>2583</v>
      </c>
      <c r="M514" s="165">
        <v>40184</v>
      </c>
      <c r="N514" s="199">
        <v>40186</v>
      </c>
      <c r="O514" s="32" t="s">
        <v>1950</v>
      </c>
      <c r="P514" s="41" t="s">
        <v>1080</v>
      </c>
      <c r="Q514" s="93">
        <v>40190</v>
      </c>
    </row>
    <row r="515" spans="1:17" s="31" customFormat="1" ht="114.75" hidden="1">
      <c r="A515" s="52" t="s">
        <v>1870</v>
      </c>
      <c r="B515" s="113" t="s">
        <v>69</v>
      </c>
      <c r="C515" s="115" t="s">
        <v>2125</v>
      </c>
      <c r="D515" s="113" t="s">
        <v>1750</v>
      </c>
      <c r="E515" s="115" t="s">
        <v>1540</v>
      </c>
      <c r="F515" s="115" t="s">
        <v>1541</v>
      </c>
      <c r="G515" s="52" t="s">
        <v>1821</v>
      </c>
      <c r="H515" s="52" t="s">
        <v>1072</v>
      </c>
      <c r="I515" s="114">
        <v>8682.8799999999992</v>
      </c>
      <c r="J515" s="52" t="s">
        <v>1864</v>
      </c>
      <c r="K515" s="165">
        <v>40165</v>
      </c>
      <c r="L515" s="52"/>
      <c r="M515" s="52"/>
      <c r="N515" s="197" t="s">
        <v>2613</v>
      </c>
      <c r="O515" s="32" t="s">
        <v>2936</v>
      </c>
      <c r="P515" s="43" t="s">
        <v>506</v>
      </c>
      <c r="Q515" s="93">
        <v>40184</v>
      </c>
    </row>
    <row r="516" spans="1:17" s="31" customFormat="1" ht="229.5" hidden="1">
      <c r="A516" s="52" t="s">
        <v>1870</v>
      </c>
      <c r="B516" s="113" t="s">
        <v>2287</v>
      </c>
      <c r="C516" s="115" t="s">
        <v>704</v>
      </c>
      <c r="D516" s="113" t="s">
        <v>1750</v>
      </c>
      <c r="E516" s="115">
        <v>4600022741</v>
      </c>
      <c r="F516" s="115" t="s">
        <v>2288</v>
      </c>
      <c r="G516" s="52" t="s">
        <v>94</v>
      </c>
      <c r="H516" s="52" t="s">
        <v>2571</v>
      </c>
      <c r="I516" s="114">
        <v>10875</v>
      </c>
      <c r="J516" s="52" t="s">
        <v>1864</v>
      </c>
      <c r="K516" s="165">
        <v>40182</v>
      </c>
      <c r="L516" s="52"/>
      <c r="M516" s="52"/>
      <c r="N516" s="197" t="s">
        <v>2613</v>
      </c>
      <c r="O516" s="32" t="s">
        <v>2560</v>
      </c>
      <c r="P516" s="41" t="s">
        <v>1080</v>
      </c>
      <c r="Q516" s="93">
        <v>40197</v>
      </c>
    </row>
    <row r="517" spans="1:17" s="31" customFormat="1" ht="408" hidden="1">
      <c r="A517" s="52" t="s">
        <v>1870</v>
      </c>
      <c r="B517" s="113" t="s">
        <v>1034</v>
      </c>
      <c r="C517" s="115" t="s">
        <v>2266</v>
      </c>
      <c r="D517" s="113" t="s">
        <v>521</v>
      </c>
      <c r="E517" s="115">
        <v>4600021245</v>
      </c>
      <c r="F517" s="115">
        <v>4300293054</v>
      </c>
      <c r="G517" s="52" t="s">
        <v>1035</v>
      </c>
      <c r="H517" s="52" t="s">
        <v>2223</v>
      </c>
      <c r="I517" s="114">
        <v>54645.97</v>
      </c>
      <c r="J517" s="52" t="s">
        <v>1864</v>
      </c>
      <c r="K517" s="165">
        <v>40157</v>
      </c>
      <c r="L517" s="52" t="s">
        <v>2614</v>
      </c>
      <c r="M517" s="165">
        <v>40164</v>
      </c>
      <c r="N517" s="199">
        <v>40167</v>
      </c>
      <c r="O517" s="32" t="s">
        <v>2844</v>
      </c>
      <c r="P517" s="41" t="s">
        <v>1080</v>
      </c>
      <c r="Q517" s="93">
        <v>40190</v>
      </c>
    </row>
    <row r="518" spans="1:17" s="31" customFormat="1" ht="331.5" hidden="1">
      <c r="A518" s="52" t="s">
        <v>1870</v>
      </c>
      <c r="B518" s="113" t="s">
        <v>1036</v>
      </c>
      <c r="C518" s="115" t="s">
        <v>2266</v>
      </c>
      <c r="D518" s="113" t="s">
        <v>521</v>
      </c>
      <c r="E518" s="115">
        <v>4600022056</v>
      </c>
      <c r="F518" s="115">
        <v>4300297214</v>
      </c>
      <c r="G518" s="52" t="s">
        <v>1037</v>
      </c>
      <c r="H518" s="52" t="s">
        <v>1038</v>
      </c>
      <c r="I518" s="114">
        <v>54645.97</v>
      </c>
      <c r="J518" s="52" t="s">
        <v>1864</v>
      </c>
      <c r="K518" s="165">
        <v>40173</v>
      </c>
      <c r="L518" s="52" t="s">
        <v>2614</v>
      </c>
      <c r="M518" s="165">
        <v>40177</v>
      </c>
      <c r="N518" s="205">
        <v>40182</v>
      </c>
      <c r="O518" s="32" t="s">
        <v>1959</v>
      </c>
      <c r="P518" s="41" t="s">
        <v>1080</v>
      </c>
      <c r="Q518" s="93">
        <v>40184</v>
      </c>
    </row>
    <row r="519" spans="1:17" s="31" customFormat="1" ht="280.5" hidden="1">
      <c r="A519" s="52" t="s">
        <v>1870</v>
      </c>
      <c r="B519" s="113" t="s">
        <v>2615</v>
      </c>
      <c r="C519" s="115" t="s">
        <v>1863</v>
      </c>
      <c r="D519" s="113" t="s">
        <v>521</v>
      </c>
      <c r="E519" s="115">
        <v>4600022772</v>
      </c>
      <c r="F519" s="115" t="s">
        <v>2616</v>
      </c>
      <c r="G519" s="52" t="s">
        <v>2283</v>
      </c>
      <c r="H519" s="52" t="s">
        <v>1153</v>
      </c>
      <c r="I519" s="114">
        <v>4956.7299999999996</v>
      </c>
      <c r="J519" s="100" t="s">
        <v>1625</v>
      </c>
      <c r="K519" s="165">
        <v>40189</v>
      </c>
      <c r="L519" s="52"/>
      <c r="M519" s="52"/>
      <c r="N519" s="195" t="s">
        <v>2613</v>
      </c>
      <c r="O519" s="32" t="s">
        <v>2113</v>
      </c>
      <c r="P519" s="41" t="s">
        <v>1080</v>
      </c>
      <c r="Q519" s="93">
        <v>40199</v>
      </c>
    </row>
    <row r="520" spans="1:17" s="31" customFormat="1" ht="191.25" hidden="1">
      <c r="A520" s="52" t="s">
        <v>1870</v>
      </c>
      <c r="B520" s="113" t="s">
        <v>1314</v>
      </c>
      <c r="C520" s="115" t="s">
        <v>2513</v>
      </c>
      <c r="D520" s="113" t="s">
        <v>53</v>
      </c>
      <c r="E520" s="115">
        <v>4600022129</v>
      </c>
      <c r="F520" s="115" t="s">
        <v>1315</v>
      </c>
      <c r="G520" s="52" t="s">
        <v>2389</v>
      </c>
      <c r="H520" s="52" t="s">
        <v>230</v>
      </c>
      <c r="I520" s="114">
        <v>360956.25</v>
      </c>
      <c r="J520" s="100" t="s">
        <v>2075</v>
      </c>
      <c r="K520" s="165">
        <v>40186</v>
      </c>
      <c r="L520" s="52" t="s">
        <v>2920</v>
      </c>
      <c r="M520" s="165">
        <v>40213</v>
      </c>
      <c r="N520" s="199">
        <v>40217</v>
      </c>
      <c r="O520" s="32" t="s">
        <v>743</v>
      </c>
      <c r="P520" s="43" t="s">
        <v>506</v>
      </c>
      <c r="Q520" s="93">
        <v>40191</v>
      </c>
    </row>
    <row r="521" spans="1:17" s="31" customFormat="1" ht="127.5" hidden="1">
      <c r="A521" s="52" t="s">
        <v>1870</v>
      </c>
      <c r="B521" s="113" t="s">
        <v>712</v>
      </c>
      <c r="C521" s="115" t="s">
        <v>2513</v>
      </c>
      <c r="D521" s="113" t="s">
        <v>521</v>
      </c>
      <c r="E521" s="115">
        <v>4600022297</v>
      </c>
      <c r="F521" s="115">
        <v>5001466286</v>
      </c>
      <c r="G521" s="52" t="s">
        <v>713</v>
      </c>
      <c r="H521" s="52" t="s">
        <v>620</v>
      </c>
      <c r="I521" s="114">
        <v>32298.6</v>
      </c>
      <c r="J521" s="52" t="s">
        <v>1206</v>
      </c>
      <c r="K521" s="165">
        <v>40171</v>
      </c>
      <c r="L521" s="52" t="s">
        <v>2920</v>
      </c>
      <c r="M521" s="165">
        <v>40198</v>
      </c>
      <c r="N521" s="199">
        <v>40202</v>
      </c>
      <c r="O521" s="125" t="s">
        <v>2561</v>
      </c>
      <c r="P521" s="41" t="s">
        <v>1080</v>
      </c>
      <c r="Q521" s="93">
        <v>40189</v>
      </c>
    </row>
    <row r="522" spans="1:17" s="31" customFormat="1" ht="140.25" hidden="1">
      <c r="A522" s="52" t="s">
        <v>1870</v>
      </c>
      <c r="B522" s="113" t="s">
        <v>2606</v>
      </c>
      <c r="C522" s="115" t="s">
        <v>2513</v>
      </c>
      <c r="D522" s="113" t="s">
        <v>521</v>
      </c>
      <c r="E522" s="115">
        <v>4600022297</v>
      </c>
      <c r="F522" s="115">
        <v>5001466284</v>
      </c>
      <c r="G522" s="52" t="s">
        <v>2607</v>
      </c>
      <c r="H522" s="52" t="s">
        <v>620</v>
      </c>
      <c r="I522" s="114">
        <v>32298.6</v>
      </c>
      <c r="J522" s="52" t="s">
        <v>1864</v>
      </c>
      <c r="K522" s="165">
        <v>40171</v>
      </c>
      <c r="L522" s="52" t="s">
        <v>2920</v>
      </c>
      <c r="M522" s="165">
        <v>40198</v>
      </c>
      <c r="N522" s="199">
        <v>40202</v>
      </c>
      <c r="O522" s="32" t="s">
        <v>2584</v>
      </c>
      <c r="P522" s="41" t="s">
        <v>1080</v>
      </c>
      <c r="Q522" s="93">
        <v>40186</v>
      </c>
    </row>
    <row r="523" spans="1:17" s="33" customFormat="1" ht="127.5" hidden="1">
      <c r="A523" s="25" t="s">
        <v>1870</v>
      </c>
      <c r="B523" s="208" t="s">
        <v>2377</v>
      </c>
      <c r="C523" s="209" t="s">
        <v>2266</v>
      </c>
      <c r="D523" s="208" t="s">
        <v>521</v>
      </c>
      <c r="E523" s="209">
        <v>4600021599</v>
      </c>
      <c r="F523" s="209">
        <v>1101523989</v>
      </c>
      <c r="G523" s="25" t="s">
        <v>2378</v>
      </c>
      <c r="H523" s="25" t="s">
        <v>2388</v>
      </c>
      <c r="I523" s="210">
        <v>69649.919999999998</v>
      </c>
      <c r="J523" s="25" t="s">
        <v>1864</v>
      </c>
      <c r="K523" s="211">
        <v>40181</v>
      </c>
      <c r="L523" s="25"/>
      <c r="M523" s="25"/>
      <c r="N523" s="213" t="s">
        <v>2613</v>
      </c>
      <c r="O523" s="39" t="s">
        <v>2208</v>
      </c>
      <c r="P523" s="25" t="s">
        <v>506</v>
      </c>
      <c r="Q523" s="212">
        <v>40187</v>
      </c>
    </row>
    <row r="524" spans="1:17" s="31" customFormat="1" ht="216.75" hidden="1">
      <c r="A524" s="52" t="s">
        <v>1870</v>
      </c>
      <c r="B524" s="113" t="s">
        <v>2379</v>
      </c>
      <c r="C524" s="115" t="s">
        <v>2380</v>
      </c>
      <c r="D524" s="113" t="s">
        <v>1336</v>
      </c>
      <c r="E524" s="115">
        <v>4800002149</v>
      </c>
      <c r="F524" s="115" t="s">
        <v>2386</v>
      </c>
      <c r="G524" s="52" t="s">
        <v>2387</v>
      </c>
      <c r="H524" s="52" t="s">
        <v>539</v>
      </c>
      <c r="I524" s="114">
        <v>1345121</v>
      </c>
      <c r="J524" s="100" t="s">
        <v>2075</v>
      </c>
      <c r="K524" s="165">
        <v>40192</v>
      </c>
      <c r="L524" s="52" t="s">
        <v>1640</v>
      </c>
      <c r="M524" s="165">
        <v>40209</v>
      </c>
      <c r="N524" s="199">
        <v>40212</v>
      </c>
      <c r="O524" s="201" t="s">
        <v>2820</v>
      </c>
      <c r="P524" s="43" t="s">
        <v>506</v>
      </c>
      <c r="Q524" s="93">
        <v>40207</v>
      </c>
    </row>
    <row r="525" spans="1:17" s="31" customFormat="1" ht="216.75" hidden="1">
      <c r="A525" s="52" t="s">
        <v>1870</v>
      </c>
      <c r="B525" s="113" t="s">
        <v>1852</v>
      </c>
      <c r="C525" s="115" t="s">
        <v>2266</v>
      </c>
      <c r="D525" s="113" t="s">
        <v>521</v>
      </c>
      <c r="E525" s="115">
        <v>4600022058</v>
      </c>
      <c r="F525" s="115">
        <v>4300298453</v>
      </c>
      <c r="G525" s="52" t="s">
        <v>1853</v>
      </c>
      <c r="H525" s="52" t="s">
        <v>230</v>
      </c>
      <c r="I525" s="114">
        <v>64645.97</v>
      </c>
      <c r="J525" s="52" t="s">
        <v>1864</v>
      </c>
      <c r="K525" s="165">
        <v>40186</v>
      </c>
      <c r="L525" s="52" t="s">
        <v>2614</v>
      </c>
      <c r="M525" s="165">
        <v>40193</v>
      </c>
      <c r="N525" s="199">
        <v>40196</v>
      </c>
      <c r="O525" s="32" t="s">
        <v>175</v>
      </c>
      <c r="P525" s="41" t="s">
        <v>1080</v>
      </c>
      <c r="Q525" s="93">
        <v>40194</v>
      </c>
    </row>
    <row r="526" spans="1:17" s="31" customFormat="1" ht="191.25" hidden="1">
      <c r="A526" s="52" t="s">
        <v>1870</v>
      </c>
      <c r="B526" s="113" t="s">
        <v>957</v>
      </c>
      <c r="C526" s="115" t="s">
        <v>1129</v>
      </c>
      <c r="D526" s="113" t="s">
        <v>521</v>
      </c>
      <c r="E526" s="115" t="s">
        <v>958</v>
      </c>
      <c r="F526" s="115" t="s">
        <v>959</v>
      </c>
      <c r="G526" s="52" t="s">
        <v>960</v>
      </c>
      <c r="H526" s="52" t="s">
        <v>961</v>
      </c>
      <c r="I526" s="114">
        <v>12866.4</v>
      </c>
      <c r="J526" s="52" t="s">
        <v>1864</v>
      </c>
      <c r="K526" s="165">
        <v>40187</v>
      </c>
      <c r="L526" s="52"/>
      <c r="M526" s="52"/>
      <c r="N526" s="197" t="s">
        <v>2613</v>
      </c>
      <c r="O526" s="32" t="s">
        <v>2899</v>
      </c>
      <c r="P526" s="43" t="s">
        <v>506</v>
      </c>
      <c r="Q526" s="93">
        <v>40199</v>
      </c>
    </row>
    <row r="527" spans="1:17" s="31" customFormat="1" ht="204" hidden="1">
      <c r="A527" s="52" t="s">
        <v>1870</v>
      </c>
      <c r="B527" s="113" t="s">
        <v>1683</v>
      </c>
      <c r="C527" s="115" t="s">
        <v>2380</v>
      </c>
      <c r="D527" s="113" t="s">
        <v>1336</v>
      </c>
      <c r="E527" s="115">
        <v>4800002170</v>
      </c>
      <c r="F527" s="115" t="s">
        <v>1684</v>
      </c>
      <c r="G527" s="52" t="s">
        <v>1685</v>
      </c>
      <c r="H527" s="52" t="s">
        <v>2122</v>
      </c>
      <c r="I527" s="114">
        <v>28800</v>
      </c>
      <c r="J527" s="52" t="s">
        <v>1864</v>
      </c>
      <c r="K527" s="165">
        <v>40199</v>
      </c>
      <c r="L527" s="52" t="s">
        <v>1640</v>
      </c>
      <c r="M527" s="165">
        <v>40217</v>
      </c>
      <c r="N527" s="199">
        <v>40219</v>
      </c>
      <c r="O527" s="172" t="s">
        <v>202</v>
      </c>
      <c r="P527" s="43" t="s">
        <v>506</v>
      </c>
      <c r="Q527" s="93">
        <v>40207</v>
      </c>
    </row>
    <row r="528" spans="1:17" s="31" customFormat="1" ht="216.75" hidden="1">
      <c r="A528" s="52" t="s">
        <v>1870</v>
      </c>
      <c r="B528" s="113" t="s">
        <v>1123</v>
      </c>
      <c r="C528" s="115" t="s">
        <v>1124</v>
      </c>
      <c r="D528" s="113" t="s">
        <v>775</v>
      </c>
      <c r="E528" s="115">
        <v>4600022824</v>
      </c>
      <c r="F528" s="115" t="s">
        <v>1125</v>
      </c>
      <c r="G528" s="52" t="s">
        <v>1126</v>
      </c>
      <c r="H528" s="52" t="s">
        <v>1008</v>
      </c>
      <c r="I528" s="114">
        <v>105026</v>
      </c>
      <c r="J528" s="52" t="s">
        <v>1864</v>
      </c>
      <c r="K528" s="165">
        <v>40206</v>
      </c>
      <c r="L528" s="52" t="s">
        <v>577</v>
      </c>
      <c r="M528" s="165">
        <v>40218</v>
      </c>
      <c r="N528" s="202">
        <v>40220</v>
      </c>
      <c r="O528" s="201" t="s">
        <v>1142</v>
      </c>
      <c r="P528" s="43" t="s">
        <v>506</v>
      </c>
      <c r="Q528" s="93">
        <v>40212</v>
      </c>
    </row>
    <row r="529" spans="1:17" s="31" customFormat="1" ht="204" hidden="1">
      <c r="A529" s="52" t="s">
        <v>1870</v>
      </c>
      <c r="B529" s="113" t="s">
        <v>2061</v>
      </c>
      <c r="C529" s="115" t="s">
        <v>296</v>
      </c>
      <c r="D529" s="113" t="s">
        <v>775</v>
      </c>
      <c r="E529" s="115">
        <v>4600022891</v>
      </c>
      <c r="F529" s="115" t="s">
        <v>2062</v>
      </c>
      <c r="G529" s="52">
        <v>614609273</v>
      </c>
      <c r="H529" s="52" t="s">
        <v>670</v>
      </c>
      <c r="I529" s="114">
        <v>1638</v>
      </c>
      <c r="J529" s="52" t="s">
        <v>1864</v>
      </c>
      <c r="K529" s="165">
        <v>40196</v>
      </c>
      <c r="L529" s="52"/>
      <c r="M529" s="52"/>
      <c r="N529" s="195" t="s">
        <v>2613</v>
      </c>
      <c r="O529" s="32" t="s">
        <v>636</v>
      </c>
      <c r="P529" s="43" t="s">
        <v>506</v>
      </c>
      <c r="Q529" s="93">
        <v>40206</v>
      </c>
    </row>
    <row r="530" spans="1:17" s="31" customFormat="1" ht="204" hidden="1">
      <c r="A530" s="52" t="s">
        <v>1870</v>
      </c>
      <c r="B530" s="113" t="s">
        <v>2351</v>
      </c>
      <c r="C530" s="115" t="s">
        <v>2513</v>
      </c>
      <c r="D530" s="113" t="s">
        <v>521</v>
      </c>
      <c r="E530" s="115">
        <v>4600022431</v>
      </c>
      <c r="F530" s="115" t="s">
        <v>2352</v>
      </c>
      <c r="G530" s="52" t="s">
        <v>2353</v>
      </c>
      <c r="H530" s="52" t="s">
        <v>620</v>
      </c>
      <c r="I530" s="114">
        <v>57689.93</v>
      </c>
      <c r="J530" s="52" t="s">
        <v>1864</v>
      </c>
      <c r="K530" s="165">
        <v>40171</v>
      </c>
      <c r="L530" s="52" t="s">
        <v>2920</v>
      </c>
      <c r="M530" s="165">
        <v>40198</v>
      </c>
      <c r="N530" s="202">
        <v>40202</v>
      </c>
      <c r="O530" s="32" t="s">
        <v>2862</v>
      </c>
      <c r="P530" s="41" t="s">
        <v>1080</v>
      </c>
      <c r="Q530" s="93">
        <v>40187</v>
      </c>
    </row>
    <row r="531" spans="1:17" s="31" customFormat="1" ht="153" hidden="1">
      <c r="A531" s="52" t="s">
        <v>1870</v>
      </c>
      <c r="B531" s="113" t="s">
        <v>2130</v>
      </c>
      <c r="C531" s="115" t="s">
        <v>1793</v>
      </c>
      <c r="D531" s="113" t="s">
        <v>1197</v>
      </c>
      <c r="E531" s="115" t="s">
        <v>1593</v>
      </c>
      <c r="F531" s="115" t="s">
        <v>1594</v>
      </c>
      <c r="G531" s="52">
        <v>6394443694</v>
      </c>
      <c r="H531" s="52" t="s">
        <v>907</v>
      </c>
      <c r="I531" s="114">
        <v>102851.4</v>
      </c>
      <c r="J531" s="52" t="s">
        <v>1864</v>
      </c>
      <c r="K531" s="165">
        <v>40203</v>
      </c>
      <c r="L531" s="52" t="s">
        <v>2920</v>
      </c>
      <c r="M531" s="165">
        <v>40232</v>
      </c>
      <c r="N531" s="199">
        <v>40234</v>
      </c>
      <c r="O531" s="32" t="s">
        <v>1939</v>
      </c>
      <c r="P531" s="43" t="s">
        <v>506</v>
      </c>
      <c r="Q531" s="93">
        <v>40207</v>
      </c>
    </row>
    <row r="532" spans="1:17" s="31" customFormat="1" ht="140.25" hidden="1">
      <c r="A532" s="52" t="s">
        <v>1870</v>
      </c>
      <c r="B532" s="113" t="s">
        <v>1599</v>
      </c>
      <c r="C532" s="115" t="s">
        <v>1120</v>
      </c>
      <c r="D532" s="113" t="s">
        <v>521</v>
      </c>
      <c r="E532" s="115">
        <v>4600023126</v>
      </c>
      <c r="F532" s="115">
        <v>91218012</v>
      </c>
      <c r="G532" s="52">
        <v>614609316</v>
      </c>
      <c r="H532" s="52" t="s">
        <v>907</v>
      </c>
      <c r="I532" s="114">
        <v>1406.75</v>
      </c>
      <c r="J532" s="52" t="s">
        <v>1864</v>
      </c>
      <c r="K532" s="165">
        <v>40203</v>
      </c>
      <c r="L532" s="52"/>
      <c r="M532" s="52"/>
      <c r="N532" s="197" t="s">
        <v>2613</v>
      </c>
      <c r="O532" s="32" t="s">
        <v>2689</v>
      </c>
      <c r="P532" s="43" t="s">
        <v>506</v>
      </c>
      <c r="Q532" s="93">
        <v>40212</v>
      </c>
    </row>
    <row r="533" spans="1:17" s="31" customFormat="1" ht="178.5" hidden="1">
      <c r="A533" s="52" t="s">
        <v>1870</v>
      </c>
      <c r="B533" s="113" t="s">
        <v>1600</v>
      </c>
      <c r="C533" s="115" t="s">
        <v>2125</v>
      </c>
      <c r="D533" s="113" t="s">
        <v>1750</v>
      </c>
      <c r="E533" s="115">
        <v>4600023302</v>
      </c>
      <c r="F533" s="115" t="s">
        <v>1601</v>
      </c>
      <c r="G533" s="52" t="s">
        <v>2484</v>
      </c>
      <c r="H533" s="52" t="s">
        <v>670</v>
      </c>
      <c r="I533" s="114">
        <v>8300.16</v>
      </c>
      <c r="J533" s="52" t="s">
        <v>1864</v>
      </c>
      <c r="K533" s="165">
        <v>40196</v>
      </c>
      <c r="L533" s="52"/>
      <c r="M533" s="52"/>
      <c r="N533" s="197" t="s">
        <v>2613</v>
      </c>
      <c r="O533" s="32" t="s">
        <v>2559</v>
      </c>
      <c r="P533" s="43" t="s">
        <v>506</v>
      </c>
      <c r="Q533" s="93">
        <v>40210</v>
      </c>
    </row>
    <row r="534" spans="1:17" s="31" customFormat="1" ht="204" hidden="1">
      <c r="A534" s="52" t="s">
        <v>1870</v>
      </c>
      <c r="B534" s="113" t="s">
        <v>930</v>
      </c>
      <c r="C534" s="115" t="s">
        <v>1863</v>
      </c>
      <c r="D534" s="113" t="s">
        <v>53</v>
      </c>
      <c r="E534" s="115">
        <v>4600022364</v>
      </c>
      <c r="F534" s="115" t="s">
        <v>931</v>
      </c>
      <c r="G534" s="52" t="s">
        <v>932</v>
      </c>
      <c r="H534" s="52" t="s">
        <v>1153</v>
      </c>
      <c r="I534" s="114">
        <v>309532.63</v>
      </c>
      <c r="J534" s="100" t="s">
        <v>2075</v>
      </c>
      <c r="K534" s="165">
        <v>40189</v>
      </c>
      <c r="L534" s="52" t="s">
        <v>2920</v>
      </c>
      <c r="M534" s="165">
        <v>40215</v>
      </c>
      <c r="N534" s="199">
        <v>40220</v>
      </c>
      <c r="O534" s="32" t="s">
        <v>2362</v>
      </c>
      <c r="P534" s="43" t="s">
        <v>506</v>
      </c>
      <c r="Q534" s="93">
        <v>40193</v>
      </c>
    </row>
    <row r="535" spans="1:17" s="31" customFormat="1" ht="229.5" hidden="1">
      <c r="A535" s="52" t="s">
        <v>1870</v>
      </c>
      <c r="B535" s="113" t="s">
        <v>2174</v>
      </c>
      <c r="C535" s="115" t="s">
        <v>2513</v>
      </c>
      <c r="D535" s="113" t="s">
        <v>521</v>
      </c>
      <c r="E535" s="115" t="s">
        <v>2175</v>
      </c>
      <c r="F535" s="115">
        <v>5001483104</v>
      </c>
      <c r="G535" s="52" t="s">
        <v>2176</v>
      </c>
      <c r="H535" s="52" t="s">
        <v>230</v>
      </c>
      <c r="I535" s="114">
        <v>33707.61</v>
      </c>
      <c r="J535" s="52" t="s">
        <v>1864</v>
      </c>
      <c r="K535" s="165">
        <v>40196</v>
      </c>
      <c r="L535" s="52" t="s">
        <v>2920</v>
      </c>
      <c r="M535" s="165">
        <v>40224</v>
      </c>
      <c r="N535" s="202">
        <v>40227</v>
      </c>
      <c r="O535" s="201" t="s">
        <v>527</v>
      </c>
      <c r="P535" s="43" t="s">
        <v>506</v>
      </c>
      <c r="Q535" s="93">
        <v>40205</v>
      </c>
    </row>
    <row r="536" spans="1:17" s="31" customFormat="1" ht="140.25" hidden="1">
      <c r="A536" s="52" t="s">
        <v>1870</v>
      </c>
      <c r="B536" s="113" t="s">
        <v>2177</v>
      </c>
      <c r="C536" s="115" t="s">
        <v>2513</v>
      </c>
      <c r="D536" s="113" t="s">
        <v>521</v>
      </c>
      <c r="E536" s="115" t="s">
        <v>2178</v>
      </c>
      <c r="F536" s="115" t="s">
        <v>209</v>
      </c>
      <c r="G536" s="52" t="s">
        <v>210</v>
      </c>
      <c r="H536" s="52" t="s">
        <v>230</v>
      </c>
      <c r="I536" s="114">
        <v>36455.51</v>
      </c>
      <c r="J536" s="52" t="s">
        <v>1864</v>
      </c>
      <c r="K536" s="165">
        <v>40186</v>
      </c>
      <c r="L536" s="52" t="s">
        <v>2920</v>
      </c>
      <c r="M536" s="165">
        <v>40213</v>
      </c>
      <c r="N536" s="199">
        <v>40217</v>
      </c>
      <c r="O536" s="32" t="s">
        <v>1637</v>
      </c>
      <c r="P536" s="41" t="s">
        <v>1080</v>
      </c>
      <c r="Q536" s="93">
        <v>40193</v>
      </c>
    </row>
    <row r="537" spans="1:17" s="31" customFormat="1" ht="89.25" hidden="1">
      <c r="A537" s="52" t="s">
        <v>1870</v>
      </c>
      <c r="B537" s="113" t="s">
        <v>211</v>
      </c>
      <c r="C537" s="115" t="s">
        <v>2513</v>
      </c>
      <c r="D537" s="113" t="s">
        <v>521</v>
      </c>
      <c r="E537" s="115" t="s">
        <v>212</v>
      </c>
      <c r="F537" s="115" t="s">
        <v>213</v>
      </c>
      <c r="G537" s="52" t="s">
        <v>214</v>
      </c>
      <c r="H537" s="52" t="s">
        <v>2388</v>
      </c>
      <c r="I537" s="114">
        <v>108155.04</v>
      </c>
      <c r="J537" s="52" t="s">
        <v>1864</v>
      </c>
      <c r="K537" s="165">
        <v>40181</v>
      </c>
      <c r="L537" s="52" t="s">
        <v>2920</v>
      </c>
      <c r="M537" s="165">
        <v>40206</v>
      </c>
      <c r="N537" s="199">
        <v>40212</v>
      </c>
      <c r="O537" s="32" t="s">
        <v>1650</v>
      </c>
      <c r="P537" s="43" t="s">
        <v>506</v>
      </c>
      <c r="Q537" s="93">
        <v>40186</v>
      </c>
    </row>
    <row r="538" spans="1:17" s="31" customFormat="1" ht="127.5" hidden="1">
      <c r="A538" s="52" t="s">
        <v>1870</v>
      </c>
      <c r="B538" s="113" t="s">
        <v>92</v>
      </c>
      <c r="C538" s="115" t="s">
        <v>1863</v>
      </c>
      <c r="D538" s="113" t="s">
        <v>53</v>
      </c>
      <c r="E538" s="115">
        <v>4600022586</v>
      </c>
      <c r="F538" s="115" t="s">
        <v>93</v>
      </c>
      <c r="G538" s="52" t="s">
        <v>2576</v>
      </c>
      <c r="H538" s="52" t="s">
        <v>670</v>
      </c>
      <c r="I538" s="114">
        <v>212947.52</v>
      </c>
      <c r="J538" s="52" t="s">
        <v>1864</v>
      </c>
      <c r="K538" s="165">
        <v>40196</v>
      </c>
      <c r="L538" s="52" t="s">
        <v>577</v>
      </c>
      <c r="M538" s="165">
        <v>40207</v>
      </c>
      <c r="N538" s="202">
        <v>40211</v>
      </c>
      <c r="O538" s="32" t="s">
        <v>2180</v>
      </c>
      <c r="P538" s="43" t="s">
        <v>506</v>
      </c>
      <c r="Q538" s="93">
        <v>40205</v>
      </c>
    </row>
    <row r="539" spans="1:17" s="31" customFormat="1" ht="140.25" hidden="1">
      <c r="A539" s="52" t="s">
        <v>1870</v>
      </c>
      <c r="B539" s="113" t="s">
        <v>250</v>
      </c>
      <c r="C539" s="115" t="s">
        <v>2266</v>
      </c>
      <c r="D539" s="113" t="s">
        <v>521</v>
      </c>
      <c r="E539" s="115">
        <v>4600022522</v>
      </c>
      <c r="F539" s="115">
        <v>1101531959</v>
      </c>
      <c r="G539" s="52" t="s">
        <v>251</v>
      </c>
      <c r="H539" s="52" t="s">
        <v>539</v>
      </c>
      <c r="I539" s="114">
        <v>157904.64000000001</v>
      </c>
      <c r="J539" s="52" t="s">
        <v>1864</v>
      </c>
      <c r="K539" s="165">
        <v>40192</v>
      </c>
      <c r="L539" s="52" t="s">
        <v>2614</v>
      </c>
      <c r="M539" s="165">
        <v>40199</v>
      </c>
      <c r="N539" s="202">
        <v>40202</v>
      </c>
      <c r="O539" s="32" t="s">
        <v>2851</v>
      </c>
      <c r="P539" s="40" t="s">
        <v>980</v>
      </c>
      <c r="Q539" s="93">
        <v>40200</v>
      </c>
    </row>
    <row r="540" spans="1:17" s="31" customFormat="1" ht="255" hidden="1">
      <c r="A540" s="52" t="s">
        <v>1870</v>
      </c>
      <c r="B540" s="113" t="s">
        <v>252</v>
      </c>
      <c r="C540" s="115" t="s">
        <v>2266</v>
      </c>
      <c r="D540" s="113" t="s">
        <v>521</v>
      </c>
      <c r="E540" s="115">
        <v>4600022517</v>
      </c>
      <c r="F540" s="115">
        <v>4300299594</v>
      </c>
      <c r="G540" s="52" t="s">
        <v>253</v>
      </c>
      <c r="H540" s="52" t="s">
        <v>539</v>
      </c>
      <c r="I540" s="114">
        <v>53733.88</v>
      </c>
      <c r="J540" s="52" t="s">
        <v>1864</v>
      </c>
      <c r="K540" s="165">
        <v>40192</v>
      </c>
      <c r="L540" s="52" t="s">
        <v>2614</v>
      </c>
      <c r="M540" s="165">
        <v>40199</v>
      </c>
      <c r="N540" s="202">
        <v>40202</v>
      </c>
      <c r="O540" s="32" t="s">
        <v>1168</v>
      </c>
      <c r="P540" s="41" t="s">
        <v>1080</v>
      </c>
      <c r="Q540" s="93">
        <v>40206</v>
      </c>
    </row>
    <row r="541" spans="1:17" s="31" customFormat="1" ht="216.75" hidden="1">
      <c r="A541" s="52" t="s">
        <v>1870</v>
      </c>
      <c r="B541" s="113" t="s">
        <v>2005</v>
      </c>
      <c r="C541" s="115" t="s">
        <v>2125</v>
      </c>
      <c r="D541" s="113" t="s">
        <v>1750</v>
      </c>
      <c r="E541" s="115" t="s">
        <v>2006</v>
      </c>
      <c r="F541" s="115" t="s">
        <v>772</v>
      </c>
      <c r="G541" s="52" t="s">
        <v>2007</v>
      </c>
      <c r="H541" s="52" t="s">
        <v>670</v>
      </c>
      <c r="I541" s="114">
        <v>9643.26</v>
      </c>
      <c r="J541" s="52" t="s">
        <v>1864</v>
      </c>
      <c r="K541" s="165">
        <v>40196</v>
      </c>
      <c r="L541" s="52"/>
      <c r="M541" s="52"/>
      <c r="N541" s="197" t="s">
        <v>2613</v>
      </c>
      <c r="O541" s="32" t="s">
        <v>1215</v>
      </c>
      <c r="P541" s="43" t="s">
        <v>506</v>
      </c>
      <c r="Q541" s="93">
        <v>40210</v>
      </c>
    </row>
    <row r="542" spans="1:17" s="31" customFormat="1" ht="102" hidden="1">
      <c r="A542" s="52" t="s">
        <v>1870</v>
      </c>
      <c r="B542" s="113" t="s">
        <v>1855</v>
      </c>
      <c r="C542" s="115" t="s">
        <v>2513</v>
      </c>
      <c r="D542" s="113" t="s">
        <v>521</v>
      </c>
      <c r="E542" s="115">
        <v>4600023010</v>
      </c>
      <c r="F542" s="115">
        <v>5001484560</v>
      </c>
      <c r="G542" s="52" t="s">
        <v>1856</v>
      </c>
      <c r="H542" s="52" t="s">
        <v>539</v>
      </c>
      <c r="I542" s="114">
        <v>32298.6</v>
      </c>
      <c r="J542" s="52" t="s">
        <v>1864</v>
      </c>
      <c r="K542" s="165">
        <v>40192</v>
      </c>
      <c r="L542" s="52" t="s">
        <v>2920</v>
      </c>
      <c r="M542" s="165">
        <v>40219</v>
      </c>
      <c r="N542" s="202">
        <v>40223</v>
      </c>
      <c r="O542" s="32" t="s">
        <v>1524</v>
      </c>
      <c r="P542" s="41" t="s">
        <v>1080</v>
      </c>
      <c r="Q542" s="93">
        <v>40200</v>
      </c>
    </row>
    <row r="543" spans="1:17" s="31" customFormat="1" ht="114.75" hidden="1">
      <c r="A543" s="52" t="s">
        <v>1870</v>
      </c>
      <c r="B543" s="113" t="s">
        <v>1857</v>
      </c>
      <c r="C543" s="115" t="s">
        <v>2513</v>
      </c>
      <c r="D543" s="113" t="s">
        <v>521</v>
      </c>
      <c r="E543" s="115">
        <v>4600023009</v>
      </c>
      <c r="F543" s="115">
        <v>5001490762</v>
      </c>
      <c r="G543" s="52" t="s">
        <v>1858</v>
      </c>
      <c r="H543" s="52" t="s">
        <v>539</v>
      </c>
      <c r="I543" s="114">
        <v>32298.6</v>
      </c>
      <c r="J543" s="52" t="s">
        <v>1864</v>
      </c>
      <c r="K543" s="165">
        <v>40192</v>
      </c>
      <c r="L543" s="52" t="s">
        <v>2920</v>
      </c>
      <c r="M543" s="165">
        <v>40219</v>
      </c>
      <c r="N543" s="202">
        <v>40223</v>
      </c>
      <c r="O543" s="32" t="s">
        <v>241</v>
      </c>
      <c r="P543" s="41" t="s">
        <v>1080</v>
      </c>
      <c r="Q543" s="93">
        <v>40203</v>
      </c>
    </row>
    <row r="544" spans="1:17" s="31" customFormat="1" ht="114.75" hidden="1">
      <c r="A544" s="52" t="s">
        <v>1870</v>
      </c>
      <c r="B544" s="113" t="s">
        <v>1859</v>
      </c>
      <c r="C544" s="115" t="s">
        <v>2513</v>
      </c>
      <c r="D544" s="113" t="s">
        <v>521</v>
      </c>
      <c r="E544" s="115">
        <v>4600023134</v>
      </c>
      <c r="F544" s="115">
        <v>5001490763</v>
      </c>
      <c r="G544" s="52" t="s">
        <v>1860</v>
      </c>
      <c r="H544" s="52" t="s">
        <v>539</v>
      </c>
      <c r="I544" s="114">
        <v>32298.6</v>
      </c>
      <c r="J544" s="52" t="s">
        <v>1864</v>
      </c>
      <c r="K544" s="165">
        <v>40192</v>
      </c>
      <c r="L544" s="52" t="s">
        <v>2920</v>
      </c>
      <c r="M544" s="165">
        <v>40219</v>
      </c>
      <c r="N544" s="202">
        <v>40223</v>
      </c>
      <c r="O544" s="32" t="s">
        <v>242</v>
      </c>
      <c r="P544" s="41" t="s">
        <v>1080</v>
      </c>
      <c r="Q544" s="93">
        <v>40203</v>
      </c>
    </row>
    <row r="545" spans="1:17" s="31" customFormat="1" ht="102" hidden="1">
      <c r="A545" s="52" t="s">
        <v>1870</v>
      </c>
      <c r="B545" s="113" t="s">
        <v>1569</v>
      </c>
      <c r="C545" s="115" t="s">
        <v>2513</v>
      </c>
      <c r="D545" s="113" t="s">
        <v>521</v>
      </c>
      <c r="E545" s="115" t="s">
        <v>1570</v>
      </c>
      <c r="F545" s="115">
        <v>5001489424</v>
      </c>
      <c r="G545" s="52" t="s">
        <v>1571</v>
      </c>
      <c r="H545" s="52" t="s">
        <v>539</v>
      </c>
      <c r="I545" s="114">
        <v>98701.54</v>
      </c>
      <c r="J545" s="52" t="s">
        <v>1864</v>
      </c>
      <c r="K545" s="165">
        <v>40192</v>
      </c>
      <c r="L545" s="52" t="s">
        <v>2920</v>
      </c>
      <c r="M545" s="165">
        <v>40219</v>
      </c>
      <c r="N545" s="202">
        <v>40223</v>
      </c>
      <c r="O545" s="201" t="s">
        <v>1727</v>
      </c>
      <c r="P545" s="43" t="s">
        <v>506</v>
      </c>
      <c r="Q545" s="93">
        <v>40198</v>
      </c>
    </row>
    <row r="546" spans="1:17" s="31" customFormat="1" ht="204" hidden="1">
      <c r="A546" s="52" t="s">
        <v>1870</v>
      </c>
      <c r="B546" s="113" t="s">
        <v>1572</v>
      </c>
      <c r="C546" s="115" t="s">
        <v>2513</v>
      </c>
      <c r="D546" s="113" t="s">
        <v>521</v>
      </c>
      <c r="E546" s="115" t="s">
        <v>133</v>
      </c>
      <c r="F546" s="115" t="s">
        <v>134</v>
      </c>
      <c r="G546" s="52">
        <v>562499632</v>
      </c>
      <c r="H546" s="52" t="s">
        <v>2122</v>
      </c>
      <c r="I546" s="114">
        <v>57777.93</v>
      </c>
      <c r="J546" s="52" t="s">
        <v>1864</v>
      </c>
      <c r="K546" s="165">
        <v>40199</v>
      </c>
      <c r="L546" s="52" t="s">
        <v>2920</v>
      </c>
      <c r="M546" s="165">
        <v>40226</v>
      </c>
      <c r="N546" s="202">
        <v>40230</v>
      </c>
      <c r="O546" s="32" t="s">
        <v>1352</v>
      </c>
      <c r="P546" s="41" t="s">
        <v>1080</v>
      </c>
      <c r="Q546" s="93">
        <v>40211</v>
      </c>
    </row>
    <row r="547" spans="1:17" s="31" customFormat="1" ht="89.25" hidden="1">
      <c r="A547" s="52" t="s">
        <v>1870</v>
      </c>
      <c r="B547" s="113" t="s">
        <v>2620</v>
      </c>
      <c r="C547" s="115" t="s">
        <v>2513</v>
      </c>
      <c r="D547" s="113" t="s">
        <v>521</v>
      </c>
      <c r="E547" s="115">
        <v>4600022987</v>
      </c>
      <c r="F547" s="115">
        <v>5001489391</v>
      </c>
      <c r="G547" s="52" t="s">
        <v>2621</v>
      </c>
      <c r="H547" s="52" t="s">
        <v>539</v>
      </c>
      <c r="I547" s="114">
        <v>31708.799999999999</v>
      </c>
      <c r="J547" s="52" t="s">
        <v>1864</v>
      </c>
      <c r="K547" s="165">
        <v>40192</v>
      </c>
      <c r="L547" s="52" t="s">
        <v>2920</v>
      </c>
      <c r="M547" s="165">
        <v>40219</v>
      </c>
      <c r="N547" s="202">
        <v>40223</v>
      </c>
      <c r="O547" s="32" t="s">
        <v>1029</v>
      </c>
      <c r="P547" s="43" t="s">
        <v>506</v>
      </c>
      <c r="Q547" s="93">
        <v>40199</v>
      </c>
    </row>
    <row r="548" spans="1:17" s="31" customFormat="1" ht="89.25" hidden="1">
      <c r="A548" s="52" t="s">
        <v>1870</v>
      </c>
      <c r="B548" s="113" t="s">
        <v>2624</v>
      </c>
      <c r="C548" s="115" t="s">
        <v>2513</v>
      </c>
      <c r="D548" s="113" t="s">
        <v>521</v>
      </c>
      <c r="E548" s="115" t="s">
        <v>2357</v>
      </c>
      <c r="F548" s="115" t="s">
        <v>2358</v>
      </c>
      <c r="G548" s="52" t="s">
        <v>2359</v>
      </c>
      <c r="H548" s="52" t="s">
        <v>539</v>
      </c>
      <c r="I548" s="114">
        <v>83600.800000000003</v>
      </c>
      <c r="J548" s="52" t="s">
        <v>1864</v>
      </c>
      <c r="K548" s="165">
        <v>40192</v>
      </c>
      <c r="L548" s="52" t="s">
        <v>2920</v>
      </c>
      <c r="M548" s="165">
        <v>40219</v>
      </c>
      <c r="N548" s="202">
        <v>40223</v>
      </c>
      <c r="O548" s="32" t="s">
        <v>1051</v>
      </c>
      <c r="P548" s="43" t="s">
        <v>506</v>
      </c>
      <c r="Q548" s="93">
        <v>40200</v>
      </c>
    </row>
    <row r="549" spans="1:17" s="31" customFormat="1" ht="89.25" hidden="1">
      <c r="A549" s="52" t="s">
        <v>1870</v>
      </c>
      <c r="B549" s="113" t="s">
        <v>88</v>
      </c>
      <c r="C549" s="115" t="s">
        <v>2266</v>
      </c>
      <c r="D549" s="113" t="s">
        <v>521</v>
      </c>
      <c r="E549" s="115">
        <v>4600022054</v>
      </c>
      <c r="F549" s="115">
        <v>1101526022</v>
      </c>
      <c r="G549" s="52" t="s">
        <v>89</v>
      </c>
      <c r="H549" s="52" t="s">
        <v>1008</v>
      </c>
      <c r="I549" s="114">
        <v>60531.839999999997</v>
      </c>
      <c r="J549" s="52" t="s">
        <v>1864</v>
      </c>
      <c r="K549" s="165">
        <v>40206</v>
      </c>
      <c r="L549" s="52"/>
      <c r="M549" s="52"/>
      <c r="N549" s="197" t="s">
        <v>2613</v>
      </c>
      <c r="O549" s="32" t="s">
        <v>2691</v>
      </c>
      <c r="P549" s="43" t="s">
        <v>506</v>
      </c>
      <c r="Q549" s="93">
        <v>40211</v>
      </c>
    </row>
    <row r="550" spans="1:17" s="31" customFormat="1" ht="114.75" hidden="1">
      <c r="A550" s="52" t="s">
        <v>1870</v>
      </c>
      <c r="B550" s="113" t="s">
        <v>1965</v>
      </c>
      <c r="C550" s="115" t="s">
        <v>2513</v>
      </c>
      <c r="D550" s="113" t="s">
        <v>521</v>
      </c>
      <c r="E550" s="115" t="s">
        <v>1966</v>
      </c>
      <c r="F550" s="115" t="s">
        <v>1967</v>
      </c>
      <c r="G550" s="52" t="s">
        <v>1968</v>
      </c>
      <c r="H550" s="52" t="s">
        <v>2122</v>
      </c>
      <c r="I550" s="114">
        <v>57377.919999999998</v>
      </c>
      <c r="J550" s="52" t="s">
        <v>1864</v>
      </c>
      <c r="K550" s="165">
        <v>40199</v>
      </c>
      <c r="L550" s="52" t="s">
        <v>2920</v>
      </c>
      <c r="M550" s="165">
        <v>40226</v>
      </c>
      <c r="N550" s="202">
        <v>40230</v>
      </c>
      <c r="O550" s="32" t="s">
        <v>132</v>
      </c>
      <c r="P550" s="43" t="s">
        <v>506</v>
      </c>
      <c r="Q550" s="93">
        <v>40210</v>
      </c>
    </row>
    <row r="551" spans="1:17" s="31" customFormat="1" ht="114.75" hidden="1">
      <c r="A551" s="52" t="s">
        <v>1870</v>
      </c>
      <c r="B551" s="113" t="s">
        <v>1969</v>
      </c>
      <c r="C551" s="115" t="s">
        <v>2513</v>
      </c>
      <c r="D551" s="113" t="s">
        <v>521</v>
      </c>
      <c r="E551" s="115" t="s">
        <v>2254</v>
      </c>
      <c r="F551" s="115" t="s">
        <v>2255</v>
      </c>
      <c r="G551" s="52" t="s">
        <v>2256</v>
      </c>
      <c r="H551" s="52" t="s">
        <v>2122</v>
      </c>
      <c r="I551" s="114">
        <v>62591.68</v>
      </c>
      <c r="J551" s="52" t="s">
        <v>1864</v>
      </c>
      <c r="K551" s="165">
        <v>40199</v>
      </c>
      <c r="L551" s="52" t="s">
        <v>2920</v>
      </c>
      <c r="M551" s="165">
        <v>40226</v>
      </c>
      <c r="N551" s="202">
        <v>40230</v>
      </c>
      <c r="O551" s="32" t="s">
        <v>1977</v>
      </c>
      <c r="P551" s="43" t="s">
        <v>506</v>
      </c>
      <c r="Q551" s="93">
        <v>40210</v>
      </c>
    </row>
    <row r="552" spans="1:17" s="31" customFormat="1" ht="89.25" hidden="1">
      <c r="A552" s="52" t="s">
        <v>1870</v>
      </c>
      <c r="B552" s="113" t="s">
        <v>2753</v>
      </c>
      <c r="C552" s="115" t="s">
        <v>2125</v>
      </c>
      <c r="D552" s="113" t="s">
        <v>1750</v>
      </c>
      <c r="E552" s="115" t="s">
        <v>2754</v>
      </c>
      <c r="F552" s="115" t="s">
        <v>591</v>
      </c>
      <c r="G552" s="52" t="s">
        <v>2755</v>
      </c>
      <c r="H552" s="52" t="s">
        <v>907</v>
      </c>
      <c r="I552" s="114">
        <v>12648</v>
      </c>
      <c r="J552" s="52" t="s">
        <v>1864</v>
      </c>
      <c r="K552" s="165">
        <v>40203</v>
      </c>
      <c r="L552" s="52"/>
      <c r="M552" s="52"/>
      <c r="N552" s="197" t="s">
        <v>2613</v>
      </c>
      <c r="O552" s="32" t="s">
        <v>2458</v>
      </c>
      <c r="P552" s="43" t="s">
        <v>506</v>
      </c>
      <c r="Q552" s="93">
        <v>40212</v>
      </c>
    </row>
    <row r="553" spans="1:17" s="31" customFormat="1" ht="242.25" hidden="1">
      <c r="A553" s="52" t="s">
        <v>1870</v>
      </c>
      <c r="B553" s="113" t="s">
        <v>2431</v>
      </c>
      <c r="C553" s="115" t="s">
        <v>2380</v>
      </c>
      <c r="D553" s="113" t="s">
        <v>1336</v>
      </c>
      <c r="E553" s="115">
        <v>4800002168</v>
      </c>
      <c r="F553" s="115" t="s">
        <v>2432</v>
      </c>
      <c r="G553" s="52" t="s">
        <v>2433</v>
      </c>
      <c r="H553" s="52" t="s">
        <v>2122</v>
      </c>
      <c r="I553" s="114">
        <v>713450.6</v>
      </c>
      <c r="J553" s="52" t="s">
        <v>1864</v>
      </c>
      <c r="K553" s="165">
        <v>40199</v>
      </c>
      <c r="L553" s="52" t="s">
        <v>1640</v>
      </c>
      <c r="M553" s="165">
        <v>40217</v>
      </c>
      <c r="N553" s="202">
        <v>40219</v>
      </c>
      <c r="O553" s="201" t="s">
        <v>81</v>
      </c>
      <c r="P553" s="43" t="s">
        <v>506</v>
      </c>
      <c r="Q553" s="93">
        <v>40213</v>
      </c>
    </row>
    <row r="554" spans="1:17" s="31" customFormat="1" ht="242.25" hidden="1">
      <c r="A554" s="52" t="s">
        <v>1870</v>
      </c>
      <c r="B554" s="113" t="s">
        <v>1680</v>
      </c>
      <c r="C554" s="115" t="s">
        <v>2380</v>
      </c>
      <c r="D554" s="113" t="s">
        <v>1336</v>
      </c>
      <c r="E554" s="115">
        <v>4800002170</v>
      </c>
      <c r="F554" s="115" t="s">
        <v>1681</v>
      </c>
      <c r="G554" s="52" t="s">
        <v>1682</v>
      </c>
      <c r="H554" s="52" t="s">
        <v>2122</v>
      </c>
      <c r="I554" s="114">
        <v>252360.32000000001</v>
      </c>
      <c r="J554" s="52" t="s">
        <v>1864</v>
      </c>
      <c r="K554" s="165">
        <v>40199</v>
      </c>
      <c r="L554" s="52" t="s">
        <v>1640</v>
      </c>
      <c r="M554" s="165">
        <v>40217</v>
      </c>
      <c r="N554" s="202">
        <v>40219</v>
      </c>
      <c r="O554" s="201" t="s">
        <v>81</v>
      </c>
      <c r="P554" s="43" t="s">
        <v>506</v>
      </c>
      <c r="Q554" s="93">
        <v>40214</v>
      </c>
    </row>
    <row r="555" spans="1:17" s="31" customFormat="1" ht="140.25" hidden="1">
      <c r="A555" s="52" t="s">
        <v>1870</v>
      </c>
      <c r="B555" s="113" t="s">
        <v>2622</v>
      </c>
      <c r="C555" s="115" t="s">
        <v>2513</v>
      </c>
      <c r="D555" s="113" t="s">
        <v>521</v>
      </c>
      <c r="E555" s="115">
        <v>4600022757</v>
      </c>
      <c r="F555" s="115">
        <v>5001489466</v>
      </c>
      <c r="G555" s="52" t="s">
        <v>2623</v>
      </c>
      <c r="H555" s="52" t="s">
        <v>539</v>
      </c>
      <c r="I555" s="114">
        <v>106543.36</v>
      </c>
      <c r="J555" s="52" t="s">
        <v>1206</v>
      </c>
      <c r="K555" s="165">
        <v>40192</v>
      </c>
      <c r="L555" s="52" t="s">
        <v>2920</v>
      </c>
      <c r="M555" s="165">
        <v>40219</v>
      </c>
      <c r="N555" s="202">
        <v>40223</v>
      </c>
      <c r="O555" s="32" t="s">
        <v>2112</v>
      </c>
      <c r="P555" s="43" t="s">
        <v>506</v>
      </c>
      <c r="Q555" s="93">
        <v>40214</v>
      </c>
    </row>
    <row r="556" spans="1:17" s="31" customFormat="1" ht="76.5" hidden="1">
      <c r="A556" s="52" t="s">
        <v>1870</v>
      </c>
      <c r="B556" s="113" t="s">
        <v>1369</v>
      </c>
      <c r="C556" s="115" t="s">
        <v>2513</v>
      </c>
      <c r="D556" s="113" t="s">
        <v>521</v>
      </c>
      <c r="E556" s="115" t="s">
        <v>1370</v>
      </c>
      <c r="F556" s="115" t="s">
        <v>1371</v>
      </c>
      <c r="G556" s="52" t="s">
        <v>1372</v>
      </c>
      <c r="H556" s="52" t="s">
        <v>1008</v>
      </c>
      <c r="I556" s="114">
        <v>37309.4</v>
      </c>
      <c r="J556" s="52" t="s">
        <v>1864</v>
      </c>
      <c r="K556" s="165">
        <v>40206</v>
      </c>
      <c r="L556" s="52" t="s">
        <v>2920</v>
      </c>
      <c r="M556" s="165">
        <v>40234</v>
      </c>
      <c r="N556" s="202">
        <v>40237</v>
      </c>
      <c r="O556" s="32" t="s">
        <v>2690</v>
      </c>
      <c r="P556" s="43" t="s">
        <v>506</v>
      </c>
      <c r="Q556" s="93">
        <v>40214</v>
      </c>
    </row>
    <row r="557" spans="1:17" s="31" customFormat="1" ht="216.75" hidden="1">
      <c r="A557" s="52" t="s">
        <v>1870</v>
      </c>
      <c r="B557" s="113" t="s">
        <v>1452</v>
      </c>
      <c r="C557" s="115" t="s">
        <v>2380</v>
      </c>
      <c r="D557" s="113" t="s">
        <v>1336</v>
      </c>
      <c r="E557" s="115">
        <v>4800002169</v>
      </c>
      <c r="F557" s="115" t="s">
        <v>1678</v>
      </c>
      <c r="G557" s="52" t="s">
        <v>1679</v>
      </c>
      <c r="H557" s="52" t="s">
        <v>1008</v>
      </c>
      <c r="I557" s="114">
        <v>629426.6</v>
      </c>
      <c r="J557" s="52" t="s">
        <v>1864</v>
      </c>
      <c r="K557" s="165">
        <v>40206</v>
      </c>
      <c r="L557" s="52" t="s">
        <v>1640</v>
      </c>
      <c r="M557" s="165">
        <v>40224</v>
      </c>
      <c r="N557" s="202">
        <v>40226</v>
      </c>
      <c r="O557" s="201" t="s">
        <v>590</v>
      </c>
      <c r="P557" s="43" t="s">
        <v>506</v>
      </c>
      <c r="Q557" s="93">
        <v>40221</v>
      </c>
    </row>
    <row r="558" spans="1:17" s="31" customFormat="1" ht="357" hidden="1">
      <c r="A558" s="52" t="s">
        <v>1870</v>
      </c>
      <c r="B558" s="113" t="s">
        <v>1127</v>
      </c>
      <c r="C558" s="115" t="s">
        <v>1124</v>
      </c>
      <c r="D558" s="113" t="s">
        <v>775</v>
      </c>
      <c r="E558" s="115">
        <v>4600022824</v>
      </c>
      <c r="F558" s="115" t="s">
        <v>1128</v>
      </c>
      <c r="G558" s="52" t="s">
        <v>2060</v>
      </c>
      <c r="H558" s="52" t="s">
        <v>1008</v>
      </c>
      <c r="I558" s="114">
        <v>379743.6</v>
      </c>
      <c r="J558" s="52" t="s">
        <v>1864</v>
      </c>
      <c r="K558" s="165">
        <v>40206</v>
      </c>
      <c r="L558" s="52" t="s">
        <v>577</v>
      </c>
      <c r="M558" s="165">
        <v>40218</v>
      </c>
      <c r="N558" s="199">
        <v>40220</v>
      </c>
      <c r="O558" s="172" t="s">
        <v>18</v>
      </c>
      <c r="P558" s="43" t="s">
        <v>506</v>
      </c>
      <c r="Q558" s="93">
        <v>40221</v>
      </c>
    </row>
    <row r="559" spans="1:17" s="31" customFormat="1" ht="153" hidden="1">
      <c r="A559" s="52" t="s">
        <v>1870</v>
      </c>
      <c r="B559" s="113" t="s">
        <v>2449</v>
      </c>
      <c r="C559" s="115" t="s">
        <v>2266</v>
      </c>
      <c r="D559" s="113" t="s">
        <v>1197</v>
      </c>
      <c r="E559" s="115">
        <v>4600022584</v>
      </c>
      <c r="F559" s="115" t="s">
        <v>2450</v>
      </c>
      <c r="G559" s="52" t="s">
        <v>2451</v>
      </c>
      <c r="H559" s="52" t="s">
        <v>1772</v>
      </c>
      <c r="I559" s="114">
        <v>142058.28</v>
      </c>
      <c r="J559" s="52" t="s">
        <v>1864</v>
      </c>
      <c r="K559" s="165">
        <v>40220</v>
      </c>
      <c r="L559" s="52" t="s">
        <v>2614</v>
      </c>
      <c r="M559" s="165">
        <v>40226</v>
      </c>
      <c r="N559" s="199">
        <v>40230</v>
      </c>
      <c r="O559" s="32" t="s">
        <v>1027</v>
      </c>
      <c r="P559" s="43" t="s">
        <v>506</v>
      </c>
      <c r="Q559" s="93">
        <v>40228</v>
      </c>
    </row>
    <row r="560" spans="1:17" s="31" customFormat="1" ht="114.75" hidden="1">
      <c r="A560" s="52" t="s">
        <v>1870</v>
      </c>
      <c r="B560" s="113" t="s">
        <v>884</v>
      </c>
      <c r="C560" s="115" t="s">
        <v>2513</v>
      </c>
      <c r="D560" s="113" t="s">
        <v>521</v>
      </c>
      <c r="E560" s="115">
        <v>4600023503</v>
      </c>
      <c r="F560" s="115">
        <v>5001504464</v>
      </c>
      <c r="G560" s="52" t="s">
        <v>885</v>
      </c>
      <c r="H560" s="52" t="s">
        <v>1008</v>
      </c>
      <c r="I560" s="114">
        <v>53376.480000000003</v>
      </c>
      <c r="J560" s="52" t="s">
        <v>1206</v>
      </c>
      <c r="K560" s="165">
        <v>40206</v>
      </c>
      <c r="L560" s="52" t="s">
        <v>2920</v>
      </c>
      <c r="M560" s="165">
        <v>40234</v>
      </c>
      <c r="N560" s="202">
        <v>40237</v>
      </c>
      <c r="O560" s="32" t="s">
        <v>927</v>
      </c>
      <c r="P560" s="43" t="s">
        <v>506</v>
      </c>
      <c r="Q560" s="93">
        <v>40221</v>
      </c>
    </row>
    <row r="561" spans="1:17" s="31" customFormat="1" ht="242.25" hidden="1">
      <c r="A561" s="52" t="s">
        <v>1870</v>
      </c>
      <c r="B561" s="113" t="s">
        <v>1978</v>
      </c>
      <c r="C561" s="115" t="s">
        <v>2266</v>
      </c>
      <c r="D561" s="113" t="s">
        <v>521</v>
      </c>
      <c r="E561" s="115">
        <v>4600023127</v>
      </c>
      <c r="F561" s="115">
        <v>4300304439</v>
      </c>
      <c r="G561" s="52" t="s">
        <v>1979</v>
      </c>
      <c r="H561" s="52" t="s">
        <v>1008</v>
      </c>
      <c r="I561" s="114">
        <v>54645.97</v>
      </c>
      <c r="J561" s="52" t="s">
        <v>1864</v>
      </c>
      <c r="K561" s="165">
        <v>40206</v>
      </c>
      <c r="L561" s="52" t="s">
        <v>2614</v>
      </c>
      <c r="M561" s="165">
        <v>40213</v>
      </c>
      <c r="N561" s="202">
        <v>40217</v>
      </c>
      <c r="O561" s="32" t="s">
        <v>1549</v>
      </c>
      <c r="P561" s="41" t="s">
        <v>1080</v>
      </c>
      <c r="Q561" s="93">
        <v>40228</v>
      </c>
    </row>
    <row r="562" spans="1:17" s="31" customFormat="1" ht="127.5" hidden="1">
      <c r="A562" s="52" t="s">
        <v>1870</v>
      </c>
      <c r="B562" s="113" t="s">
        <v>37</v>
      </c>
      <c r="C562" s="115" t="s">
        <v>2125</v>
      </c>
      <c r="D562" s="113" t="s">
        <v>2815</v>
      </c>
      <c r="E562" s="115">
        <v>4600023301</v>
      </c>
      <c r="F562" s="115" t="s">
        <v>38</v>
      </c>
      <c r="G562" s="52" t="s">
        <v>183</v>
      </c>
      <c r="H562" s="52" t="s">
        <v>540</v>
      </c>
      <c r="I562" s="114">
        <v>19514.88</v>
      </c>
      <c r="J562" s="52" t="s">
        <v>1864</v>
      </c>
      <c r="K562" s="165">
        <v>40210</v>
      </c>
      <c r="L562" s="52"/>
      <c r="M562" s="52"/>
      <c r="N562" s="197" t="s">
        <v>2613</v>
      </c>
      <c r="O562" s="32" t="s">
        <v>2008</v>
      </c>
      <c r="P562" s="43" t="s">
        <v>506</v>
      </c>
      <c r="Q562" s="93">
        <v>40221</v>
      </c>
    </row>
    <row r="563" spans="1:17" s="31" customFormat="1" ht="76.5" hidden="1">
      <c r="A563" s="52" t="s">
        <v>1870</v>
      </c>
      <c r="B563" s="113" t="s">
        <v>2215</v>
      </c>
      <c r="C563" s="115" t="s">
        <v>2513</v>
      </c>
      <c r="D563" s="113" t="s">
        <v>521</v>
      </c>
      <c r="E563" s="115" t="s">
        <v>2216</v>
      </c>
      <c r="F563" s="115" t="s">
        <v>2217</v>
      </c>
      <c r="G563" s="52">
        <v>562499707</v>
      </c>
      <c r="H563" s="52" t="s">
        <v>1984</v>
      </c>
      <c r="I563" s="114">
        <v>64597.2</v>
      </c>
      <c r="J563" s="52" t="s">
        <v>1864</v>
      </c>
      <c r="K563" s="165">
        <v>40213</v>
      </c>
      <c r="L563" s="52" t="s">
        <v>2920</v>
      </c>
      <c r="M563" s="165">
        <v>40238</v>
      </c>
      <c r="N563" s="199">
        <v>40241</v>
      </c>
      <c r="O563" s="32" t="s">
        <v>1918</v>
      </c>
      <c r="P563" s="41" t="s">
        <v>1080</v>
      </c>
      <c r="Q563" s="93">
        <v>40228</v>
      </c>
    </row>
    <row r="564" spans="1:17" s="31" customFormat="1" ht="255" hidden="1">
      <c r="A564" s="52" t="s">
        <v>1870</v>
      </c>
      <c r="B564" s="113" t="s">
        <v>2218</v>
      </c>
      <c r="C564" s="115" t="s">
        <v>2513</v>
      </c>
      <c r="D564" s="113" t="s">
        <v>521</v>
      </c>
      <c r="E564" s="115" t="s">
        <v>2219</v>
      </c>
      <c r="F564" s="115" t="s">
        <v>2220</v>
      </c>
      <c r="G564" s="52">
        <v>562499769</v>
      </c>
      <c r="H564" s="52" t="s">
        <v>1984</v>
      </c>
      <c r="I564" s="114">
        <v>43998.6</v>
      </c>
      <c r="J564" s="52" t="s">
        <v>1864</v>
      </c>
      <c r="K564" s="165">
        <v>40213</v>
      </c>
      <c r="L564" s="52" t="s">
        <v>2920</v>
      </c>
      <c r="M564" s="165">
        <v>40238</v>
      </c>
      <c r="N564" s="202">
        <v>40241</v>
      </c>
      <c r="O564" s="32" t="s">
        <v>85</v>
      </c>
      <c r="P564" s="41" t="s">
        <v>1080</v>
      </c>
      <c r="Q564" s="93">
        <v>40228</v>
      </c>
    </row>
    <row r="565" spans="1:17" s="31" customFormat="1" ht="114.75" hidden="1">
      <c r="A565" s="52" t="s">
        <v>1870</v>
      </c>
      <c r="B565" s="113" t="s">
        <v>592</v>
      </c>
      <c r="C565" s="115" t="s">
        <v>2513</v>
      </c>
      <c r="D565" s="113" t="s">
        <v>521</v>
      </c>
      <c r="E565" s="115">
        <v>4600023574</v>
      </c>
      <c r="F565" s="115">
        <v>5001508699</v>
      </c>
      <c r="G565" s="52" t="s">
        <v>593</v>
      </c>
      <c r="H565" s="52" t="s">
        <v>1984</v>
      </c>
      <c r="I565" s="114">
        <v>17408</v>
      </c>
      <c r="J565" s="52" t="s">
        <v>1864</v>
      </c>
      <c r="K565" s="165">
        <v>40213</v>
      </c>
      <c r="L565" s="52" t="s">
        <v>2920</v>
      </c>
      <c r="M565" s="165">
        <v>40238</v>
      </c>
      <c r="N565" s="202">
        <v>40241</v>
      </c>
      <c r="O565" s="215" t="s">
        <v>696</v>
      </c>
      <c r="P565" s="43" t="s">
        <v>506</v>
      </c>
      <c r="Q565" s="93">
        <v>40228</v>
      </c>
    </row>
    <row r="566" spans="1:17" s="31" customFormat="1" ht="89.25" hidden="1">
      <c r="A566" s="52" t="s">
        <v>1870</v>
      </c>
      <c r="B566" s="113" t="s">
        <v>598</v>
      </c>
      <c r="C566" s="115" t="s">
        <v>2513</v>
      </c>
      <c r="D566" s="113" t="s">
        <v>521</v>
      </c>
      <c r="E566" s="115">
        <v>4600023331</v>
      </c>
      <c r="F566" s="115">
        <v>5001509519</v>
      </c>
      <c r="G566" s="52">
        <v>562499780</v>
      </c>
      <c r="H566" s="52" t="s">
        <v>1772</v>
      </c>
      <c r="I566" s="114">
        <v>67412.88</v>
      </c>
      <c r="J566" s="52" t="s">
        <v>1864</v>
      </c>
      <c r="K566" s="165">
        <v>40220</v>
      </c>
      <c r="L566" s="52" t="s">
        <v>2920</v>
      </c>
      <c r="M566" s="165">
        <v>40245</v>
      </c>
      <c r="N566" s="202">
        <v>40248</v>
      </c>
      <c r="O566" s="215" t="s">
        <v>1292</v>
      </c>
      <c r="P566" s="43" t="s">
        <v>506</v>
      </c>
      <c r="Q566" s="93">
        <v>40228</v>
      </c>
    </row>
    <row r="567" spans="1:17" s="31" customFormat="1" ht="127.5" hidden="1">
      <c r="A567" s="52" t="s">
        <v>1870</v>
      </c>
      <c r="B567" s="113" t="s">
        <v>2814</v>
      </c>
      <c r="C567" s="115" t="s">
        <v>2125</v>
      </c>
      <c r="D567" s="113" t="s">
        <v>2815</v>
      </c>
      <c r="E567" s="115" t="s">
        <v>2816</v>
      </c>
      <c r="F567" s="115" t="s">
        <v>2817</v>
      </c>
      <c r="G567" s="52" t="s">
        <v>2818</v>
      </c>
      <c r="H567" s="52" t="s">
        <v>2819</v>
      </c>
      <c r="I567" s="114">
        <v>10644</v>
      </c>
      <c r="J567" s="52" t="s">
        <v>1864</v>
      </c>
      <c r="K567" s="165">
        <v>40218</v>
      </c>
      <c r="L567" s="52"/>
      <c r="M567" s="165"/>
      <c r="N567" s="202" t="s">
        <v>2613</v>
      </c>
      <c r="O567" s="32" t="s">
        <v>1692</v>
      </c>
      <c r="P567" s="43" t="s">
        <v>506</v>
      </c>
      <c r="Q567" s="93">
        <v>40231</v>
      </c>
    </row>
    <row r="568" spans="1:17" s="31" customFormat="1" ht="127.5" hidden="1">
      <c r="A568" s="52" t="s">
        <v>1870</v>
      </c>
      <c r="B568" s="113" t="s">
        <v>28</v>
      </c>
      <c r="C568" s="115" t="s">
        <v>2513</v>
      </c>
      <c r="D568" s="113" t="s">
        <v>521</v>
      </c>
      <c r="E568" s="115">
        <v>4600023331</v>
      </c>
      <c r="F568" s="115" t="s">
        <v>29</v>
      </c>
      <c r="G568" s="52">
        <v>562499777</v>
      </c>
      <c r="H568" s="52" t="s">
        <v>1772</v>
      </c>
      <c r="I568" s="114">
        <v>137685.54</v>
      </c>
      <c r="J568" s="52" t="s">
        <v>1864</v>
      </c>
      <c r="K568" s="165">
        <v>40220</v>
      </c>
      <c r="L568" s="52" t="s">
        <v>2920</v>
      </c>
      <c r="M568" s="165">
        <v>40245</v>
      </c>
      <c r="N568" s="199">
        <v>40248</v>
      </c>
      <c r="O568" s="216" t="s">
        <v>1555</v>
      </c>
      <c r="P568" s="40" t="s">
        <v>980</v>
      </c>
      <c r="Q568" s="93">
        <v>40232</v>
      </c>
    </row>
    <row r="569" spans="1:17" s="31" customFormat="1" ht="127.5" hidden="1">
      <c r="A569" s="52" t="s">
        <v>1870</v>
      </c>
      <c r="B569" s="113" t="s">
        <v>2747</v>
      </c>
      <c r="C569" s="115" t="s">
        <v>1124</v>
      </c>
      <c r="D569" s="113" t="s">
        <v>2952</v>
      </c>
      <c r="E569" s="115">
        <v>4800002304</v>
      </c>
      <c r="F569" s="115" t="s">
        <v>2748</v>
      </c>
      <c r="G569" s="52" t="s">
        <v>2749</v>
      </c>
      <c r="H569" s="52" t="s">
        <v>620</v>
      </c>
      <c r="I569" s="114">
        <v>316521.49</v>
      </c>
      <c r="J569" s="52" t="s">
        <v>1864</v>
      </c>
      <c r="K569" s="165"/>
      <c r="L569" s="52"/>
      <c r="M569" s="165"/>
      <c r="N569" s="202"/>
      <c r="O569" s="215" t="s">
        <v>2537</v>
      </c>
      <c r="P569" s="52"/>
      <c r="Q569" s="49"/>
    </row>
    <row r="570" spans="1:17" s="31" customFormat="1" ht="165.75" hidden="1">
      <c r="A570" s="52" t="s">
        <v>1870</v>
      </c>
      <c r="B570" s="113" t="s">
        <v>40</v>
      </c>
      <c r="C570" s="115" t="s">
        <v>1863</v>
      </c>
      <c r="D570" s="113" t="s">
        <v>53</v>
      </c>
      <c r="E570" s="115">
        <v>4600023022</v>
      </c>
      <c r="F570" s="115" t="s">
        <v>41</v>
      </c>
      <c r="G570" s="52" t="s">
        <v>42</v>
      </c>
      <c r="H570" s="52" t="s">
        <v>43</v>
      </c>
      <c r="I570" s="114">
        <v>498851.69</v>
      </c>
      <c r="J570" s="52" t="s">
        <v>1864</v>
      </c>
      <c r="K570" s="165">
        <v>40224</v>
      </c>
      <c r="L570" s="52" t="s">
        <v>577</v>
      </c>
      <c r="M570" s="165">
        <v>40234</v>
      </c>
      <c r="N570" s="202">
        <v>40239</v>
      </c>
      <c r="O570" s="32" t="s">
        <v>1622</v>
      </c>
      <c r="P570" s="43" t="s">
        <v>506</v>
      </c>
      <c r="Q570" s="93">
        <v>40232</v>
      </c>
    </row>
    <row r="571" spans="1:17" s="31" customFormat="1" ht="165.75" hidden="1">
      <c r="A571" s="52" t="s">
        <v>1870</v>
      </c>
      <c r="B571" s="113" t="s">
        <v>594</v>
      </c>
      <c r="C571" s="115" t="s">
        <v>2513</v>
      </c>
      <c r="D571" s="113" t="s">
        <v>521</v>
      </c>
      <c r="E571" s="115" t="s">
        <v>595</v>
      </c>
      <c r="F571" s="115" t="s">
        <v>596</v>
      </c>
      <c r="G571" s="52" t="s">
        <v>597</v>
      </c>
      <c r="H571" s="52" t="s">
        <v>1984</v>
      </c>
      <c r="I571" s="114">
        <v>52747.12</v>
      </c>
      <c r="J571" s="52" t="s">
        <v>1206</v>
      </c>
      <c r="K571" s="165">
        <v>40213</v>
      </c>
      <c r="L571" s="52" t="s">
        <v>2920</v>
      </c>
      <c r="M571" s="165">
        <v>40238</v>
      </c>
      <c r="N571" s="202">
        <v>40241</v>
      </c>
      <c r="O571" s="214" t="s">
        <v>1647</v>
      </c>
      <c r="P571" s="40" t="s">
        <v>980</v>
      </c>
      <c r="Q571" s="93">
        <v>40234</v>
      </c>
    </row>
    <row r="572" spans="1:17" s="31" customFormat="1" ht="127.5" hidden="1">
      <c r="A572" s="52" t="s">
        <v>1870</v>
      </c>
      <c r="B572" s="113" t="s">
        <v>2109</v>
      </c>
      <c r="C572" s="115" t="s">
        <v>2266</v>
      </c>
      <c r="D572" s="113" t="s">
        <v>521</v>
      </c>
      <c r="E572" s="115">
        <v>4600023346</v>
      </c>
      <c r="F572" s="115">
        <v>4300306898</v>
      </c>
      <c r="G572" s="52" t="s">
        <v>2110</v>
      </c>
      <c r="H572" s="52" t="s">
        <v>2728</v>
      </c>
      <c r="I572" s="114">
        <v>54645.97</v>
      </c>
      <c r="J572" s="52" t="s">
        <v>1864</v>
      </c>
      <c r="K572" s="165">
        <v>40227</v>
      </c>
      <c r="L572" s="52" t="s">
        <v>2614</v>
      </c>
      <c r="M572" s="165">
        <v>40234</v>
      </c>
      <c r="N572" s="202">
        <v>40237</v>
      </c>
      <c r="O572" s="32" t="s">
        <v>2029</v>
      </c>
      <c r="P572" s="41" t="s">
        <v>1080</v>
      </c>
      <c r="Q572" s="93">
        <v>40240</v>
      </c>
    </row>
    <row r="573" spans="1:17" s="31" customFormat="1" ht="76.5" hidden="1">
      <c r="A573" s="52" t="s">
        <v>1870</v>
      </c>
      <c r="B573" s="113" t="s">
        <v>599</v>
      </c>
      <c r="C573" s="115" t="s">
        <v>2513</v>
      </c>
      <c r="D573" s="113" t="s">
        <v>521</v>
      </c>
      <c r="E573" s="115">
        <v>4600023504</v>
      </c>
      <c r="F573" s="115">
        <v>5001515087</v>
      </c>
      <c r="G573" s="52" t="s">
        <v>600</v>
      </c>
      <c r="H573" s="52" t="s">
        <v>1772</v>
      </c>
      <c r="I573" s="114">
        <v>46506.239999999998</v>
      </c>
      <c r="J573" s="52" t="s">
        <v>1864</v>
      </c>
      <c r="K573" s="165">
        <v>40220</v>
      </c>
      <c r="L573" s="52" t="s">
        <v>2920</v>
      </c>
      <c r="M573" s="165">
        <v>40245</v>
      </c>
      <c r="N573" s="202">
        <v>40248</v>
      </c>
      <c r="O573" s="39" t="s">
        <v>639</v>
      </c>
      <c r="P573" s="43" t="s">
        <v>506</v>
      </c>
      <c r="Q573" s="93">
        <v>40234</v>
      </c>
    </row>
    <row r="574" spans="1:17" s="31" customFormat="1" ht="153" hidden="1">
      <c r="A574" s="52" t="s">
        <v>1870</v>
      </c>
      <c r="B574" s="113" t="s">
        <v>605</v>
      </c>
      <c r="C574" s="115" t="s">
        <v>2513</v>
      </c>
      <c r="D574" s="113" t="s">
        <v>521</v>
      </c>
      <c r="E574" s="115" t="s">
        <v>1019</v>
      </c>
      <c r="F574" s="115" t="s">
        <v>365</v>
      </c>
      <c r="G574" s="52" t="s">
        <v>366</v>
      </c>
      <c r="H574" s="52" t="s">
        <v>1772</v>
      </c>
      <c r="I574" s="114">
        <v>26731.84</v>
      </c>
      <c r="J574" s="52" t="s">
        <v>1864</v>
      </c>
      <c r="K574" s="165">
        <v>40220</v>
      </c>
      <c r="L574" s="52" t="s">
        <v>2920</v>
      </c>
      <c r="M574" s="165">
        <v>40245</v>
      </c>
      <c r="N574" s="202">
        <v>40248</v>
      </c>
      <c r="O574" s="215" t="s">
        <v>1937</v>
      </c>
      <c r="P574" s="43" t="s">
        <v>506</v>
      </c>
      <c r="Q574" s="93">
        <v>40238</v>
      </c>
    </row>
    <row r="575" spans="1:17" s="31" customFormat="1" ht="165.75" hidden="1">
      <c r="A575" s="52" t="s">
        <v>1870</v>
      </c>
      <c r="B575" s="113" t="s">
        <v>333</v>
      </c>
      <c r="C575" s="115" t="s">
        <v>2513</v>
      </c>
      <c r="D575" s="113" t="s">
        <v>521</v>
      </c>
      <c r="E575" s="115">
        <v>4600023895</v>
      </c>
      <c r="F575" s="115" t="s">
        <v>334</v>
      </c>
      <c r="G575" s="52">
        <v>859326328</v>
      </c>
      <c r="H575" s="52" t="s">
        <v>2728</v>
      </c>
      <c r="I575" s="114">
        <v>31415.040000000001</v>
      </c>
      <c r="J575" s="52" t="s">
        <v>1864</v>
      </c>
      <c r="K575" s="165">
        <v>40227</v>
      </c>
      <c r="L575" s="52" t="s">
        <v>2920</v>
      </c>
      <c r="M575" s="165">
        <v>40252</v>
      </c>
      <c r="N575" s="199">
        <v>40257</v>
      </c>
      <c r="O575" s="39" t="s">
        <v>1337</v>
      </c>
      <c r="P575" s="40" t="s">
        <v>980</v>
      </c>
      <c r="Q575" s="93">
        <v>40235</v>
      </c>
    </row>
    <row r="576" spans="1:17" s="31" customFormat="1" ht="178.5" hidden="1">
      <c r="A576" s="52" t="s">
        <v>1870</v>
      </c>
      <c r="B576" s="113" t="s">
        <v>1738</v>
      </c>
      <c r="C576" s="115" t="s">
        <v>2513</v>
      </c>
      <c r="D576" s="113" t="s">
        <v>521</v>
      </c>
      <c r="E576" s="115">
        <v>4600023331</v>
      </c>
      <c r="F576" s="115" t="s">
        <v>1242</v>
      </c>
      <c r="G576" s="52">
        <v>562499784</v>
      </c>
      <c r="H576" s="52" t="s">
        <v>2728</v>
      </c>
      <c r="I576" s="114">
        <v>298351.3</v>
      </c>
      <c r="J576" s="52" t="s">
        <v>1864</v>
      </c>
      <c r="K576" s="165">
        <v>40227</v>
      </c>
      <c r="L576" s="52" t="s">
        <v>2920</v>
      </c>
      <c r="M576" s="165">
        <v>40252</v>
      </c>
      <c r="N576" s="202">
        <v>40258</v>
      </c>
      <c r="O576" s="215" t="s">
        <v>1590</v>
      </c>
      <c r="P576" s="43" t="s">
        <v>506</v>
      </c>
      <c r="Q576" s="93">
        <v>40239</v>
      </c>
    </row>
    <row r="577" spans="1:17" s="31" customFormat="1" ht="191.25" hidden="1">
      <c r="A577" s="52" t="s">
        <v>1870</v>
      </c>
      <c r="B577" s="113" t="s">
        <v>748</v>
      </c>
      <c r="C577" s="115" t="s">
        <v>2513</v>
      </c>
      <c r="D577" s="113" t="s">
        <v>521</v>
      </c>
      <c r="E577" s="115" t="s">
        <v>749</v>
      </c>
      <c r="F577" s="115" t="s">
        <v>750</v>
      </c>
      <c r="G577" s="52">
        <v>562499814</v>
      </c>
      <c r="H577" s="52" t="s">
        <v>2728</v>
      </c>
      <c r="I577" s="114">
        <v>96895.8</v>
      </c>
      <c r="J577" s="52" t="s">
        <v>1864</v>
      </c>
      <c r="K577" s="165">
        <v>40227</v>
      </c>
      <c r="L577" s="52" t="s">
        <v>2920</v>
      </c>
      <c r="M577" s="165">
        <v>40252</v>
      </c>
      <c r="N577" s="202">
        <v>40258</v>
      </c>
      <c r="O577" s="39" t="s">
        <v>452</v>
      </c>
      <c r="P577" s="40" t="s">
        <v>980</v>
      </c>
      <c r="Q577" s="93">
        <v>40239</v>
      </c>
    </row>
    <row r="578" spans="1:17" s="31" customFormat="1" ht="63.75" hidden="1">
      <c r="A578" s="52" t="s">
        <v>1870</v>
      </c>
      <c r="B578" s="113" t="s">
        <v>19</v>
      </c>
      <c r="C578" s="115" t="s">
        <v>2513</v>
      </c>
      <c r="D578" s="113" t="s">
        <v>521</v>
      </c>
      <c r="E578" s="115">
        <v>4600023992</v>
      </c>
      <c r="F578" s="115">
        <v>5001508812</v>
      </c>
      <c r="G578" s="52">
        <v>562499783</v>
      </c>
      <c r="H578" s="52" t="s">
        <v>1772</v>
      </c>
      <c r="I578" s="114">
        <v>11700</v>
      </c>
      <c r="J578" s="52" t="s">
        <v>1864</v>
      </c>
      <c r="K578" s="165">
        <v>40220</v>
      </c>
      <c r="L578" s="52" t="s">
        <v>2920</v>
      </c>
      <c r="M578" s="165">
        <v>40247</v>
      </c>
      <c r="N578" s="199">
        <v>40252</v>
      </c>
      <c r="O578" s="39" t="s">
        <v>1784</v>
      </c>
      <c r="P578" s="40" t="s">
        <v>980</v>
      </c>
      <c r="Q578" s="93">
        <v>40235</v>
      </c>
    </row>
    <row r="579" spans="1:17" s="31" customFormat="1" ht="89.25" hidden="1">
      <c r="A579" s="52" t="s">
        <v>1870</v>
      </c>
      <c r="B579" s="113" t="s">
        <v>1786</v>
      </c>
      <c r="C579" s="115" t="s">
        <v>2513</v>
      </c>
      <c r="D579" s="113" t="s">
        <v>521</v>
      </c>
      <c r="E579" s="115">
        <v>4600023986</v>
      </c>
      <c r="F579" s="115">
        <v>5001528965</v>
      </c>
      <c r="G579" s="52" t="s">
        <v>1787</v>
      </c>
      <c r="H579" s="52" t="s">
        <v>2169</v>
      </c>
      <c r="I579" s="114">
        <v>99500.75</v>
      </c>
      <c r="J579" s="52" t="s">
        <v>1864</v>
      </c>
      <c r="K579" s="165">
        <v>40235</v>
      </c>
      <c r="L579" s="52" t="s">
        <v>2920</v>
      </c>
      <c r="M579" s="165">
        <v>40261</v>
      </c>
      <c r="N579" s="199">
        <v>40264</v>
      </c>
      <c r="O579" s="39" t="s">
        <v>2894</v>
      </c>
      <c r="P579" s="43" t="s">
        <v>506</v>
      </c>
      <c r="Q579" s="93">
        <v>40241</v>
      </c>
    </row>
    <row r="580" spans="1:17" s="31" customFormat="1" ht="63.75" hidden="1">
      <c r="A580" s="52" t="s">
        <v>1870</v>
      </c>
      <c r="B580" s="113" t="s">
        <v>751</v>
      </c>
      <c r="C580" s="115" t="s">
        <v>2513</v>
      </c>
      <c r="D580" s="113" t="s">
        <v>521</v>
      </c>
      <c r="E580" s="115" t="s">
        <v>752</v>
      </c>
      <c r="F580" s="115" t="s">
        <v>753</v>
      </c>
      <c r="G580" s="52" t="s">
        <v>754</v>
      </c>
      <c r="H580" s="52" t="s">
        <v>2728</v>
      </c>
      <c r="I580" s="114">
        <v>16914.72</v>
      </c>
      <c r="J580" s="52" t="s">
        <v>1864</v>
      </c>
      <c r="K580" s="165">
        <v>40227</v>
      </c>
      <c r="L580" s="52" t="s">
        <v>2920</v>
      </c>
      <c r="M580" s="165">
        <v>40253</v>
      </c>
      <c r="N580" s="202">
        <v>40256</v>
      </c>
      <c r="O580" s="39" t="s">
        <v>2661</v>
      </c>
      <c r="P580" s="43" t="s">
        <v>506</v>
      </c>
      <c r="Q580" s="93">
        <v>40241</v>
      </c>
    </row>
    <row r="581" spans="1:17" s="31" customFormat="1" ht="303.75" hidden="1" customHeight="1">
      <c r="A581" s="52" t="s">
        <v>1870</v>
      </c>
      <c r="B581" s="113" t="s">
        <v>1819</v>
      </c>
      <c r="C581" s="115" t="s">
        <v>704</v>
      </c>
      <c r="D581" s="113" t="s">
        <v>1750</v>
      </c>
      <c r="E581" s="115">
        <v>4600023323</v>
      </c>
      <c r="F581" s="115" t="s">
        <v>1820</v>
      </c>
      <c r="G581" s="52" t="s">
        <v>2111</v>
      </c>
      <c r="H581" s="52" t="s">
        <v>2117</v>
      </c>
      <c r="I581" s="114">
        <v>31320</v>
      </c>
      <c r="J581" s="52" t="s">
        <v>1864</v>
      </c>
      <c r="K581" s="165">
        <v>40229</v>
      </c>
      <c r="L581" s="52" t="s">
        <v>2476</v>
      </c>
      <c r="M581" s="165">
        <v>40253</v>
      </c>
      <c r="N581" s="202">
        <v>40257</v>
      </c>
      <c r="O581" s="32" t="s">
        <v>2234</v>
      </c>
      <c r="P581" s="41" t="s">
        <v>1080</v>
      </c>
      <c r="Q581" s="93">
        <v>40242</v>
      </c>
    </row>
    <row r="582" spans="1:17" s="31" customFormat="1" ht="242.25" hidden="1">
      <c r="A582" s="52" t="s">
        <v>1870</v>
      </c>
      <c r="B582" s="113" t="s">
        <v>1686</v>
      </c>
      <c r="C582" s="115" t="s">
        <v>1793</v>
      </c>
      <c r="D582" s="113" t="s">
        <v>1197</v>
      </c>
      <c r="E582" s="115">
        <v>4600022548</v>
      </c>
      <c r="F582" s="115">
        <v>40175332</v>
      </c>
      <c r="G582" s="52">
        <v>6394449941</v>
      </c>
      <c r="H582" s="52" t="s">
        <v>2728</v>
      </c>
      <c r="I582" s="114">
        <v>34140.93</v>
      </c>
      <c r="J582" s="52" t="s">
        <v>1864</v>
      </c>
      <c r="K582" s="165">
        <v>40227</v>
      </c>
      <c r="L582" s="52"/>
      <c r="M582" s="52"/>
      <c r="N582" s="195" t="s">
        <v>2613</v>
      </c>
      <c r="O582" s="32" t="s">
        <v>2272</v>
      </c>
      <c r="P582" s="43" t="s">
        <v>506</v>
      </c>
      <c r="Q582" s="93">
        <v>40242</v>
      </c>
    </row>
    <row r="583" spans="1:17" s="31" customFormat="1" ht="165.75" hidden="1">
      <c r="A583" s="52" t="s">
        <v>1870</v>
      </c>
      <c r="B583" s="113" t="s">
        <v>367</v>
      </c>
      <c r="C583" s="115" t="s">
        <v>2513</v>
      </c>
      <c r="D583" s="113" t="s">
        <v>521</v>
      </c>
      <c r="E583" s="115">
        <v>4600023783</v>
      </c>
      <c r="F583" s="115">
        <v>5001515089</v>
      </c>
      <c r="G583" s="52" t="s">
        <v>368</v>
      </c>
      <c r="H583" s="52" t="s">
        <v>1772</v>
      </c>
      <c r="I583" s="114">
        <v>53080.87</v>
      </c>
      <c r="J583" s="52" t="s">
        <v>1864</v>
      </c>
      <c r="K583" s="165">
        <v>40220</v>
      </c>
      <c r="L583" s="52" t="s">
        <v>2920</v>
      </c>
      <c r="M583" s="165">
        <v>40245</v>
      </c>
      <c r="N583" s="202">
        <v>40248</v>
      </c>
      <c r="O583" s="215" t="s">
        <v>1591</v>
      </c>
      <c r="P583" s="43" t="s">
        <v>506</v>
      </c>
      <c r="Q583" s="93">
        <v>40242</v>
      </c>
    </row>
    <row r="584" spans="1:17" s="31" customFormat="1" ht="127.5" hidden="1">
      <c r="A584" s="52" t="s">
        <v>1870</v>
      </c>
      <c r="B584" s="113" t="s">
        <v>184</v>
      </c>
      <c r="C584" s="115" t="s">
        <v>1120</v>
      </c>
      <c r="D584" s="113" t="s">
        <v>521</v>
      </c>
      <c r="E584" s="115">
        <v>4600023987</v>
      </c>
      <c r="F584" s="115">
        <v>100122006</v>
      </c>
      <c r="G584" s="52">
        <v>614609682</v>
      </c>
      <c r="H584" s="52" t="s">
        <v>2017</v>
      </c>
      <c r="I584" s="114">
        <v>935</v>
      </c>
      <c r="J584" s="52" t="s">
        <v>1864</v>
      </c>
      <c r="K584" s="165">
        <v>40239</v>
      </c>
      <c r="L584" s="52"/>
      <c r="M584" s="52"/>
      <c r="N584" s="197" t="s">
        <v>2613</v>
      </c>
      <c r="O584" s="32" t="s">
        <v>2319</v>
      </c>
      <c r="P584" s="43" t="s">
        <v>506</v>
      </c>
      <c r="Q584" s="93">
        <v>40247</v>
      </c>
    </row>
    <row r="585" spans="1:17" s="31" customFormat="1" ht="242.25" hidden="1">
      <c r="A585" s="52" t="s">
        <v>1870</v>
      </c>
      <c r="B585" s="113" t="s">
        <v>1044</v>
      </c>
      <c r="C585" s="115" t="s">
        <v>1863</v>
      </c>
      <c r="D585" s="113" t="s">
        <v>521</v>
      </c>
      <c r="E585" s="115">
        <v>4600023572</v>
      </c>
      <c r="F585" s="115" t="s">
        <v>1045</v>
      </c>
      <c r="G585" s="52" t="s">
        <v>2659</v>
      </c>
      <c r="H585" s="52" t="s">
        <v>1460</v>
      </c>
      <c r="I585" s="114">
        <v>42646.57</v>
      </c>
      <c r="J585" s="52" t="s">
        <v>1864</v>
      </c>
      <c r="K585" s="165">
        <v>40231</v>
      </c>
      <c r="L585" s="52" t="s">
        <v>2614</v>
      </c>
      <c r="M585" s="165">
        <v>40238</v>
      </c>
      <c r="N585" s="202">
        <v>40241</v>
      </c>
      <c r="O585" s="32" t="s">
        <v>2575</v>
      </c>
      <c r="P585" s="41" t="s">
        <v>1080</v>
      </c>
      <c r="Q585" s="93">
        <v>40246</v>
      </c>
    </row>
    <row r="586" spans="1:17" s="31" customFormat="1" ht="76.5" hidden="1">
      <c r="A586" s="52" t="s">
        <v>1870</v>
      </c>
      <c r="B586" s="113" t="s">
        <v>755</v>
      </c>
      <c r="C586" s="115" t="s">
        <v>2513</v>
      </c>
      <c r="D586" s="113" t="s">
        <v>521</v>
      </c>
      <c r="E586" s="115" t="s">
        <v>756</v>
      </c>
      <c r="F586" s="115" t="s">
        <v>699</v>
      </c>
      <c r="G586" s="52" t="s">
        <v>700</v>
      </c>
      <c r="H586" s="52" t="s">
        <v>2728</v>
      </c>
      <c r="I586" s="114">
        <v>80498.460000000006</v>
      </c>
      <c r="J586" s="52" t="s">
        <v>1864</v>
      </c>
      <c r="K586" s="165">
        <v>40227</v>
      </c>
      <c r="L586" s="52" t="s">
        <v>2920</v>
      </c>
      <c r="M586" s="165">
        <v>40253</v>
      </c>
      <c r="N586" s="202">
        <v>40256</v>
      </c>
      <c r="O586" s="39" t="s">
        <v>1833</v>
      </c>
      <c r="P586" s="40" t="s">
        <v>980</v>
      </c>
      <c r="Q586" s="93">
        <v>40242</v>
      </c>
    </row>
    <row r="587" spans="1:17" s="31" customFormat="1" ht="165.75" hidden="1">
      <c r="A587" s="52" t="s">
        <v>1870</v>
      </c>
      <c r="B587" s="113" t="s">
        <v>1763</v>
      </c>
      <c r="C587" s="115" t="s">
        <v>386</v>
      </c>
      <c r="D587" s="113" t="s">
        <v>775</v>
      </c>
      <c r="E587" s="115">
        <v>4600023429</v>
      </c>
      <c r="F587" s="115" t="s">
        <v>1764</v>
      </c>
      <c r="G587" s="52">
        <v>6394449053</v>
      </c>
      <c r="H587" s="52" t="s">
        <v>2369</v>
      </c>
      <c r="I587" s="114">
        <v>7480</v>
      </c>
      <c r="J587" s="52" t="s">
        <v>1864</v>
      </c>
      <c r="K587" s="165">
        <v>40233</v>
      </c>
      <c r="L587" s="52"/>
      <c r="M587" s="52"/>
      <c r="N587" s="197" t="s">
        <v>2613</v>
      </c>
      <c r="O587" s="32" t="s">
        <v>194</v>
      </c>
      <c r="P587" s="43" t="s">
        <v>506</v>
      </c>
      <c r="Q587" s="93">
        <v>40249</v>
      </c>
    </row>
    <row r="588" spans="1:17" s="31" customFormat="1" ht="267.75" hidden="1">
      <c r="A588" s="52" t="s">
        <v>1870</v>
      </c>
      <c r="B588" s="113" t="s">
        <v>1046</v>
      </c>
      <c r="C588" s="115" t="s">
        <v>1124</v>
      </c>
      <c r="D588" s="113" t="s">
        <v>1197</v>
      </c>
      <c r="E588" s="115">
        <v>4600024277</v>
      </c>
      <c r="F588" s="115">
        <v>2110036766</v>
      </c>
      <c r="G588" s="52">
        <v>1001309</v>
      </c>
      <c r="H588" s="52" t="s">
        <v>2223</v>
      </c>
      <c r="I588" s="114">
        <v>79627.199999999997</v>
      </c>
      <c r="J588" s="52" t="s">
        <v>1864</v>
      </c>
      <c r="K588" s="165">
        <v>40241</v>
      </c>
      <c r="L588" s="52" t="s">
        <v>577</v>
      </c>
      <c r="M588" s="165">
        <v>40254</v>
      </c>
      <c r="N588" s="202">
        <v>40256</v>
      </c>
      <c r="O588" s="201" t="s">
        <v>2095</v>
      </c>
      <c r="P588" s="43" t="s">
        <v>506</v>
      </c>
      <c r="Q588" s="93">
        <v>40253</v>
      </c>
    </row>
    <row r="589" spans="1:17" s="31" customFormat="1" ht="140.25" hidden="1">
      <c r="A589" s="52" t="s">
        <v>1870</v>
      </c>
      <c r="B589" s="113" t="s">
        <v>33</v>
      </c>
      <c r="C589" s="115" t="s">
        <v>2125</v>
      </c>
      <c r="D589" s="113" t="s">
        <v>2815</v>
      </c>
      <c r="E589" s="115">
        <v>4600023611</v>
      </c>
      <c r="F589" s="115" t="s">
        <v>406</v>
      </c>
      <c r="G589" s="52" t="s">
        <v>407</v>
      </c>
      <c r="H589" s="52" t="s">
        <v>2017</v>
      </c>
      <c r="I589" s="114">
        <v>7318.08</v>
      </c>
      <c r="J589" s="52" t="s">
        <v>1864</v>
      </c>
      <c r="K589" s="165">
        <v>40239</v>
      </c>
      <c r="L589" s="52"/>
      <c r="M589" s="52"/>
      <c r="N589" s="197" t="s">
        <v>2613</v>
      </c>
      <c r="O589" s="32" t="s">
        <v>1340</v>
      </c>
      <c r="P589" s="43" t="s">
        <v>506</v>
      </c>
      <c r="Q589" s="93">
        <v>40254</v>
      </c>
    </row>
    <row r="590" spans="1:17" s="31" customFormat="1" ht="153" hidden="1">
      <c r="A590" s="52" t="s">
        <v>1870</v>
      </c>
      <c r="B590" s="113" t="s">
        <v>1430</v>
      </c>
      <c r="C590" s="115" t="s">
        <v>2266</v>
      </c>
      <c r="D590" s="113" t="s">
        <v>521</v>
      </c>
      <c r="E590" s="115">
        <v>4600023128</v>
      </c>
      <c r="F590" s="115">
        <v>1101541462</v>
      </c>
      <c r="G590" s="52" t="s">
        <v>1431</v>
      </c>
      <c r="H590" s="52" t="s">
        <v>2169</v>
      </c>
      <c r="I590" s="114">
        <v>31754.880000000001</v>
      </c>
      <c r="J590" s="52" t="s">
        <v>1864</v>
      </c>
      <c r="K590" s="165">
        <v>40235</v>
      </c>
      <c r="L590" s="52" t="s">
        <v>2614</v>
      </c>
      <c r="M590" s="165">
        <v>40241</v>
      </c>
      <c r="N590" s="202">
        <v>40243</v>
      </c>
      <c r="O590" s="39" t="s">
        <v>2335</v>
      </c>
      <c r="P590" s="43" t="s">
        <v>506</v>
      </c>
      <c r="Q590" s="93">
        <v>40252</v>
      </c>
    </row>
    <row r="591" spans="1:17" s="31" customFormat="1" ht="89.25" hidden="1">
      <c r="A591" s="52" t="s">
        <v>1870</v>
      </c>
      <c r="B591" s="113" t="s">
        <v>1432</v>
      </c>
      <c r="C591" s="115" t="s">
        <v>2266</v>
      </c>
      <c r="D591" s="113" t="s">
        <v>521</v>
      </c>
      <c r="E591" s="115">
        <v>4600023345</v>
      </c>
      <c r="F591" s="115">
        <v>1101556186</v>
      </c>
      <c r="G591" s="52" t="s">
        <v>1433</v>
      </c>
      <c r="H591" s="52" t="s">
        <v>2223</v>
      </c>
      <c r="I591" s="114">
        <v>122803.2</v>
      </c>
      <c r="J591" s="52" t="s">
        <v>1864</v>
      </c>
      <c r="K591" s="165">
        <v>40241</v>
      </c>
      <c r="L591" s="52" t="s">
        <v>2614</v>
      </c>
      <c r="M591" s="165">
        <v>40248</v>
      </c>
      <c r="N591" s="202">
        <v>40251</v>
      </c>
      <c r="O591" s="39" t="s">
        <v>2534</v>
      </c>
      <c r="P591" s="43" t="s">
        <v>506</v>
      </c>
      <c r="Q591" s="93">
        <v>40254</v>
      </c>
    </row>
    <row r="592" spans="1:17" s="31" customFormat="1" ht="127.5" hidden="1">
      <c r="A592" s="52" t="s">
        <v>1870</v>
      </c>
      <c r="B592" s="113" t="s">
        <v>335</v>
      </c>
      <c r="C592" s="115" t="s">
        <v>2125</v>
      </c>
      <c r="D592" s="113" t="s">
        <v>2815</v>
      </c>
      <c r="E592" s="115">
        <v>4600024011</v>
      </c>
      <c r="F592" s="115" t="s">
        <v>336</v>
      </c>
      <c r="G592" s="52" t="s">
        <v>337</v>
      </c>
      <c r="H592" s="52" t="s">
        <v>2017</v>
      </c>
      <c r="I592" s="114">
        <v>9762.7199999999993</v>
      </c>
      <c r="J592" s="52" t="s">
        <v>1864</v>
      </c>
      <c r="K592" s="165">
        <v>40239</v>
      </c>
      <c r="L592" s="52"/>
      <c r="M592" s="165"/>
      <c r="N592" s="202" t="s">
        <v>2613</v>
      </c>
      <c r="O592" s="39" t="s">
        <v>727</v>
      </c>
      <c r="P592" s="43" t="s">
        <v>506</v>
      </c>
      <c r="Q592" s="93">
        <v>40249</v>
      </c>
    </row>
    <row r="593" spans="1:17" s="31" customFormat="1" ht="140.25" hidden="1">
      <c r="A593" s="52" t="s">
        <v>1870</v>
      </c>
      <c r="B593" s="113" t="s">
        <v>338</v>
      </c>
      <c r="C593" s="115" t="s">
        <v>1863</v>
      </c>
      <c r="D593" s="113" t="s">
        <v>521</v>
      </c>
      <c r="E593" s="115">
        <v>4600023633</v>
      </c>
      <c r="F593" s="115" t="s">
        <v>339</v>
      </c>
      <c r="G593" s="52" t="s">
        <v>340</v>
      </c>
      <c r="H593" s="52" t="s">
        <v>2017</v>
      </c>
      <c r="I593" s="114">
        <v>89781.84</v>
      </c>
      <c r="J593" s="52" t="s">
        <v>1864</v>
      </c>
      <c r="K593" s="165">
        <v>40239</v>
      </c>
      <c r="L593" s="52" t="s">
        <v>2480</v>
      </c>
      <c r="M593" s="165">
        <v>40242</v>
      </c>
      <c r="N593" s="202">
        <v>40246</v>
      </c>
      <c r="O593" s="39" t="s">
        <v>2304</v>
      </c>
      <c r="P593" s="41" t="s">
        <v>1080</v>
      </c>
      <c r="Q593" s="93">
        <v>40254</v>
      </c>
    </row>
    <row r="594" spans="1:17" s="31" customFormat="1" ht="140.25" hidden="1">
      <c r="A594" s="52" t="s">
        <v>1870</v>
      </c>
      <c r="B594" s="113" t="s">
        <v>341</v>
      </c>
      <c r="C594" s="115" t="s">
        <v>1863</v>
      </c>
      <c r="D594" s="113" t="s">
        <v>521</v>
      </c>
      <c r="E594" s="115">
        <v>4600023632</v>
      </c>
      <c r="F594" s="115" t="s">
        <v>342</v>
      </c>
      <c r="G594" s="52" t="s">
        <v>343</v>
      </c>
      <c r="H594" s="52" t="s">
        <v>2017</v>
      </c>
      <c r="I594" s="114">
        <v>89781.84</v>
      </c>
      <c r="J594" s="52" t="s">
        <v>1864</v>
      </c>
      <c r="K594" s="165">
        <v>40239</v>
      </c>
      <c r="L594" s="52" t="s">
        <v>2480</v>
      </c>
      <c r="M594" s="165">
        <v>40242</v>
      </c>
      <c r="N594" s="202">
        <v>40246</v>
      </c>
      <c r="O594" s="39" t="s">
        <v>742</v>
      </c>
      <c r="P594" s="41" t="s">
        <v>1080</v>
      </c>
      <c r="Q594" s="93">
        <v>40255</v>
      </c>
    </row>
    <row r="595" spans="1:17" s="31" customFormat="1" ht="153" hidden="1">
      <c r="A595" s="52" t="s">
        <v>1870</v>
      </c>
      <c r="B595" s="113" t="s">
        <v>1531</v>
      </c>
      <c r="C595" s="115" t="s">
        <v>1863</v>
      </c>
      <c r="D595" s="113" t="s">
        <v>521</v>
      </c>
      <c r="E595" s="115">
        <v>4600023781</v>
      </c>
      <c r="F595" s="115" t="s">
        <v>1532</v>
      </c>
      <c r="G595" s="52" t="s">
        <v>1533</v>
      </c>
      <c r="H595" s="52" t="s">
        <v>2573</v>
      </c>
      <c r="I595" s="114">
        <v>89781.84</v>
      </c>
      <c r="J595" s="52" t="s">
        <v>1864</v>
      </c>
      <c r="K595" s="165">
        <v>40245</v>
      </c>
      <c r="L595" s="52" t="s">
        <v>2480</v>
      </c>
      <c r="M595" s="165">
        <v>40249</v>
      </c>
      <c r="N595" s="202">
        <v>40252</v>
      </c>
      <c r="O595" s="39" t="s">
        <v>1810</v>
      </c>
      <c r="P595" s="41" t="s">
        <v>1080</v>
      </c>
      <c r="Q595" s="93">
        <v>40253</v>
      </c>
    </row>
    <row r="596" spans="1:17" s="31" customFormat="1" ht="153" hidden="1">
      <c r="A596" s="52" t="s">
        <v>1870</v>
      </c>
      <c r="B596" s="113" t="s">
        <v>1788</v>
      </c>
      <c r="C596" s="115" t="s">
        <v>2513</v>
      </c>
      <c r="D596" s="113" t="s">
        <v>521</v>
      </c>
      <c r="E596" s="115" t="s">
        <v>1278</v>
      </c>
      <c r="F596" s="115" t="s">
        <v>1279</v>
      </c>
      <c r="G596" s="52">
        <v>562499828</v>
      </c>
      <c r="H596" s="52" t="s">
        <v>2169</v>
      </c>
      <c r="I596" s="114">
        <v>161493</v>
      </c>
      <c r="J596" s="52" t="s">
        <v>1864</v>
      </c>
      <c r="K596" s="165">
        <v>40235</v>
      </c>
      <c r="L596" s="52" t="s">
        <v>2920</v>
      </c>
      <c r="M596" s="165">
        <v>40261</v>
      </c>
      <c r="N596" s="199">
        <v>40264</v>
      </c>
      <c r="O596" s="39" t="s">
        <v>364</v>
      </c>
      <c r="P596" s="41" t="s">
        <v>1080</v>
      </c>
      <c r="Q596" s="93">
        <v>40249</v>
      </c>
    </row>
    <row r="597" spans="1:17" s="31" customFormat="1" ht="76.5" hidden="1">
      <c r="A597" s="52" t="s">
        <v>1870</v>
      </c>
      <c r="B597" s="113" t="s">
        <v>1534</v>
      </c>
      <c r="C597" s="115" t="s">
        <v>2513</v>
      </c>
      <c r="D597" s="113" t="s">
        <v>521</v>
      </c>
      <c r="E597" s="115" t="s">
        <v>2898</v>
      </c>
      <c r="F597" s="115" t="s">
        <v>583</v>
      </c>
      <c r="G597" s="52">
        <v>562499854</v>
      </c>
      <c r="H597" s="52" t="s">
        <v>2223</v>
      </c>
      <c r="I597" s="114">
        <v>43998.6</v>
      </c>
      <c r="J597" s="52" t="s">
        <v>1864</v>
      </c>
      <c r="K597" s="165">
        <v>40241</v>
      </c>
      <c r="L597" s="52" t="s">
        <v>2920</v>
      </c>
      <c r="M597" s="165">
        <v>40267</v>
      </c>
      <c r="N597" s="199">
        <v>40272</v>
      </c>
      <c r="O597" s="39" t="s">
        <v>102</v>
      </c>
      <c r="P597" s="41" t="s">
        <v>1080</v>
      </c>
      <c r="Q597" s="93">
        <v>40252</v>
      </c>
    </row>
    <row r="598" spans="1:17" s="31" customFormat="1" ht="102" hidden="1">
      <c r="A598" s="52" t="s">
        <v>1870</v>
      </c>
      <c r="B598" s="113" t="s">
        <v>584</v>
      </c>
      <c r="C598" s="115" t="s">
        <v>2513</v>
      </c>
      <c r="D598" s="113" t="s">
        <v>521</v>
      </c>
      <c r="E598" s="115" t="s">
        <v>585</v>
      </c>
      <c r="F598" s="115">
        <v>5001520498</v>
      </c>
      <c r="G598" s="52">
        <v>562499869</v>
      </c>
      <c r="H598" s="52" t="s">
        <v>2223</v>
      </c>
      <c r="I598" s="114">
        <v>157180.85</v>
      </c>
      <c r="J598" s="52" t="s">
        <v>1864</v>
      </c>
      <c r="K598" s="165">
        <v>40241</v>
      </c>
      <c r="L598" s="52" t="s">
        <v>2920</v>
      </c>
      <c r="M598" s="165">
        <v>40267</v>
      </c>
      <c r="N598" s="199">
        <v>40272</v>
      </c>
      <c r="O598" s="215" t="s">
        <v>320</v>
      </c>
      <c r="P598" s="43" t="s">
        <v>506</v>
      </c>
      <c r="Q598" s="93">
        <v>40254</v>
      </c>
    </row>
    <row r="599" spans="1:17" s="31" customFormat="1" ht="165.75" hidden="1">
      <c r="A599" s="52" t="s">
        <v>1870</v>
      </c>
      <c r="B599" s="113" t="s">
        <v>2105</v>
      </c>
      <c r="C599" s="115" t="s">
        <v>2513</v>
      </c>
      <c r="D599" s="113" t="s">
        <v>521</v>
      </c>
      <c r="E599" s="115">
        <v>4600023904</v>
      </c>
      <c r="F599" s="115" t="s">
        <v>2106</v>
      </c>
      <c r="G599" s="52">
        <v>614609850</v>
      </c>
      <c r="H599" s="52" t="s">
        <v>2108</v>
      </c>
      <c r="I599" s="114">
        <v>14476</v>
      </c>
      <c r="J599" s="52" t="s">
        <v>1864</v>
      </c>
      <c r="K599" s="165">
        <v>40245</v>
      </c>
      <c r="L599" s="52"/>
      <c r="M599" s="165"/>
      <c r="N599" s="202" t="s">
        <v>2613</v>
      </c>
      <c r="O599" s="201" t="s">
        <v>784</v>
      </c>
      <c r="P599" s="43" t="s">
        <v>506</v>
      </c>
      <c r="Q599" s="93">
        <v>40259</v>
      </c>
    </row>
    <row r="600" spans="1:17" s="31" customFormat="1" ht="127.5" hidden="1">
      <c r="A600" s="52" t="s">
        <v>1870</v>
      </c>
      <c r="B600" s="113" t="s">
        <v>587</v>
      </c>
      <c r="C600" s="115" t="s">
        <v>2513</v>
      </c>
      <c r="D600" s="113" t="s">
        <v>521</v>
      </c>
      <c r="E600" s="115">
        <v>4600023993</v>
      </c>
      <c r="F600" s="115">
        <v>5001518556</v>
      </c>
      <c r="G600" s="52">
        <v>562499897</v>
      </c>
      <c r="H600" s="52" t="s">
        <v>2223</v>
      </c>
      <c r="I600" s="114">
        <v>1696.32</v>
      </c>
      <c r="J600" s="52" t="s">
        <v>1467</v>
      </c>
      <c r="K600" s="165">
        <v>40241</v>
      </c>
      <c r="L600" s="52" t="s">
        <v>2920</v>
      </c>
      <c r="M600" s="165">
        <v>40267</v>
      </c>
      <c r="N600" s="199">
        <v>40272</v>
      </c>
      <c r="O600" s="215" t="s">
        <v>234</v>
      </c>
      <c r="P600" s="43" t="s">
        <v>506</v>
      </c>
      <c r="Q600" s="93">
        <v>40261</v>
      </c>
    </row>
    <row r="601" spans="1:17" s="31" customFormat="1" ht="102" hidden="1">
      <c r="A601" s="52" t="s">
        <v>1870</v>
      </c>
      <c r="B601" s="113" t="s">
        <v>588</v>
      </c>
      <c r="C601" s="115" t="s">
        <v>2513</v>
      </c>
      <c r="D601" s="113" t="s">
        <v>521</v>
      </c>
      <c r="E601" s="115" t="s">
        <v>589</v>
      </c>
      <c r="F601" s="115" t="s">
        <v>1338</v>
      </c>
      <c r="G601" s="52">
        <v>562499885</v>
      </c>
      <c r="H601" s="52" t="s">
        <v>2013</v>
      </c>
      <c r="I601" s="114">
        <v>96895.8</v>
      </c>
      <c r="J601" s="52" t="s">
        <v>1864</v>
      </c>
      <c r="K601" s="165">
        <v>40248</v>
      </c>
      <c r="L601" s="52" t="s">
        <v>2920</v>
      </c>
      <c r="M601" s="165">
        <v>40275</v>
      </c>
      <c r="N601" s="199">
        <v>40279</v>
      </c>
      <c r="O601" s="39" t="s">
        <v>447</v>
      </c>
      <c r="P601" s="41" t="s">
        <v>1080</v>
      </c>
      <c r="Q601" s="93">
        <v>40261</v>
      </c>
    </row>
    <row r="602" spans="1:17" s="31" customFormat="1" ht="216.75" hidden="1">
      <c r="A602" s="52" t="s">
        <v>1870</v>
      </c>
      <c r="B602" s="113" t="s">
        <v>2014</v>
      </c>
      <c r="C602" s="115" t="s">
        <v>1124</v>
      </c>
      <c r="D602" s="113" t="s">
        <v>1197</v>
      </c>
      <c r="E602" s="115" t="s">
        <v>2010</v>
      </c>
      <c r="F602" s="115" t="s">
        <v>2015</v>
      </c>
      <c r="G602" s="52" t="s">
        <v>2016</v>
      </c>
      <c r="H602" s="52" t="s">
        <v>2013</v>
      </c>
      <c r="I602" s="114">
        <v>133047.6</v>
      </c>
      <c r="J602" s="52" t="s">
        <v>1864</v>
      </c>
      <c r="K602" s="165">
        <v>40248</v>
      </c>
      <c r="L602" s="52" t="s">
        <v>1260</v>
      </c>
      <c r="M602" s="165">
        <v>40260</v>
      </c>
      <c r="N602" s="202">
        <v>40266</v>
      </c>
      <c r="O602" s="201" t="s">
        <v>1828</v>
      </c>
      <c r="P602" s="40" t="s">
        <v>980</v>
      </c>
      <c r="Q602" s="93">
        <v>40263</v>
      </c>
    </row>
    <row r="603" spans="1:17" s="31" customFormat="1" ht="140.25" hidden="1">
      <c r="A603" s="52" t="s">
        <v>1870</v>
      </c>
      <c r="B603" s="113" t="s">
        <v>1919</v>
      </c>
      <c r="C603" s="115" t="s">
        <v>2022</v>
      </c>
      <c r="D603" s="113" t="s">
        <v>521</v>
      </c>
      <c r="E603" s="115">
        <v>4600024817</v>
      </c>
      <c r="F603" s="115">
        <v>4600024817</v>
      </c>
      <c r="G603" s="52">
        <v>296137</v>
      </c>
      <c r="H603" s="52" t="s">
        <v>1911</v>
      </c>
      <c r="I603" s="114">
        <v>11071.8</v>
      </c>
      <c r="J603" s="52" t="s">
        <v>1864</v>
      </c>
      <c r="K603" s="165">
        <v>40254</v>
      </c>
      <c r="L603" s="52"/>
      <c r="M603" s="165"/>
      <c r="N603" s="202" t="s">
        <v>2613</v>
      </c>
      <c r="O603" s="39" t="s">
        <v>1505</v>
      </c>
      <c r="P603" s="43" t="s">
        <v>506</v>
      </c>
      <c r="Q603" s="93">
        <v>40266</v>
      </c>
    </row>
    <row r="604" spans="1:17" s="31" customFormat="1" ht="165.75" hidden="1">
      <c r="A604" s="52" t="s">
        <v>1870</v>
      </c>
      <c r="B604" s="113" t="s">
        <v>2750</v>
      </c>
      <c r="C604" s="115" t="s">
        <v>1124</v>
      </c>
      <c r="D604" s="113" t="s">
        <v>1197</v>
      </c>
      <c r="E604" s="115">
        <v>4600024306</v>
      </c>
      <c r="F604" s="115">
        <v>2110057669</v>
      </c>
      <c r="G604" s="52" t="s">
        <v>2751</v>
      </c>
      <c r="H604" s="52" t="s">
        <v>620</v>
      </c>
      <c r="I604" s="114">
        <v>24667.439999999999</v>
      </c>
      <c r="J604" s="52" t="s">
        <v>1864</v>
      </c>
      <c r="K604" s="165">
        <v>40255</v>
      </c>
      <c r="L604" s="52" t="s">
        <v>1640</v>
      </c>
      <c r="M604" s="165">
        <v>40274</v>
      </c>
      <c r="N604" s="202">
        <v>40276</v>
      </c>
      <c r="O604" s="215" t="s">
        <v>1535</v>
      </c>
      <c r="P604" s="43" t="s">
        <v>506</v>
      </c>
      <c r="Q604" s="93">
        <v>40267</v>
      </c>
    </row>
    <row r="605" spans="1:17" ht="331.5" hidden="1">
      <c r="A605" s="52" t="s">
        <v>1870</v>
      </c>
      <c r="B605" s="113" t="s">
        <v>2009</v>
      </c>
      <c r="C605" s="115" t="s">
        <v>1124</v>
      </c>
      <c r="D605" s="113" t="s">
        <v>1197</v>
      </c>
      <c r="E605" s="115" t="s">
        <v>2010</v>
      </c>
      <c r="F605" s="115" t="s">
        <v>2011</v>
      </c>
      <c r="G605" s="52" t="s">
        <v>2012</v>
      </c>
      <c r="H605" s="52" t="s">
        <v>2013</v>
      </c>
      <c r="I605" s="114">
        <v>206771.76</v>
      </c>
      <c r="J605" s="52" t="s">
        <v>1864</v>
      </c>
      <c r="K605" s="165">
        <v>40248</v>
      </c>
      <c r="L605" s="52" t="s">
        <v>1640</v>
      </c>
      <c r="M605" s="165">
        <v>40275</v>
      </c>
      <c r="N605" s="199">
        <v>40268</v>
      </c>
      <c r="O605" s="201" t="s">
        <v>2036</v>
      </c>
      <c r="P605" s="40" t="s">
        <v>980</v>
      </c>
      <c r="Q605" s="93">
        <v>40274</v>
      </c>
    </row>
    <row r="606" spans="1:17" ht="204" hidden="1">
      <c r="A606" s="52" t="s">
        <v>1870</v>
      </c>
      <c r="B606" s="113" t="s">
        <v>601</v>
      </c>
      <c r="C606" s="115" t="s">
        <v>2513</v>
      </c>
      <c r="D606" s="113" t="s">
        <v>521</v>
      </c>
      <c r="E606" s="115" t="s">
        <v>602</v>
      </c>
      <c r="F606" s="115" t="s">
        <v>603</v>
      </c>
      <c r="G606" s="52" t="s">
        <v>604</v>
      </c>
      <c r="H606" s="52" t="s">
        <v>1772</v>
      </c>
      <c r="I606" s="114">
        <v>114952.48</v>
      </c>
      <c r="J606" s="52" t="s">
        <v>1864</v>
      </c>
      <c r="K606" s="165">
        <v>40220</v>
      </c>
      <c r="L606" s="52" t="s">
        <v>2920</v>
      </c>
      <c r="M606" s="165">
        <v>40245</v>
      </c>
      <c r="N606" s="202">
        <v>40248</v>
      </c>
      <c r="O606" s="215" t="s">
        <v>1805</v>
      </c>
      <c r="P606" s="40" t="s">
        <v>980</v>
      </c>
      <c r="Q606" s="93">
        <v>40274</v>
      </c>
    </row>
    <row r="607" spans="1:17" ht="191.25" hidden="1">
      <c r="A607" s="52" t="s">
        <v>1870</v>
      </c>
      <c r="B607" s="113" t="s">
        <v>801</v>
      </c>
      <c r="C607" s="115" t="s">
        <v>1129</v>
      </c>
      <c r="D607" s="113" t="s">
        <v>521</v>
      </c>
      <c r="E607" s="115" t="s">
        <v>675</v>
      </c>
      <c r="F607" s="115" t="s">
        <v>676</v>
      </c>
      <c r="G607" s="52" t="s">
        <v>677</v>
      </c>
      <c r="H607" s="52" t="s">
        <v>620</v>
      </c>
      <c r="I607" s="114">
        <v>12392</v>
      </c>
      <c r="J607" s="52" t="s">
        <v>1864</v>
      </c>
      <c r="K607" s="165">
        <v>40255</v>
      </c>
      <c r="M607" s="165"/>
      <c r="N607" s="202" t="s">
        <v>2613</v>
      </c>
      <c r="O607" s="39" t="s">
        <v>443</v>
      </c>
      <c r="P607" s="40" t="s">
        <v>980</v>
      </c>
      <c r="Q607" s="93">
        <v>40273</v>
      </c>
    </row>
    <row r="608" spans="1:17" ht="293.25" hidden="1">
      <c r="A608" s="52" t="s">
        <v>1870</v>
      </c>
      <c r="B608" s="113" t="s">
        <v>2745</v>
      </c>
      <c r="C608" s="115" t="s">
        <v>1124</v>
      </c>
      <c r="D608" s="113" t="s">
        <v>2952</v>
      </c>
      <c r="E608" s="115">
        <v>4800002304</v>
      </c>
      <c r="F608" s="115" t="s">
        <v>2538</v>
      </c>
      <c r="G608" s="52" t="s">
        <v>2746</v>
      </c>
      <c r="H608" s="52" t="s">
        <v>620</v>
      </c>
      <c r="I608" s="114">
        <v>398697.52</v>
      </c>
      <c r="J608" s="52" t="s">
        <v>1864</v>
      </c>
      <c r="K608" s="165">
        <v>40255</v>
      </c>
      <c r="L608" s="52" t="s">
        <v>1640</v>
      </c>
      <c r="M608" s="165">
        <v>40273</v>
      </c>
      <c r="N608" s="202">
        <v>40275</v>
      </c>
      <c r="O608" s="215" t="s">
        <v>131</v>
      </c>
      <c r="P608" s="43" t="s">
        <v>506</v>
      </c>
      <c r="Q608" s="93">
        <v>40277</v>
      </c>
    </row>
    <row r="609" spans="1:17" ht="216.75" hidden="1">
      <c r="A609" s="52" t="s">
        <v>1870</v>
      </c>
      <c r="B609" s="113" t="s">
        <v>332</v>
      </c>
      <c r="C609" s="115" t="s">
        <v>2266</v>
      </c>
      <c r="D609" s="113" t="s">
        <v>521</v>
      </c>
      <c r="E609" s="115">
        <v>4600023351</v>
      </c>
      <c r="F609" s="115">
        <v>4300312884</v>
      </c>
      <c r="G609" s="52" t="s">
        <v>1623</v>
      </c>
      <c r="H609" s="52" t="s">
        <v>230</v>
      </c>
      <c r="I609" s="114">
        <v>54645.97</v>
      </c>
      <c r="J609" s="52" t="s">
        <v>1864</v>
      </c>
      <c r="K609" s="165">
        <v>40269</v>
      </c>
      <c r="L609" s="52" t="s">
        <v>2614</v>
      </c>
      <c r="M609" s="165">
        <v>40276</v>
      </c>
      <c r="N609" s="202">
        <v>40278</v>
      </c>
      <c r="O609" s="39" t="s">
        <v>2336</v>
      </c>
      <c r="P609" s="41" t="s">
        <v>1080</v>
      </c>
      <c r="Q609" s="93">
        <v>40282</v>
      </c>
    </row>
    <row r="610" spans="1:17" ht="191.25" hidden="1">
      <c r="A610" s="52" t="s">
        <v>1870</v>
      </c>
      <c r="B610" s="113" t="s">
        <v>858</v>
      </c>
      <c r="C610" s="115" t="s">
        <v>296</v>
      </c>
      <c r="D610" s="113" t="s">
        <v>775</v>
      </c>
      <c r="E610" s="115">
        <v>4600024470</v>
      </c>
      <c r="F610" s="115" t="s">
        <v>859</v>
      </c>
      <c r="G610" s="52">
        <v>614610009</v>
      </c>
      <c r="H610" s="52" t="s">
        <v>907</v>
      </c>
      <c r="I610" s="114">
        <v>4650</v>
      </c>
      <c r="J610" s="52" t="s">
        <v>1864</v>
      </c>
      <c r="K610" s="165">
        <v>40273</v>
      </c>
      <c r="M610" s="165"/>
      <c r="N610" s="199" t="s">
        <v>2613</v>
      </c>
      <c r="O610" s="39" t="s">
        <v>1917</v>
      </c>
      <c r="P610" s="43" t="s">
        <v>506</v>
      </c>
      <c r="Q610" s="93">
        <v>40281</v>
      </c>
    </row>
    <row r="611" spans="1:17" ht="153" hidden="1">
      <c r="A611" s="52" t="s">
        <v>1870</v>
      </c>
      <c r="B611" s="113" t="s">
        <v>3</v>
      </c>
      <c r="C611" s="115" t="s">
        <v>1863</v>
      </c>
      <c r="D611" s="113" t="s">
        <v>521</v>
      </c>
      <c r="E611" s="115">
        <v>4600024231</v>
      </c>
      <c r="F611" s="115" t="s">
        <v>4</v>
      </c>
      <c r="G611" s="52" t="s">
        <v>2540</v>
      </c>
      <c r="H611" s="52" t="s">
        <v>907</v>
      </c>
      <c r="I611" s="114">
        <v>89781.84</v>
      </c>
      <c r="J611" s="52" t="s">
        <v>1864</v>
      </c>
      <c r="K611" s="165">
        <v>40273</v>
      </c>
      <c r="L611" s="52" t="s">
        <v>2614</v>
      </c>
      <c r="M611" s="165">
        <v>40281</v>
      </c>
      <c r="N611" s="199">
        <v>40283</v>
      </c>
      <c r="O611" s="39" t="s">
        <v>487</v>
      </c>
      <c r="P611" s="41" t="s">
        <v>1080</v>
      </c>
      <c r="Q611" s="93">
        <v>40283</v>
      </c>
    </row>
    <row r="612" spans="1:17" ht="395.25" hidden="1">
      <c r="A612" s="52" t="s">
        <v>1870</v>
      </c>
      <c r="B612" s="113" t="s">
        <v>330</v>
      </c>
      <c r="C612" s="115" t="s">
        <v>2266</v>
      </c>
      <c r="D612" s="113" t="s">
        <v>521</v>
      </c>
      <c r="E612" s="115">
        <v>4600023349</v>
      </c>
      <c r="F612" s="115">
        <v>4300312883</v>
      </c>
      <c r="G612" s="52" t="s">
        <v>331</v>
      </c>
      <c r="H612" s="52" t="s">
        <v>230</v>
      </c>
      <c r="I612" s="114">
        <v>54645.97</v>
      </c>
      <c r="J612" s="52" t="s">
        <v>1864</v>
      </c>
      <c r="K612" s="165">
        <v>40269</v>
      </c>
      <c r="L612" s="52" t="s">
        <v>2614</v>
      </c>
      <c r="M612" s="165">
        <v>40276</v>
      </c>
      <c r="N612" s="199">
        <v>40278</v>
      </c>
      <c r="O612" s="39" t="s">
        <v>2171</v>
      </c>
      <c r="P612" s="41" t="s">
        <v>1080</v>
      </c>
      <c r="Q612" s="93">
        <v>40285</v>
      </c>
    </row>
    <row r="613" spans="1:17" ht="165.75">
      <c r="A613" s="52" t="s">
        <v>1870</v>
      </c>
      <c r="B613" s="113" t="s">
        <v>1</v>
      </c>
      <c r="C613" s="115" t="s">
        <v>1863</v>
      </c>
      <c r="D613" s="113" t="s">
        <v>521</v>
      </c>
      <c r="E613" s="115">
        <v>4600024230</v>
      </c>
      <c r="F613" s="115" t="s">
        <v>2</v>
      </c>
      <c r="G613" s="52" t="s">
        <v>2539</v>
      </c>
      <c r="H613" s="52" t="s">
        <v>907</v>
      </c>
      <c r="I613" s="114">
        <v>89781.84</v>
      </c>
      <c r="J613" s="52" t="s">
        <v>1864</v>
      </c>
      <c r="K613" s="165">
        <v>40273</v>
      </c>
      <c r="L613" s="52" t="s">
        <v>2614</v>
      </c>
      <c r="M613" s="165">
        <v>40281</v>
      </c>
      <c r="N613" s="199">
        <v>40283</v>
      </c>
      <c r="O613" s="39" t="s">
        <v>2232</v>
      </c>
      <c r="P613" s="41" t="s">
        <v>1080</v>
      </c>
      <c r="Q613" s="93">
        <v>40284</v>
      </c>
    </row>
  </sheetData>
  <autoFilter ref="A1:AV613"/>
  <customSheetViews>
    <customSheetView guid="{3DC6DB2D-2732-413F-B168-80FED6A56EC0}" showPageBreaks="1" showAutoFilter="1" hiddenRows="1" state="hidden">
      <pane xSplit="2" ySplit="611" topLeftCell="C613" activePane="bottomRight" state="frozen"/>
      <selection pane="bottomRight" activeCell="C624" sqref="C624"/>
      <pageMargins left="0.78740157499999996" right="0.78740157499999996" top="0.984251969" bottom="0.984251969" header="0.5" footer="0.5"/>
      <pageSetup paperSize="9" orientation="portrait" r:id="rId1"/>
      <headerFooter alignWithMargins="0"/>
      <autoFilter ref="B1:AW1"/>
    </customSheetView>
    <customSheetView guid="{B7B7C792-01A7-4AC6-B514-9B8806F4E6E0}" showAutoFilter="1" hiddenRows="1" state="hidden">
      <pane xSplit="2" ySplit="611" topLeftCell="C613" activePane="bottomRight" state="frozen"/>
      <selection pane="bottomRight" activeCell="C624" sqref="C624"/>
      <pageMargins left="0.78740157499999996" right="0.78740157499999996" top="0.984251969" bottom="0.984251969" header="0.5" footer="0.5"/>
      <pageSetup paperSize="9" orientation="portrait" r:id="rId2"/>
      <headerFooter alignWithMargins="0"/>
      <autoFilter ref="B1:AW1"/>
    </customSheetView>
    <customSheetView guid="{269F1B10-4E07-42BC-BAEF-00343A929B24}" showAutoFilter="1" hiddenRows="1" state="hidden">
      <pane xSplit="2" ySplit="611" topLeftCell="C613" activePane="bottomRight" state="frozen"/>
      <selection pane="bottomRight" activeCell="C624" sqref="C624"/>
      <pageMargins left="0.78740157499999996" right="0.78740157499999996" top="0.984251969" bottom="0.984251969" header="0.5" footer="0.5"/>
      <pageSetup paperSize="9" orientation="portrait" r:id="rId3"/>
      <headerFooter alignWithMargins="0"/>
      <autoFilter ref="B1:AW1"/>
    </customSheetView>
    <customSheetView guid="{2480A4FF-65AB-41EC-9340-4163653E8C2C}" showAutoFilter="1" hiddenRows="1" state="hidden">
      <pane xSplit="2" ySplit="611" topLeftCell="C613" activePane="bottomRight" state="frozen"/>
      <selection pane="bottomRight" activeCell="C624" sqref="C624"/>
      <pageMargins left="0.78740157499999996" right="0.78740157499999996" top="0.984251969" bottom="0.984251969" header="0.5" footer="0.5"/>
      <pageSetup paperSize="9" orientation="portrait" r:id="rId4"/>
      <headerFooter alignWithMargins="0"/>
      <autoFilter ref="B1:AW1"/>
    </customSheetView>
    <customSheetView guid="{316BA082-4614-439F-9CB4-340D61BDC344}" showAutoFilter="1" hiddenRows="1" state="hidden">
      <pane xSplit="2" ySplit="611" topLeftCell="C613" activePane="bottomRight" state="frozen"/>
      <selection pane="bottomRight" activeCell="C624" sqref="C624"/>
      <pageMargins left="0.78740157499999996" right="0.78740157499999996" top="0.984251969" bottom="0.984251969" header="0.5" footer="0.5"/>
      <pageSetup paperSize="9" orientation="portrait" r:id="rId5"/>
      <headerFooter alignWithMargins="0"/>
      <autoFilter ref="B1:AW1"/>
    </customSheetView>
    <customSheetView guid="{8FE2D47B-0E59-4D19-A2DA-A420176425F0}" showAutoFilter="1" showRuler="0">
      <pane xSplit="2" ySplit="1" topLeftCell="C402" activePane="bottomRight" state="frozen"/>
      <selection pane="bottomRight" activeCell="G404" sqref="G404"/>
      <pageMargins left="0.78740157499999996" right="0.78740157499999996" top="0.984251969" bottom="0.984251969" header="0.5" footer="0.5"/>
      <pageSetup paperSize="9" orientation="portrait" r:id="rId6"/>
      <headerFooter alignWithMargins="0"/>
      <autoFilter ref="B1:AW1"/>
    </customSheetView>
    <customSheetView guid="{471B9EAC-32FD-4AB4-B189-11C2ED8F5F72}" showAutoFilter="1">
      <pane xSplit="2" ySplit="1" topLeftCell="C402" activePane="bottomRight" state="frozen"/>
      <selection pane="bottomRight" activeCell="G404" sqref="G404"/>
      <pageMargins left="0.78740157499999996" right="0.78740157499999996" top="0.984251969" bottom="0.984251969" header="0.5" footer="0.5"/>
      <pageSetup paperSize="9" orientation="portrait" r:id="rId7"/>
      <headerFooter alignWithMargins="0"/>
      <autoFilter ref="B1:AW1"/>
    </customSheetView>
    <customSheetView guid="{737B1B74-A15D-4372-A92B-22C1B1EB3690}" showAutoFilter="1">
      <pane xSplit="2" ySplit="1" topLeftCell="C402" activePane="bottomRight" state="frozen"/>
      <selection pane="bottomRight" activeCell="G404" sqref="G404"/>
      <pageMargins left="0.78740157499999996" right="0.78740157499999996" top="0.984251969" bottom="0.984251969" header="0.5" footer="0.5"/>
      <pageSetup paperSize="9" orientation="portrait" r:id="rId8"/>
      <headerFooter alignWithMargins="0"/>
      <autoFilter ref="B1:AW1"/>
    </customSheetView>
    <customSheetView guid="{91008F47-B234-416A-9BC2-294844B4E685}" showAutoFilter="1" showRuler="0">
      <pane xSplit="2" ySplit="1" topLeftCell="C402" activePane="bottomRight" state="frozen"/>
      <selection pane="bottomRight" activeCell="G404" sqref="G404"/>
      <pageMargins left="0.78740157499999996" right="0.78740157499999996" top="0.984251969" bottom="0.984251969" header="0.5" footer="0.5"/>
      <pageSetup paperSize="9" orientation="portrait" r:id="rId9"/>
      <headerFooter alignWithMargins="0"/>
      <autoFilter ref="B1:AW1"/>
    </customSheetView>
    <customSheetView guid="{38CDF8B5-0F48-433A-A36F-EAD87AD19578}" showPageBreaks="1" showAutoFilter="1" hiddenRows="1" state="hidden">
      <pane xSplit="2" ySplit="611" topLeftCell="C613" activePane="bottomRight" state="frozen"/>
      <selection pane="bottomRight" activeCell="C624" sqref="C624"/>
      <pageMargins left="0.78740157499999996" right="0.78740157499999996" top="0.984251969" bottom="0.984251969" header="0.5" footer="0.5"/>
      <pageSetup paperSize="9" orientation="portrait" r:id="rId10"/>
      <headerFooter alignWithMargins="0"/>
      <autoFilter ref="B1:AW1"/>
    </customSheetView>
    <customSheetView guid="{DEAD857C-E742-4582-892F-EFCA94380712}" showPageBreaks="1" showAutoFilter="1" hiddenRows="1" state="hidden">
      <pane xSplit="2" ySplit="611" topLeftCell="C613" activePane="bottomRight" state="frozen"/>
      <selection pane="bottomRight" activeCell="C624" sqref="C624"/>
      <pageMargins left="0.78740157499999996" right="0.78740157499999996" top="0.984251969" bottom="0.984251969" header="0.5" footer="0.5"/>
      <pageSetup paperSize="9" orientation="portrait" r:id="rId11"/>
      <headerFooter alignWithMargins="0"/>
      <autoFilter ref="B1:AW1"/>
    </customSheetView>
  </customSheetViews>
  <phoneticPr fontId="3" type="noConversion"/>
  <pageMargins left="0.78740157499999996" right="0.78740157499999996" top="0.984251969" bottom="0.984251969" header="0.5" footer="0.5"/>
  <pageSetup paperSize="9" orientation="portrait" r:id="rId12"/>
  <headerFooter alignWithMargins="0"/>
</worksheet>
</file>

<file path=xl/worksheets/sheet6.xml><?xml version="1.0" encoding="utf-8"?>
<worksheet xmlns="http://schemas.openxmlformats.org/spreadsheetml/2006/main" xmlns:r="http://schemas.openxmlformats.org/officeDocument/2006/relationships">
  <sheetPr codeName="Sheet8"/>
  <dimension ref="A1:AL64"/>
  <sheetViews>
    <sheetView workbookViewId="0">
      <pane xSplit="2" ySplit="42" topLeftCell="C58" activePane="bottomRight" state="frozen"/>
      <selection pane="topRight" activeCell="C1" sqref="C1"/>
      <selection pane="bottomLeft" activeCell="A43" sqref="A43"/>
      <selection pane="bottomRight" activeCell="E98" sqref="E98"/>
    </sheetView>
  </sheetViews>
  <sheetFormatPr defaultRowHeight="12.75"/>
  <cols>
    <col min="2" max="2" width="10.5703125" bestFit="1" customWidth="1"/>
    <col min="3" max="3" width="11" bestFit="1" customWidth="1"/>
    <col min="4" max="4" width="11.42578125" bestFit="1" customWidth="1"/>
    <col min="5" max="5" width="75.7109375" bestFit="1" customWidth="1"/>
  </cols>
  <sheetData>
    <row r="1" spans="1:38" s="13" customFormat="1" ht="19.5" customHeight="1">
      <c r="A1" s="14" t="s">
        <v>1658</v>
      </c>
      <c r="B1" s="14" t="s">
        <v>1207</v>
      </c>
      <c r="C1" s="50" t="s">
        <v>1210</v>
      </c>
      <c r="D1" s="50" t="s">
        <v>1209</v>
      </c>
      <c r="E1" s="14" t="s">
        <v>1208</v>
      </c>
      <c r="F1" s="14" t="s">
        <v>2340</v>
      </c>
      <c r="G1" s="123" t="s">
        <v>2156</v>
      </c>
    </row>
    <row r="2" spans="1:38" s="5" customFormat="1" ht="25.5" hidden="1">
      <c r="A2" s="52" t="s">
        <v>137</v>
      </c>
      <c r="B2" s="25" t="s">
        <v>10</v>
      </c>
      <c r="C2" s="25" t="s">
        <v>2513</v>
      </c>
      <c r="D2" s="25" t="s">
        <v>1206</v>
      </c>
      <c r="E2" s="62" t="s">
        <v>637</v>
      </c>
      <c r="F2" s="43" t="s">
        <v>506</v>
      </c>
      <c r="G2" s="124">
        <v>40011</v>
      </c>
      <c r="H2" s="1"/>
      <c r="I2" s="12"/>
      <c r="J2" s="1"/>
      <c r="K2" s="10"/>
      <c r="L2" s="9"/>
      <c r="M2" s="9"/>
      <c r="N2" s="2"/>
      <c r="O2" s="3"/>
      <c r="P2" s="9"/>
      <c r="Q2" s="1"/>
      <c r="R2" s="9"/>
      <c r="S2" s="1"/>
      <c r="T2" s="1"/>
      <c r="U2" s="1"/>
      <c r="V2" s="1"/>
      <c r="W2" s="1"/>
      <c r="X2" s="1"/>
      <c r="Y2" s="1"/>
      <c r="Z2" s="4"/>
      <c r="AA2" s="4"/>
      <c r="AB2" s="6"/>
      <c r="AC2" s="11"/>
      <c r="AD2" s="6"/>
      <c r="AE2" s="7"/>
      <c r="AF2" s="7"/>
      <c r="AG2" s="1"/>
      <c r="AH2" s="9"/>
      <c r="AI2" s="1"/>
      <c r="AJ2" s="2"/>
      <c r="AK2" s="9"/>
      <c r="AL2" s="10"/>
    </row>
    <row r="3" spans="1:38" s="5" customFormat="1" ht="51" hidden="1">
      <c r="A3" s="52" t="s">
        <v>1702</v>
      </c>
      <c r="B3" s="25" t="s">
        <v>1375</v>
      </c>
      <c r="C3" s="25" t="s">
        <v>2513</v>
      </c>
      <c r="D3" s="25" t="s">
        <v>1206</v>
      </c>
      <c r="E3" s="62" t="s">
        <v>2758</v>
      </c>
      <c r="F3" s="41" t="s">
        <v>1080</v>
      </c>
      <c r="G3" s="124">
        <v>40016</v>
      </c>
      <c r="H3" s="1"/>
      <c r="I3" s="12"/>
      <c r="J3" s="1"/>
      <c r="K3" s="10"/>
      <c r="L3" s="9"/>
      <c r="M3" s="9"/>
      <c r="N3" s="2"/>
      <c r="O3" s="3"/>
      <c r="P3" s="9"/>
      <c r="Q3" s="1"/>
      <c r="R3" s="9"/>
      <c r="S3" s="1"/>
      <c r="T3" s="1"/>
      <c r="U3" s="1"/>
      <c r="V3" s="1"/>
      <c r="W3" s="1"/>
      <c r="X3" s="1"/>
      <c r="Y3" s="1"/>
      <c r="Z3" s="4"/>
      <c r="AA3" s="4"/>
      <c r="AB3" s="6"/>
      <c r="AC3" s="11"/>
      <c r="AD3" s="6"/>
      <c r="AE3" s="7"/>
      <c r="AF3" s="7"/>
      <c r="AG3" s="1"/>
      <c r="AH3" s="9"/>
      <c r="AI3" s="1"/>
      <c r="AJ3" s="2"/>
      <c r="AK3" s="9"/>
      <c r="AL3" s="10"/>
    </row>
    <row r="4" spans="1:38" s="5" customFormat="1" ht="25.5" hidden="1">
      <c r="A4" s="52" t="s">
        <v>135</v>
      </c>
      <c r="B4" s="25" t="s">
        <v>839</v>
      </c>
      <c r="C4" s="25" t="s">
        <v>2513</v>
      </c>
      <c r="D4" s="25" t="s">
        <v>1206</v>
      </c>
      <c r="E4" s="62" t="s">
        <v>2686</v>
      </c>
      <c r="F4" s="43" t="s">
        <v>506</v>
      </c>
      <c r="G4" s="124">
        <v>40015</v>
      </c>
      <c r="H4" s="1"/>
      <c r="I4" s="12"/>
      <c r="J4" s="1"/>
      <c r="K4" s="10"/>
      <c r="L4" s="9"/>
      <c r="M4" s="9"/>
      <c r="N4" s="2"/>
      <c r="O4" s="3"/>
      <c r="P4" s="9"/>
      <c r="Q4" s="1"/>
      <c r="R4" s="9"/>
      <c r="S4" s="1"/>
      <c r="T4" s="1"/>
      <c r="U4" s="1"/>
      <c r="V4" s="1"/>
      <c r="W4" s="1"/>
      <c r="X4" s="1"/>
      <c r="Y4" s="1"/>
      <c r="Z4" s="4"/>
      <c r="AA4" s="4"/>
      <c r="AB4" s="6"/>
      <c r="AC4" s="11"/>
      <c r="AD4" s="6"/>
      <c r="AE4" s="7"/>
      <c r="AF4" s="7"/>
      <c r="AG4" s="1"/>
      <c r="AH4" s="9"/>
      <c r="AI4" s="1"/>
      <c r="AJ4" s="2"/>
      <c r="AK4" s="9"/>
      <c r="AL4" s="10"/>
    </row>
    <row r="5" spans="1:38" s="5" customFormat="1" ht="38.25" hidden="1">
      <c r="A5" s="52" t="s">
        <v>1520</v>
      </c>
      <c r="B5" s="25" t="s">
        <v>1523</v>
      </c>
      <c r="C5" s="25" t="s">
        <v>2513</v>
      </c>
      <c r="D5" s="25" t="s">
        <v>1206</v>
      </c>
      <c r="E5" s="62" t="s">
        <v>176</v>
      </c>
      <c r="F5" s="43" t="s">
        <v>506</v>
      </c>
      <c r="G5" s="124">
        <v>40018</v>
      </c>
      <c r="H5" s="1"/>
      <c r="I5" s="12"/>
      <c r="J5" s="1"/>
      <c r="K5" s="10"/>
      <c r="L5" s="9"/>
      <c r="M5" s="9"/>
      <c r="N5" s="2"/>
      <c r="O5" s="3"/>
      <c r="P5" s="9"/>
      <c r="Q5" s="1"/>
      <c r="R5" s="9"/>
      <c r="S5" s="1"/>
      <c r="T5" s="1"/>
      <c r="U5" s="1"/>
      <c r="V5" s="1"/>
      <c r="W5" s="1"/>
      <c r="X5" s="1"/>
      <c r="Y5" s="1"/>
      <c r="Z5" s="4"/>
      <c r="AA5" s="4"/>
      <c r="AB5" s="6"/>
      <c r="AC5" s="11"/>
      <c r="AD5" s="6"/>
      <c r="AE5" s="7"/>
      <c r="AF5" s="7"/>
      <c r="AG5" s="1"/>
      <c r="AH5" s="9"/>
      <c r="AI5" s="1"/>
      <c r="AJ5" s="2"/>
      <c r="AK5" s="9"/>
      <c r="AL5" s="10"/>
    </row>
    <row r="6" spans="1:38" s="5" customFormat="1" ht="51" hidden="1">
      <c r="A6" s="52" t="s">
        <v>1704</v>
      </c>
      <c r="B6" s="25" t="s">
        <v>1519</v>
      </c>
      <c r="C6" s="25" t="s">
        <v>2513</v>
      </c>
      <c r="D6" s="25" t="s">
        <v>1206</v>
      </c>
      <c r="E6" s="62" t="s">
        <v>2793</v>
      </c>
      <c r="F6" s="41" t="s">
        <v>1080</v>
      </c>
      <c r="G6" s="124">
        <v>40021</v>
      </c>
      <c r="H6" s="1"/>
      <c r="I6" s="12"/>
      <c r="J6" s="1"/>
      <c r="K6" s="10"/>
      <c r="L6" s="9"/>
      <c r="M6" s="9"/>
      <c r="N6" s="2"/>
      <c r="O6" s="3"/>
      <c r="P6" s="9"/>
      <c r="Q6" s="1"/>
      <c r="R6" s="9"/>
      <c r="S6" s="1"/>
      <c r="T6" s="1"/>
      <c r="U6" s="1"/>
      <c r="V6" s="1"/>
      <c r="W6" s="1"/>
      <c r="X6" s="1"/>
      <c r="Y6" s="1"/>
      <c r="Z6" s="4"/>
      <c r="AA6" s="4"/>
      <c r="AB6" s="6"/>
      <c r="AC6" s="11"/>
      <c r="AD6" s="6"/>
      <c r="AE6" s="7"/>
      <c r="AF6" s="7"/>
      <c r="AG6" s="1"/>
      <c r="AH6" s="9"/>
      <c r="AI6" s="1"/>
      <c r="AJ6" s="2"/>
      <c r="AK6" s="9"/>
      <c r="AL6" s="10"/>
    </row>
    <row r="7" spans="1:38" s="80" customFormat="1" ht="76.5" hidden="1">
      <c r="A7" s="129" t="s">
        <v>966</v>
      </c>
      <c r="B7" s="129" t="s">
        <v>967</v>
      </c>
      <c r="C7" s="129" t="s">
        <v>2513</v>
      </c>
      <c r="D7" s="129" t="s">
        <v>1206</v>
      </c>
      <c r="E7" s="79" t="s">
        <v>911</v>
      </c>
      <c r="F7" s="128" t="s">
        <v>1080</v>
      </c>
      <c r="G7" s="130">
        <v>40023</v>
      </c>
    </row>
    <row r="8" spans="1:38" s="16" customFormat="1" ht="38.25" hidden="1">
      <c r="A8" s="15" t="s">
        <v>2587</v>
      </c>
      <c r="B8" s="15" t="s">
        <v>2588</v>
      </c>
      <c r="C8" s="15" t="s">
        <v>2513</v>
      </c>
      <c r="D8" s="15" t="s">
        <v>1206</v>
      </c>
      <c r="E8" s="61" t="s">
        <v>956</v>
      </c>
      <c r="F8" s="132" t="s">
        <v>506</v>
      </c>
      <c r="G8" s="133">
        <v>40028</v>
      </c>
    </row>
    <row r="9" spans="1:38" s="16" customFormat="1" ht="38.25" hidden="1">
      <c r="A9" s="15" t="s">
        <v>1661</v>
      </c>
      <c r="B9" s="15" t="s">
        <v>1662</v>
      </c>
      <c r="C9" s="15" t="s">
        <v>2513</v>
      </c>
      <c r="D9" s="15" t="s">
        <v>1206</v>
      </c>
      <c r="E9" s="61" t="s">
        <v>956</v>
      </c>
      <c r="F9" s="132" t="s">
        <v>506</v>
      </c>
      <c r="G9" s="133">
        <v>40028</v>
      </c>
    </row>
    <row r="10" spans="1:38" s="5" customFormat="1" ht="51" hidden="1">
      <c r="A10" s="52" t="s">
        <v>425</v>
      </c>
      <c r="B10" s="25" t="s">
        <v>837</v>
      </c>
      <c r="C10" s="25" t="s">
        <v>2513</v>
      </c>
      <c r="D10" s="25" t="s">
        <v>1206</v>
      </c>
      <c r="E10" s="62" t="s">
        <v>1742</v>
      </c>
      <c r="F10" s="41" t="s">
        <v>1080</v>
      </c>
      <c r="G10" s="124">
        <v>40028</v>
      </c>
      <c r="H10" s="1"/>
      <c r="I10" s="12"/>
      <c r="J10" s="1"/>
      <c r="K10" s="10"/>
      <c r="L10" s="9"/>
      <c r="M10" s="9"/>
      <c r="N10" s="2"/>
      <c r="O10" s="3"/>
      <c r="P10" s="9"/>
      <c r="Q10" s="1"/>
      <c r="R10" s="9"/>
      <c r="S10" s="1"/>
      <c r="T10" s="1"/>
      <c r="U10" s="1"/>
      <c r="V10" s="1"/>
      <c r="W10" s="1"/>
      <c r="X10" s="1"/>
      <c r="Y10" s="1"/>
      <c r="Z10" s="4"/>
      <c r="AA10" s="4"/>
      <c r="AB10" s="6"/>
      <c r="AC10" s="11"/>
      <c r="AD10" s="6"/>
      <c r="AE10" s="7"/>
      <c r="AF10" s="7"/>
      <c r="AG10" s="1"/>
      <c r="AH10" s="9"/>
      <c r="AI10" s="1"/>
      <c r="AJ10" s="2"/>
      <c r="AK10" s="9"/>
      <c r="AL10" s="10"/>
    </row>
    <row r="11" spans="1:38" s="5" customFormat="1" ht="38.25" hidden="1">
      <c r="A11" s="52" t="s">
        <v>612</v>
      </c>
      <c r="B11" s="25" t="s">
        <v>838</v>
      </c>
      <c r="C11" s="25" t="s">
        <v>2513</v>
      </c>
      <c r="D11" s="25" t="s">
        <v>1206</v>
      </c>
      <c r="E11" s="62" t="s">
        <v>305</v>
      </c>
      <c r="F11" s="43" t="s">
        <v>506</v>
      </c>
      <c r="G11" s="124">
        <v>40028</v>
      </c>
      <c r="H11" s="1"/>
      <c r="I11" s="12"/>
      <c r="J11" s="1"/>
      <c r="K11" s="10"/>
      <c r="L11" s="9"/>
      <c r="M11" s="9"/>
      <c r="N11" s="2"/>
      <c r="O11" s="3"/>
      <c r="P11" s="9"/>
      <c r="Q11" s="1"/>
      <c r="R11" s="9"/>
      <c r="S11" s="1"/>
      <c r="T11" s="1"/>
      <c r="U11" s="1"/>
      <c r="V11" s="1"/>
      <c r="W11" s="1"/>
      <c r="X11" s="1"/>
      <c r="Y11" s="1"/>
      <c r="Z11" s="4"/>
      <c r="AA11" s="4"/>
      <c r="AB11" s="6"/>
      <c r="AC11" s="11"/>
      <c r="AD11" s="6"/>
      <c r="AE11" s="7"/>
      <c r="AF11" s="7"/>
      <c r="AG11" s="1"/>
      <c r="AH11" s="9"/>
      <c r="AI11" s="1"/>
      <c r="AJ11" s="2"/>
      <c r="AK11" s="9"/>
      <c r="AL11" s="10"/>
    </row>
    <row r="12" spans="1:38" s="5" customFormat="1" hidden="1">
      <c r="A12" s="52" t="s">
        <v>1465</v>
      </c>
      <c r="B12" s="25" t="s">
        <v>1466</v>
      </c>
      <c r="C12" s="25" t="s">
        <v>841</v>
      </c>
      <c r="D12" s="25" t="s">
        <v>1467</v>
      </c>
      <c r="E12" s="62" t="s">
        <v>2423</v>
      </c>
      <c r="F12" s="43" t="s">
        <v>506</v>
      </c>
      <c r="G12" s="124">
        <v>40031</v>
      </c>
      <c r="H12" s="1"/>
      <c r="I12" s="12"/>
      <c r="J12" s="1"/>
      <c r="K12" s="10"/>
      <c r="L12" s="9"/>
      <c r="M12" s="9"/>
      <c r="N12" s="2"/>
      <c r="O12" s="3"/>
      <c r="P12" s="9"/>
      <c r="Q12" s="1"/>
      <c r="R12" s="9"/>
      <c r="S12" s="1"/>
      <c r="T12" s="1"/>
      <c r="U12" s="1"/>
      <c r="V12" s="1"/>
      <c r="W12" s="1"/>
      <c r="X12" s="1"/>
      <c r="Y12" s="1"/>
      <c r="Z12" s="4"/>
      <c r="AA12" s="4"/>
      <c r="AB12" s="6"/>
      <c r="AC12" s="11"/>
      <c r="AD12" s="6"/>
      <c r="AE12" s="7"/>
      <c r="AF12" s="7"/>
      <c r="AG12" s="1"/>
      <c r="AH12" s="9"/>
      <c r="AI12" s="1"/>
      <c r="AJ12" s="2"/>
      <c r="AK12" s="9"/>
      <c r="AL12" s="10"/>
    </row>
    <row r="13" spans="1:38" s="5" customFormat="1" ht="25.5" hidden="1">
      <c r="A13" s="52" t="s">
        <v>1866</v>
      </c>
      <c r="B13" s="25" t="s">
        <v>2092</v>
      </c>
      <c r="C13" s="25" t="s">
        <v>2513</v>
      </c>
      <c r="D13" s="25" t="s">
        <v>1467</v>
      </c>
      <c r="E13" s="62" t="s">
        <v>139</v>
      </c>
      <c r="F13" s="43" t="s">
        <v>506</v>
      </c>
      <c r="G13" s="124">
        <v>40036</v>
      </c>
      <c r="H13" s="1"/>
      <c r="I13" s="12"/>
      <c r="J13" s="1"/>
      <c r="K13" s="10"/>
      <c r="L13" s="9"/>
      <c r="M13" s="9"/>
      <c r="N13" s="2"/>
      <c r="O13" s="3"/>
      <c r="P13" s="9"/>
      <c r="Q13" s="1"/>
      <c r="R13" s="9"/>
      <c r="S13" s="1"/>
      <c r="T13" s="1"/>
      <c r="U13" s="1"/>
      <c r="V13" s="1"/>
      <c r="W13" s="1"/>
      <c r="X13" s="1"/>
      <c r="Y13" s="1"/>
      <c r="Z13" s="4"/>
      <c r="AA13" s="4"/>
      <c r="AB13" s="6"/>
      <c r="AC13" s="11"/>
      <c r="AD13" s="6"/>
      <c r="AE13" s="7"/>
      <c r="AF13" s="7"/>
      <c r="AG13" s="1"/>
      <c r="AH13" s="9"/>
      <c r="AI13" s="1"/>
      <c r="AJ13" s="2"/>
      <c r="AK13" s="9"/>
      <c r="AL13" s="10"/>
    </row>
    <row r="14" spans="1:38" s="5" customFormat="1" ht="38.25" hidden="1">
      <c r="A14" s="52" t="s">
        <v>137</v>
      </c>
      <c r="B14" s="25" t="s">
        <v>2093</v>
      </c>
      <c r="C14" s="25" t="s">
        <v>2513</v>
      </c>
      <c r="D14" s="25" t="s">
        <v>1467</v>
      </c>
      <c r="E14" s="62" t="s">
        <v>434</v>
      </c>
      <c r="F14" s="43" t="s">
        <v>506</v>
      </c>
      <c r="G14" s="124">
        <v>40036</v>
      </c>
      <c r="H14" s="1"/>
      <c r="I14" s="12"/>
      <c r="J14" s="1"/>
      <c r="K14" s="10"/>
      <c r="L14" s="9"/>
      <c r="M14" s="9"/>
      <c r="N14" s="2"/>
      <c r="O14" s="3"/>
      <c r="P14" s="9"/>
      <c r="Q14" s="1"/>
      <c r="R14" s="9"/>
      <c r="S14" s="1"/>
      <c r="T14" s="1"/>
      <c r="U14" s="1"/>
      <c r="V14" s="1"/>
      <c r="W14" s="1"/>
      <c r="X14" s="1"/>
      <c r="Y14" s="1"/>
      <c r="Z14" s="4"/>
      <c r="AA14" s="4"/>
      <c r="AB14" s="6"/>
      <c r="AC14" s="11"/>
      <c r="AD14" s="6"/>
      <c r="AE14" s="7"/>
      <c r="AF14" s="7"/>
      <c r="AG14" s="1"/>
      <c r="AH14" s="9"/>
      <c r="AI14" s="1"/>
      <c r="AJ14" s="2"/>
      <c r="AK14" s="9"/>
      <c r="AL14" s="10"/>
    </row>
    <row r="15" spans="1:38" s="5" customFormat="1" ht="25.5" hidden="1">
      <c r="A15" s="52" t="s">
        <v>108</v>
      </c>
      <c r="B15" s="25" t="s">
        <v>1368</v>
      </c>
      <c r="C15" s="25" t="s">
        <v>2513</v>
      </c>
      <c r="D15" s="25" t="s">
        <v>1467</v>
      </c>
      <c r="E15" s="62" t="s">
        <v>351</v>
      </c>
      <c r="F15" s="43" t="s">
        <v>506</v>
      </c>
      <c r="G15" s="124">
        <v>40037</v>
      </c>
      <c r="H15" s="1"/>
      <c r="I15" s="12"/>
      <c r="J15" s="1"/>
      <c r="K15" s="10"/>
      <c r="L15" s="9"/>
      <c r="M15" s="9"/>
      <c r="N15" s="2"/>
      <c r="O15" s="3"/>
      <c r="P15" s="9"/>
      <c r="Q15" s="1"/>
      <c r="R15" s="9"/>
      <c r="S15" s="1"/>
      <c r="T15" s="1"/>
      <c r="U15" s="1"/>
      <c r="V15" s="1"/>
      <c r="W15" s="1"/>
      <c r="X15" s="1"/>
      <c r="Y15" s="1"/>
      <c r="Z15" s="4"/>
      <c r="AA15" s="4"/>
      <c r="AB15" s="6"/>
      <c r="AC15" s="11"/>
      <c r="AD15" s="6"/>
      <c r="AE15" s="7"/>
      <c r="AF15" s="7"/>
      <c r="AG15" s="1"/>
      <c r="AH15" s="9"/>
      <c r="AI15" s="1"/>
      <c r="AJ15" s="2"/>
      <c r="AK15" s="9"/>
      <c r="AL15" s="10"/>
    </row>
    <row r="16" spans="1:38" s="5" customFormat="1" ht="38.25" hidden="1">
      <c r="A16" s="52" t="s">
        <v>2881</v>
      </c>
      <c r="B16" s="25" t="s">
        <v>2094</v>
      </c>
      <c r="C16" s="25" t="s">
        <v>2513</v>
      </c>
      <c r="D16" s="25" t="s">
        <v>1467</v>
      </c>
      <c r="E16" s="62" t="s">
        <v>2578</v>
      </c>
      <c r="F16" s="41" t="s">
        <v>1080</v>
      </c>
      <c r="G16" s="124">
        <v>39916</v>
      </c>
      <c r="H16" s="1"/>
      <c r="I16" s="12"/>
      <c r="J16" s="1"/>
      <c r="K16" s="10"/>
      <c r="L16" s="9"/>
      <c r="M16" s="9"/>
      <c r="N16" s="2"/>
      <c r="O16" s="3"/>
      <c r="P16" s="9"/>
      <c r="Q16" s="1"/>
      <c r="R16" s="9"/>
      <c r="S16" s="1"/>
      <c r="T16" s="1"/>
      <c r="U16" s="1"/>
      <c r="V16" s="1"/>
      <c r="W16" s="1"/>
      <c r="X16" s="1"/>
      <c r="Y16" s="1"/>
      <c r="Z16" s="4"/>
      <c r="AA16" s="4"/>
      <c r="AB16" s="6"/>
      <c r="AC16" s="11"/>
      <c r="AD16" s="6"/>
      <c r="AE16" s="7"/>
      <c r="AF16" s="7"/>
      <c r="AG16" s="1"/>
      <c r="AH16" s="9"/>
      <c r="AI16" s="1"/>
      <c r="AJ16" s="2"/>
      <c r="AK16" s="9"/>
      <c r="AL16" s="10"/>
    </row>
    <row r="17" spans="1:38" s="5" customFormat="1" ht="38.25" hidden="1">
      <c r="A17" s="52" t="s">
        <v>2345</v>
      </c>
      <c r="B17" s="25" t="s">
        <v>1808</v>
      </c>
      <c r="C17" s="25" t="s">
        <v>2513</v>
      </c>
      <c r="D17" s="25" t="s">
        <v>1807</v>
      </c>
      <c r="E17" s="62" t="s">
        <v>877</v>
      </c>
      <c r="F17" s="43" t="s">
        <v>506</v>
      </c>
      <c r="G17" s="124">
        <v>40042</v>
      </c>
      <c r="H17" s="1"/>
      <c r="I17" s="12"/>
      <c r="J17" s="1"/>
      <c r="K17" s="10"/>
      <c r="L17" s="9"/>
      <c r="M17" s="9"/>
      <c r="N17" s="2"/>
      <c r="O17" s="3"/>
      <c r="P17" s="9"/>
      <c r="Q17" s="1"/>
      <c r="R17" s="9"/>
      <c r="S17" s="1"/>
      <c r="T17" s="1"/>
      <c r="U17" s="1"/>
      <c r="V17" s="1"/>
      <c r="W17" s="1"/>
      <c r="X17" s="1"/>
      <c r="Y17" s="1"/>
      <c r="Z17" s="4"/>
      <c r="AA17" s="4"/>
      <c r="AB17" s="6"/>
      <c r="AC17" s="11"/>
      <c r="AD17" s="6"/>
      <c r="AE17" s="7"/>
      <c r="AF17" s="7"/>
      <c r="AG17" s="1"/>
      <c r="AH17" s="9"/>
      <c r="AI17" s="1"/>
      <c r="AJ17" s="2"/>
      <c r="AK17" s="9"/>
      <c r="AL17" s="10"/>
    </row>
    <row r="18" spans="1:38" s="5" customFormat="1" ht="38.25" hidden="1">
      <c r="A18" s="52" t="s">
        <v>612</v>
      </c>
      <c r="B18" s="25" t="s">
        <v>1806</v>
      </c>
      <c r="C18" s="25" t="s">
        <v>2513</v>
      </c>
      <c r="D18" s="25" t="s">
        <v>1807</v>
      </c>
      <c r="E18" s="62" t="s">
        <v>877</v>
      </c>
      <c r="F18" s="43" t="s">
        <v>506</v>
      </c>
      <c r="G18" s="124">
        <v>40042</v>
      </c>
      <c r="H18" s="1"/>
      <c r="I18" s="12"/>
      <c r="J18" s="1"/>
      <c r="K18" s="10"/>
      <c r="L18" s="9"/>
      <c r="M18" s="9"/>
      <c r="N18" s="2"/>
      <c r="O18" s="3"/>
      <c r="P18" s="9"/>
      <c r="Q18" s="1"/>
      <c r="R18" s="9"/>
      <c r="S18" s="1"/>
      <c r="T18" s="1"/>
      <c r="U18" s="1"/>
      <c r="V18" s="1"/>
      <c r="W18" s="1"/>
      <c r="X18" s="1"/>
      <c r="Y18" s="1"/>
      <c r="Z18" s="4"/>
      <c r="AA18" s="4"/>
      <c r="AB18" s="6"/>
      <c r="AC18" s="11"/>
      <c r="AD18" s="6"/>
      <c r="AE18" s="7"/>
      <c r="AF18" s="7"/>
      <c r="AG18" s="1"/>
      <c r="AH18" s="9"/>
      <c r="AI18" s="1"/>
      <c r="AJ18" s="2"/>
      <c r="AK18" s="9"/>
      <c r="AL18" s="10"/>
    </row>
    <row r="19" spans="1:38" s="5" customFormat="1" ht="51" hidden="1">
      <c r="A19" s="52" t="s">
        <v>789</v>
      </c>
      <c r="B19" s="25" t="s">
        <v>1809</v>
      </c>
      <c r="C19" s="25" t="s">
        <v>2513</v>
      </c>
      <c r="D19" s="25" t="s">
        <v>1807</v>
      </c>
      <c r="E19" s="62" t="s">
        <v>1261</v>
      </c>
      <c r="F19" s="41" t="s">
        <v>1080</v>
      </c>
      <c r="G19" s="124">
        <v>40044</v>
      </c>
      <c r="H19" s="1"/>
      <c r="I19" s="12"/>
      <c r="J19" s="1"/>
      <c r="K19" s="10"/>
      <c r="L19" s="9"/>
      <c r="M19" s="9"/>
      <c r="N19" s="2"/>
      <c r="O19" s="3"/>
      <c r="P19" s="9"/>
      <c r="Q19" s="1"/>
      <c r="R19" s="9"/>
      <c r="S19" s="1"/>
      <c r="T19" s="1"/>
      <c r="U19" s="1"/>
      <c r="V19" s="1"/>
      <c r="W19" s="1"/>
      <c r="X19" s="1"/>
      <c r="Y19" s="1"/>
      <c r="Z19" s="4"/>
      <c r="AA19" s="4"/>
      <c r="AB19" s="6"/>
      <c r="AC19" s="11"/>
      <c r="AD19" s="6"/>
      <c r="AE19" s="7"/>
      <c r="AF19" s="7"/>
      <c r="AG19" s="1"/>
      <c r="AH19" s="9"/>
      <c r="AI19" s="1"/>
      <c r="AJ19" s="2"/>
      <c r="AK19" s="9"/>
      <c r="AL19" s="10"/>
    </row>
    <row r="20" spans="1:38" s="5" customFormat="1" ht="25.5" hidden="1">
      <c r="A20" s="52" t="s">
        <v>1465</v>
      </c>
      <c r="B20" s="25" t="s">
        <v>1272</v>
      </c>
      <c r="C20" s="25" t="s">
        <v>841</v>
      </c>
      <c r="D20" s="25" t="s">
        <v>1807</v>
      </c>
      <c r="E20" s="62" t="s">
        <v>449</v>
      </c>
      <c r="F20" s="43" t="s">
        <v>506</v>
      </c>
      <c r="G20" s="124">
        <v>40045</v>
      </c>
      <c r="H20" s="1"/>
      <c r="I20" s="12"/>
      <c r="J20" s="1"/>
      <c r="K20" s="10"/>
      <c r="L20" s="9"/>
      <c r="M20" s="9"/>
      <c r="N20" s="2"/>
      <c r="O20" s="3"/>
      <c r="P20" s="9"/>
      <c r="Q20" s="1"/>
      <c r="R20" s="9"/>
      <c r="S20" s="1"/>
      <c r="T20" s="1"/>
      <c r="U20" s="1"/>
      <c r="V20" s="1"/>
      <c r="W20" s="1"/>
      <c r="X20" s="1"/>
      <c r="Y20" s="1"/>
      <c r="Z20" s="4"/>
      <c r="AA20" s="4"/>
      <c r="AB20" s="6"/>
      <c r="AC20" s="11"/>
      <c r="AD20" s="6"/>
      <c r="AE20" s="7"/>
      <c r="AF20" s="7"/>
      <c r="AG20" s="1"/>
      <c r="AH20" s="9"/>
      <c r="AI20" s="1"/>
      <c r="AJ20" s="2"/>
      <c r="AK20" s="9"/>
      <c r="AL20" s="10"/>
    </row>
    <row r="21" spans="1:38" s="5" customFormat="1" ht="51" hidden="1">
      <c r="A21" s="52" t="s">
        <v>791</v>
      </c>
      <c r="B21" s="25" t="s">
        <v>1015</v>
      </c>
      <c r="C21" s="25" t="s">
        <v>2513</v>
      </c>
      <c r="D21" s="25" t="s">
        <v>1807</v>
      </c>
      <c r="E21" s="62" t="s">
        <v>248</v>
      </c>
      <c r="F21" s="41" t="s">
        <v>1080</v>
      </c>
      <c r="G21" s="124">
        <v>40057</v>
      </c>
      <c r="H21" s="1"/>
      <c r="I21" s="12"/>
      <c r="J21" s="1"/>
      <c r="K21" s="10"/>
      <c r="L21" s="9"/>
      <c r="M21" s="9"/>
      <c r="N21" s="2"/>
      <c r="O21" s="3"/>
      <c r="P21" s="9"/>
      <c r="Q21" s="1"/>
      <c r="R21" s="9"/>
      <c r="S21" s="1"/>
      <c r="T21" s="1"/>
      <c r="U21" s="1"/>
      <c r="V21" s="1"/>
      <c r="W21" s="1"/>
      <c r="X21" s="1"/>
      <c r="Y21" s="1"/>
      <c r="Z21" s="4"/>
      <c r="AA21" s="4"/>
      <c r="AB21" s="6"/>
      <c r="AC21" s="11"/>
      <c r="AD21" s="6"/>
      <c r="AE21" s="7"/>
      <c r="AF21" s="7"/>
      <c r="AG21" s="1"/>
      <c r="AH21" s="9"/>
      <c r="AI21" s="1"/>
      <c r="AJ21" s="2"/>
      <c r="AK21" s="9"/>
      <c r="AL21" s="10"/>
    </row>
    <row r="22" spans="1:38" s="5" customFormat="1" ht="51" hidden="1">
      <c r="A22" s="52" t="s">
        <v>971</v>
      </c>
      <c r="B22" s="25" t="s">
        <v>1016</v>
      </c>
      <c r="C22" s="25" t="s">
        <v>2513</v>
      </c>
      <c r="D22" s="25" t="s">
        <v>1807</v>
      </c>
      <c r="E22" s="62" t="s">
        <v>1608</v>
      </c>
      <c r="F22" s="40" t="s">
        <v>980</v>
      </c>
      <c r="G22" s="124">
        <v>40057</v>
      </c>
      <c r="H22" s="1"/>
      <c r="I22" s="12"/>
      <c r="J22" s="1"/>
      <c r="K22" s="10"/>
      <c r="L22" s="9"/>
      <c r="M22" s="9"/>
      <c r="N22" s="2"/>
      <c r="O22" s="3"/>
      <c r="P22" s="9"/>
      <c r="Q22" s="1"/>
      <c r="R22" s="9"/>
      <c r="S22" s="1"/>
      <c r="T22" s="1"/>
      <c r="U22" s="1"/>
      <c r="V22" s="1"/>
      <c r="W22" s="1"/>
      <c r="X22" s="1"/>
      <c r="Y22" s="1"/>
      <c r="Z22" s="4"/>
      <c r="AA22" s="4"/>
      <c r="AB22" s="6"/>
      <c r="AC22" s="11"/>
      <c r="AD22" s="6"/>
      <c r="AE22" s="7"/>
      <c r="AF22" s="7"/>
      <c r="AG22" s="1"/>
      <c r="AH22" s="9"/>
      <c r="AI22" s="1"/>
      <c r="AJ22" s="2"/>
      <c r="AK22" s="9"/>
      <c r="AL22" s="10"/>
    </row>
    <row r="23" spans="1:38" s="5" customFormat="1" ht="38.25" hidden="1">
      <c r="A23" s="52" t="s">
        <v>108</v>
      </c>
      <c r="B23" s="25" t="s">
        <v>2472</v>
      </c>
      <c r="C23" s="25" t="s">
        <v>2513</v>
      </c>
      <c r="D23" s="25" t="s">
        <v>1807</v>
      </c>
      <c r="E23" s="62" t="s">
        <v>2063</v>
      </c>
      <c r="F23" s="43" t="s">
        <v>506</v>
      </c>
      <c r="G23" s="124">
        <v>40057</v>
      </c>
      <c r="H23" s="1"/>
      <c r="I23" s="12"/>
      <c r="J23" s="1"/>
      <c r="K23" s="10"/>
      <c r="L23" s="9"/>
      <c r="M23" s="9"/>
      <c r="N23" s="2"/>
      <c r="O23" s="3"/>
      <c r="P23" s="9"/>
      <c r="Q23" s="1"/>
      <c r="R23" s="9"/>
      <c r="S23" s="1"/>
      <c r="T23" s="1"/>
      <c r="U23" s="1"/>
      <c r="V23" s="1"/>
      <c r="W23" s="1"/>
      <c r="X23" s="1"/>
      <c r="Y23" s="1"/>
      <c r="Z23" s="4"/>
      <c r="AA23" s="4"/>
      <c r="AB23" s="6"/>
      <c r="AC23" s="11"/>
      <c r="AD23" s="6"/>
      <c r="AE23" s="7"/>
      <c r="AF23" s="7"/>
      <c r="AG23" s="1"/>
      <c r="AH23" s="9"/>
      <c r="AI23" s="1"/>
      <c r="AJ23" s="2"/>
      <c r="AK23" s="9"/>
      <c r="AL23" s="10"/>
    </row>
    <row r="24" spans="1:38" s="5" customFormat="1" ht="38.25" hidden="1">
      <c r="A24" s="52" t="s">
        <v>612</v>
      </c>
      <c r="B24" s="25" t="s">
        <v>860</v>
      </c>
      <c r="C24" s="25" t="s">
        <v>2513</v>
      </c>
      <c r="D24" s="25" t="s">
        <v>1807</v>
      </c>
      <c r="E24" s="62" t="s">
        <v>2878</v>
      </c>
      <c r="F24" s="43" t="s">
        <v>506</v>
      </c>
      <c r="G24" s="124">
        <v>40059</v>
      </c>
      <c r="H24" s="1"/>
      <c r="I24" s="12"/>
      <c r="J24" s="1"/>
      <c r="K24" s="10"/>
      <c r="L24" s="9"/>
      <c r="M24" s="9"/>
      <c r="N24" s="2"/>
      <c r="O24" s="3"/>
      <c r="P24" s="9"/>
      <c r="Q24" s="1"/>
      <c r="R24" s="9"/>
      <c r="S24" s="1"/>
      <c r="T24" s="1"/>
      <c r="U24" s="1"/>
      <c r="V24" s="1"/>
      <c r="W24" s="1"/>
      <c r="X24" s="1"/>
      <c r="Y24" s="1"/>
      <c r="Z24" s="4"/>
      <c r="AA24" s="4"/>
      <c r="AB24" s="6"/>
      <c r="AC24" s="11"/>
      <c r="AD24" s="6"/>
      <c r="AE24" s="7"/>
      <c r="AF24" s="7"/>
      <c r="AG24" s="1"/>
      <c r="AH24" s="9"/>
      <c r="AI24" s="1"/>
      <c r="AJ24" s="2"/>
      <c r="AK24" s="9"/>
      <c r="AL24" s="10"/>
    </row>
    <row r="25" spans="1:38" s="5" customFormat="1" ht="38.25" hidden="1">
      <c r="A25" s="52" t="s">
        <v>439</v>
      </c>
      <c r="B25" s="25" t="s">
        <v>861</v>
      </c>
      <c r="C25" s="25" t="s">
        <v>2513</v>
      </c>
      <c r="D25" s="25" t="s">
        <v>1807</v>
      </c>
      <c r="E25" s="62" t="s">
        <v>1320</v>
      </c>
      <c r="F25" s="41" t="s">
        <v>1080</v>
      </c>
      <c r="G25" s="124">
        <v>40059</v>
      </c>
      <c r="H25" s="1"/>
      <c r="I25" s="12"/>
      <c r="J25" s="1"/>
      <c r="K25" s="10"/>
      <c r="L25" s="9"/>
      <c r="M25" s="9"/>
      <c r="N25" s="2"/>
      <c r="O25" s="3"/>
      <c r="P25" s="9"/>
      <c r="Q25" s="1"/>
      <c r="R25" s="9"/>
      <c r="S25" s="1"/>
      <c r="T25" s="1"/>
      <c r="U25" s="1"/>
      <c r="V25" s="1"/>
      <c r="W25" s="1"/>
      <c r="X25" s="1"/>
      <c r="Y25" s="1"/>
      <c r="Z25" s="4"/>
      <c r="AA25" s="4"/>
      <c r="AB25" s="6"/>
      <c r="AC25" s="11"/>
      <c r="AD25" s="6"/>
      <c r="AE25" s="7"/>
      <c r="AF25" s="7"/>
      <c r="AG25" s="1"/>
      <c r="AH25" s="9"/>
      <c r="AI25" s="1"/>
      <c r="AJ25" s="2"/>
      <c r="AK25" s="9"/>
      <c r="AL25" s="10"/>
    </row>
    <row r="26" spans="1:38" s="5" customFormat="1" ht="38.25" hidden="1">
      <c r="A26" s="52" t="s">
        <v>1988</v>
      </c>
      <c r="B26" s="25" t="s">
        <v>1783</v>
      </c>
      <c r="C26" s="25" t="s">
        <v>2513</v>
      </c>
      <c r="D26" s="25" t="s">
        <v>1807</v>
      </c>
      <c r="E26" s="62" t="s">
        <v>2277</v>
      </c>
      <c r="F26" s="43" t="s">
        <v>506</v>
      </c>
      <c r="G26" s="124">
        <v>40059</v>
      </c>
      <c r="H26" s="1"/>
      <c r="I26" s="12"/>
      <c r="J26" s="1"/>
      <c r="K26" s="10"/>
      <c r="L26" s="9"/>
      <c r="M26" s="9"/>
      <c r="N26" s="2"/>
      <c r="O26" s="3"/>
      <c r="P26" s="9"/>
      <c r="Q26" s="1"/>
      <c r="R26" s="9"/>
      <c r="S26" s="1"/>
      <c r="T26" s="1"/>
      <c r="U26" s="1"/>
      <c r="V26" s="1"/>
      <c r="W26" s="1"/>
      <c r="X26" s="1"/>
      <c r="Y26" s="1"/>
      <c r="Z26" s="4"/>
      <c r="AA26" s="4"/>
      <c r="AB26" s="6"/>
      <c r="AC26" s="11"/>
      <c r="AD26" s="6"/>
      <c r="AE26" s="7"/>
      <c r="AF26" s="7"/>
      <c r="AG26" s="1"/>
      <c r="AH26" s="9"/>
      <c r="AI26" s="1"/>
      <c r="AJ26" s="2"/>
      <c r="AK26" s="9"/>
      <c r="AL26" s="10"/>
    </row>
    <row r="27" spans="1:38" s="5" customFormat="1" ht="51" hidden="1">
      <c r="A27" s="52" t="s">
        <v>1988</v>
      </c>
      <c r="B27" s="25" t="s">
        <v>2333</v>
      </c>
      <c r="C27" s="25" t="s">
        <v>2513</v>
      </c>
      <c r="D27" s="25" t="s">
        <v>1807</v>
      </c>
      <c r="E27" s="62" t="s">
        <v>489</v>
      </c>
      <c r="F27" s="43" t="s">
        <v>506</v>
      </c>
      <c r="G27" s="124">
        <v>40065</v>
      </c>
      <c r="H27" s="1"/>
      <c r="I27" s="12"/>
      <c r="J27" s="1"/>
      <c r="K27" s="10"/>
      <c r="L27" s="9"/>
      <c r="M27" s="9"/>
      <c r="N27" s="2"/>
      <c r="O27" s="3"/>
      <c r="P27" s="9"/>
      <c r="Q27" s="1"/>
      <c r="R27" s="9"/>
      <c r="S27" s="1"/>
      <c r="T27" s="1"/>
      <c r="U27" s="1"/>
      <c r="V27" s="1"/>
      <c r="W27" s="1"/>
      <c r="X27" s="1"/>
      <c r="Y27" s="1"/>
      <c r="Z27" s="4"/>
      <c r="AA27" s="4"/>
      <c r="AB27" s="6"/>
      <c r="AC27" s="11"/>
      <c r="AD27" s="6"/>
      <c r="AE27" s="7"/>
      <c r="AF27" s="7"/>
      <c r="AG27" s="1"/>
      <c r="AH27" s="9"/>
      <c r="AI27" s="1"/>
      <c r="AJ27" s="2"/>
      <c r="AK27" s="9"/>
      <c r="AL27" s="10"/>
    </row>
    <row r="28" spans="1:38" s="5" customFormat="1" ht="76.5" hidden="1">
      <c r="A28" s="52" t="s">
        <v>1614</v>
      </c>
      <c r="B28" s="25" t="s">
        <v>2401</v>
      </c>
      <c r="C28" s="25" t="s">
        <v>2513</v>
      </c>
      <c r="D28" s="25" t="s">
        <v>1807</v>
      </c>
      <c r="E28" s="62" t="s">
        <v>1550</v>
      </c>
      <c r="F28" s="40" t="s">
        <v>980</v>
      </c>
      <c r="G28" s="124">
        <v>40065</v>
      </c>
      <c r="H28" s="1"/>
      <c r="I28" s="12"/>
      <c r="J28" s="1"/>
      <c r="K28" s="10"/>
      <c r="L28" s="9"/>
      <c r="M28" s="9"/>
      <c r="N28" s="2"/>
      <c r="O28" s="3"/>
      <c r="P28" s="9"/>
      <c r="Q28" s="1"/>
      <c r="R28" s="9"/>
      <c r="S28" s="1"/>
      <c r="T28" s="1"/>
      <c r="U28" s="1"/>
      <c r="V28" s="1"/>
      <c r="W28" s="1"/>
      <c r="X28" s="1"/>
      <c r="Y28" s="1"/>
      <c r="Z28" s="4"/>
      <c r="AA28" s="4"/>
      <c r="AB28" s="6"/>
      <c r="AC28" s="11"/>
      <c r="AD28" s="6"/>
      <c r="AE28" s="7"/>
      <c r="AF28" s="7"/>
      <c r="AG28" s="1"/>
      <c r="AH28" s="9"/>
      <c r="AI28" s="1"/>
      <c r="AJ28" s="2"/>
      <c r="AK28" s="9"/>
      <c r="AL28" s="10"/>
    </row>
    <row r="29" spans="1:38" s="5" customFormat="1" ht="51" hidden="1">
      <c r="A29" s="52" t="s">
        <v>971</v>
      </c>
      <c r="B29" s="25" t="s">
        <v>2402</v>
      </c>
      <c r="C29" s="25" t="s">
        <v>2513</v>
      </c>
      <c r="D29" s="25" t="s">
        <v>1807</v>
      </c>
      <c r="E29" s="62" t="s">
        <v>489</v>
      </c>
      <c r="F29" s="43" t="s">
        <v>506</v>
      </c>
      <c r="G29" s="124">
        <v>40065</v>
      </c>
      <c r="H29" s="1"/>
      <c r="I29" s="12"/>
      <c r="J29" s="1"/>
      <c r="K29" s="10"/>
      <c r="L29" s="9"/>
      <c r="M29" s="9"/>
      <c r="N29" s="2"/>
      <c r="O29" s="3"/>
      <c r="P29" s="9"/>
      <c r="Q29" s="1"/>
      <c r="R29" s="9"/>
      <c r="S29" s="1"/>
      <c r="T29" s="1"/>
      <c r="U29" s="1"/>
      <c r="V29" s="1"/>
      <c r="W29" s="1"/>
      <c r="X29" s="1"/>
      <c r="Y29" s="1"/>
      <c r="Z29" s="4"/>
      <c r="AA29" s="4"/>
      <c r="AB29" s="6"/>
      <c r="AC29" s="11"/>
      <c r="AD29" s="6"/>
      <c r="AE29" s="7"/>
      <c r="AF29" s="7"/>
      <c r="AG29" s="1"/>
      <c r="AH29" s="9"/>
      <c r="AI29" s="1"/>
      <c r="AJ29" s="2"/>
      <c r="AK29" s="9"/>
      <c r="AL29" s="10"/>
    </row>
    <row r="30" spans="1:38" s="5" customFormat="1" ht="38.25" hidden="1">
      <c r="A30" s="52" t="s">
        <v>1615</v>
      </c>
      <c r="B30" s="25" t="s">
        <v>609</v>
      </c>
      <c r="C30" s="25" t="s">
        <v>2513</v>
      </c>
      <c r="D30" s="25" t="s">
        <v>1467</v>
      </c>
      <c r="E30" s="62" t="s">
        <v>2201</v>
      </c>
      <c r="F30" s="41" t="s">
        <v>1080</v>
      </c>
      <c r="G30" s="124">
        <v>40078</v>
      </c>
      <c r="H30" s="1"/>
      <c r="I30" s="12"/>
      <c r="J30" s="1"/>
      <c r="K30" s="10"/>
      <c r="L30" s="9"/>
      <c r="M30" s="9"/>
      <c r="N30" s="2"/>
      <c r="O30" s="3"/>
      <c r="P30" s="9"/>
      <c r="Q30" s="1"/>
      <c r="R30" s="9"/>
      <c r="S30" s="1"/>
      <c r="T30" s="1"/>
      <c r="U30" s="1"/>
      <c r="V30" s="1"/>
      <c r="W30" s="1"/>
      <c r="X30" s="1"/>
      <c r="Y30" s="1"/>
      <c r="Z30" s="4"/>
      <c r="AA30" s="4"/>
      <c r="AB30" s="6"/>
      <c r="AC30" s="11"/>
      <c r="AD30" s="6"/>
      <c r="AE30" s="7"/>
      <c r="AF30" s="7"/>
      <c r="AG30" s="1"/>
      <c r="AH30" s="9"/>
      <c r="AI30" s="1"/>
      <c r="AJ30" s="2"/>
      <c r="AK30" s="9"/>
      <c r="AL30" s="10"/>
    </row>
    <row r="31" spans="1:38" s="5" customFormat="1" ht="38.25" hidden="1">
      <c r="A31" s="52" t="s">
        <v>104</v>
      </c>
      <c r="B31" s="25" t="s">
        <v>610</v>
      </c>
      <c r="C31" s="25" t="s">
        <v>2513</v>
      </c>
      <c r="D31" s="25" t="s">
        <v>1467</v>
      </c>
      <c r="E31" s="62" t="s">
        <v>2221</v>
      </c>
      <c r="F31" s="41" t="s">
        <v>1080</v>
      </c>
      <c r="G31" s="124">
        <v>40078</v>
      </c>
      <c r="H31" s="1"/>
      <c r="I31" s="12"/>
      <c r="J31" s="1"/>
      <c r="K31" s="10"/>
      <c r="L31" s="9"/>
      <c r="M31" s="9"/>
      <c r="N31" s="2"/>
      <c r="O31" s="3"/>
      <c r="P31" s="9"/>
      <c r="Q31" s="1"/>
      <c r="R31" s="9"/>
      <c r="S31" s="1"/>
      <c r="T31" s="1"/>
      <c r="U31" s="1"/>
      <c r="V31" s="1"/>
      <c r="W31" s="1"/>
      <c r="X31" s="1"/>
      <c r="Y31" s="1"/>
      <c r="Z31" s="4"/>
      <c r="AA31" s="4"/>
      <c r="AB31" s="6"/>
      <c r="AC31" s="11"/>
      <c r="AD31" s="6"/>
      <c r="AE31" s="7"/>
      <c r="AF31" s="7"/>
      <c r="AG31" s="1"/>
      <c r="AH31" s="9"/>
      <c r="AI31" s="1"/>
      <c r="AJ31" s="2"/>
      <c r="AK31" s="9"/>
      <c r="AL31" s="10"/>
    </row>
    <row r="32" spans="1:38" s="5" customFormat="1" ht="25.5" hidden="1">
      <c r="A32" s="52" t="s">
        <v>2880</v>
      </c>
      <c r="B32" s="25" t="s">
        <v>1690</v>
      </c>
      <c r="C32" s="25" t="s">
        <v>2513</v>
      </c>
      <c r="D32" s="25" t="s">
        <v>1467</v>
      </c>
      <c r="E32" s="62" t="s">
        <v>2143</v>
      </c>
      <c r="F32" s="43" t="s">
        <v>506</v>
      </c>
      <c r="G32" s="124">
        <v>40081</v>
      </c>
      <c r="H32" s="1"/>
      <c r="I32" s="12"/>
      <c r="J32" s="1"/>
      <c r="K32" s="10"/>
      <c r="L32" s="9"/>
      <c r="M32" s="9"/>
      <c r="N32" s="2"/>
      <c r="O32" s="3"/>
      <c r="P32" s="9"/>
      <c r="Q32" s="1"/>
      <c r="R32" s="9"/>
      <c r="S32" s="1"/>
      <c r="T32" s="1"/>
      <c r="U32" s="1"/>
      <c r="V32" s="1"/>
      <c r="W32" s="1"/>
      <c r="X32" s="1"/>
      <c r="Y32" s="1"/>
      <c r="Z32" s="4"/>
      <c r="AA32" s="4"/>
      <c r="AB32" s="6"/>
      <c r="AC32" s="11"/>
      <c r="AD32" s="6"/>
      <c r="AE32" s="7"/>
      <c r="AF32" s="7"/>
      <c r="AG32" s="1"/>
      <c r="AH32" s="9"/>
      <c r="AI32" s="1"/>
      <c r="AJ32" s="2"/>
      <c r="AK32" s="9"/>
      <c r="AL32" s="10"/>
    </row>
    <row r="33" spans="1:38" s="5" customFormat="1" ht="63.75" hidden="1">
      <c r="A33" s="52" t="s">
        <v>436</v>
      </c>
      <c r="B33" s="25" t="s">
        <v>1634</v>
      </c>
      <c r="C33" s="25" t="s">
        <v>2513</v>
      </c>
      <c r="D33" s="25" t="s">
        <v>1467</v>
      </c>
      <c r="E33" s="62" t="s">
        <v>2496</v>
      </c>
      <c r="F33" s="41" t="s">
        <v>1080</v>
      </c>
      <c r="G33" s="124">
        <v>40086</v>
      </c>
      <c r="H33" s="1"/>
      <c r="I33" s="12"/>
      <c r="J33" s="1"/>
      <c r="K33" s="10"/>
      <c r="L33" s="9"/>
      <c r="M33" s="9"/>
      <c r="N33" s="2"/>
      <c r="O33" s="3"/>
      <c r="P33" s="9"/>
      <c r="Q33" s="1"/>
      <c r="R33" s="9"/>
      <c r="S33" s="1"/>
      <c r="T33" s="1"/>
      <c r="U33" s="1"/>
      <c r="V33" s="1"/>
      <c r="W33" s="1"/>
      <c r="X33" s="1"/>
      <c r="Y33" s="1"/>
      <c r="Z33" s="4"/>
      <c r="AA33" s="4"/>
      <c r="AB33" s="6"/>
      <c r="AC33" s="11"/>
      <c r="AD33" s="6"/>
      <c r="AE33" s="7"/>
      <c r="AF33" s="7"/>
      <c r="AG33" s="1"/>
      <c r="AH33" s="9"/>
      <c r="AI33" s="1"/>
      <c r="AJ33" s="2"/>
      <c r="AK33" s="9"/>
      <c r="AL33" s="10"/>
    </row>
    <row r="34" spans="1:38" s="5" customFormat="1" ht="51" hidden="1">
      <c r="A34" s="52" t="s">
        <v>108</v>
      </c>
      <c r="B34" s="25" t="s">
        <v>1633</v>
      </c>
      <c r="C34" s="25" t="s">
        <v>2513</v>
      </c>
      <c r="D34" s="25" t="s">
        <v>1467</v>
      </c>
      <c r="E34" s="62" t="s">
        <v>2284</v>
      </c>
      <c r="F34" s="43" t="s">
        <v>506</v>
      </c>
      <c r="G34" s="124">
        <v>40088</v>
      </c>
      <c r="H34" s="1"/>
      <c r="I34" s="12"/>
      <c r="J34" s="1"/>
      <c r="K34" s="10"/>
      <c r="L34" s="9"/>
      <c r="M34" s="9"/>
      <c r="N34" s="2"/>
      <c r="O34" s="3"/>
      <c r="P34" s="9"/>
      <c r="Q34" s="1"/>
      <c r="R34" s="9"/>
      <c r="S34" s="1"/>
      <c r="T34" s="1"/>
      <c r="U34" s="1"/>
      <c r="V34" s="1"/>
      <c r="W34" s="1"/>
      <c r="X34" s="1"/>
      <c r="Y34" s="1"/>
      <c r="Z34" s="4"/>
      <c r="AA34" s="4"/>
      <c r="AB34" s="6"/>
      <c r="AC34" s="11"/>
      <c r="AD34" s="6"/>
      <c r="AE34" s="7"/>
      <c r="AF34" s="7"/>
      <c r="AG34" s="1"/>
      <c r="AH34" s="9"/>
      <c r="AI34" s="1"/>
      <c r="AJ34" s="2"/>
      <c r="AK34" s="9"/>
      <c r="AL34" s="10"/>
    </row>
    <row r="35" spans="1:38" s="5" customFormat="1" ht="38.25" hidden="1">
      <c r="A35" s="52" t="s">
        <v>108</v>
      </c>
      <c r="B35" s="25" t="s">
        <v>12</v>
      </c>
      <c r="C35" s="25" t="s">
        <v>2513</v>
      </c>
      <c r="D35" s="25" t="s">
        <v>1467</v>
      </c>
      <c r="E35" s="62" t="s">
        <v>679</v>
      </c>
      <c r="F35" s="41" t="s">
        <v>1080</v>
      </c>
      <c r="G35" s="124">
        <v>40087</v>
      </c>
      <c r="H35" s="1"/>
      <c r="I35" s="12"/>
      <c r="J35" s="1"/>
      <c r="K35" s="10"/>
      <c r="L35" s="9"/>
      <c r="M35" s="9"/>
      <c r="N35" s="2"/>
      <c r="O35" s="3"/>
      <c r="P35" s="9"/>
      <c r="Q35" s="1"/>
      <c r="R35" s="9"/>
      <c r="S35" s="1"/>
      <c r="T35" s="1"/>
      <c r="U35" s="1"/>
      <c r="V35" s="1"/>
      <c r="W35" s="1"/>
      <c r="X35" s="1"/>
      <c r="Y35" s="1"/>
      <c r="Z35" s="4"/>
      <c r="AA35" s="4"/>
      <c r="AB35" s="6"/>
      <c r="AC35" s="11"/>
      <c r="AD35" s="6"/>
      <c r="AE35" s="7"/>
      <c r="AF35" s="7"/>
      <c r="AG35" s="1"/>
      <c r="AH35" s="9"/>
      <c r="AI35" s="1"/>
      <c r="AJ35" s="2"/>
      <c r="AK35" s="9"/>
      <c r="AL35" s="10"/>
    </row>
    <row r="36" spans="1:38" s="5" customFormat="1" ht="76.5" hidden="1">
      <c r="A36" s="52" t="s">
        <v>438</v>
      </c>
      <c r="B36" s="25" t="s">
        <v>1845</v>
      </c>
      <c r="C36" s="25" t="s">
        <v>2513</v>
      </c>
      <c r="D36" s="25" t="s">
        <v>1467</v>
      </c>
      <c r="E36" s="62" t="s">
        <v>2939</v>
      </c>
      <c r="F36" s="41" t="s">
        <v>1080</v>
      </c>
      <c r="G36" s="124">
        <v>40092</v>
      </c>
      <c r="H36" s="1"/>
      <c r="I36" s="12"/>
      <c r="J36" s="1"/>
      <c r="K36" s="10"/>
      <c r="L36" s="9"/>
      <c r="M36" s="9"/>
      <c r="N36" s="2"/>
      <c r="O36" s="3"/>
      <c r="P36" s="9"/>
      <c r="Q36" s="1"/>
      <c r="R36" s="9"/>
      <c r="S36" s="1"/>
      <c r="T36" s="1"/>
      <c r="U36" s="1"/>
      <c r="V36" s="1"/>
      <c r="W36" s="1"/>
      <c r="X36" s="1"/>
      <c r="Y36" s="1"/>
      <c r="Z36" s="4"/>
      <c r="AA36" s="4"/>
      <c r="AB36" s="6"/>
      <c r="AC36" s="11"/>
      <c r="AD36" s="6"/>
      <c r="AE36" s="7"/>
      <c r="AF36" s="7"/>
      <c r="AG36" s="1"/>
      <c r="AH36" s="9"/>
      <c r="AI36" s="1"/>
      <c r="AJ36" s="2"/>
      <c r="AK36" s="9"/>
      <c r="AL36" s="10"/>
    </row>
    <row r="37" spans="1:38" s="5" customFormat="1" ht="76.5" hidden="1">
      <c r="A37" s="52" t="s">
        <v>106</v>
      </c>
      <c r="B37" s="25" t="s">
        <v>1848</v>
      </c>
      <c r="C37" s="25" t="s">
        <v>2513</v>
      </c>
      <c r="D37" s="25" t="s">
        <v>1467</v>
      </c>
      <c r="E37" s="62" t="s">
        <v>1212</v>
      </c>
      <c r="F37" s="41" t="s">
        <v>1080</v>
      </c>
      <c r="G37" s="124">
        <v>40092</v>
      </c>
      <c r="H37" s="1"/>
      <c r="I37" s="12"/>
      <c r="J37" s="1"/>
      <c r="K37" s="10"/>
      <c r="L37" s="9"/>
      <c r="M37" s="9"/>
      <c r="N37" s="2"/>
      <c r="O37" s="3"/>
      <c r="P37" s="9"/>
      <c r="Q37" s="1"/>
      <c r="R37" s="9"/>
      <c r="S37" s="1"/>
      <c r="T37" s="1"/>
      <c r="U37" s="1"/>
      <c r="V37" s="1"/>
      <c r="W37" s="1"/>
      <c r="X37" s="1"/>
      <c r="Y37" s="1"/>
      <c r="Z37" s="4"/>
      <c r="AA37" s="4"/>
      <c r="AB37" s="6"/>
      <c r="AC37" s="11"/>
      <c r="AD37" s="6"/>
      <c r="AE37" s="7"/>
      <c r="AF37" s="7"/>
      <c r="AG37" s="1"/>
      <c r="AH37" s="9"/>
      <c r="AI37" s="1"/>
      <c r="AJ37" s="2"/>
      <c r="AK37" s="9"/>
      <c r="AL37" s="10"/>
    </row>
    <row r="38" spans="1:38" s="5" customFormat="1" ht="63.75" hidden="1">
      <c r="A38" s="52" t="s">
        <v>1983</v>
      </c>
      <c r="B38" s="25" t="s">
        <v>1849</v>
      </c>
      <c r="C38" s="25" t="s">
        <v>2513</v>
      </c>
      <c r="D38" s="25" t="s">
        <v>1467</v>
      </c>
      <c r="E38" s="62" t="s">
        <v>2903</v>
      </c>
      <c r="F38" s="41" t="s">
        <v>1080</v>
      </c>
      <c r="G38" s="124">
        <v>40092</v>
      </c>
      <c r="H38" s="1"/>
      <c r="I38" s="12"/>
      <c r="J38" s="1"/>
      <c r="K38" s="10"/>
      <c r="L38" s="9"/>
      <c r="M38" s="9"/>
      <c r="N38" s="2"/>
      <c r="O38" s="3"/>
      <c r="P38" s="9"/>
      <c r="Q38" s="1"/>
      <c r="R38" s="9"/>
      <c r="S38" s="1"/>
      <c r="T38" s="1"/>
      <c r="U38" s="1"/>
      <c r="V38" s="1"/>
      <c r="W38" s="1"/>
      <c r="X38" s="1"/>
      <c r="Y38" s="1"/>
      <c r="Z38" s="4"/>
      <c r="AA38" s="4"/>
      <c r="AB38" s="6"/>
      <c r="AC38" s="11"/>
      <c r="AD38" s="6"/>
      <c r="AE38" s="7"/>
      <c r="AF38" s="7"/>
      <c r="AG38" s="1"/>
      <c r="AH38" s="9"/>
      <c r="AI38" s="1"/>
      <c r="AJ38" s="2"/>
      <c r="AK38" s="9"/>
      <c r="AL38" s="10"/>
    </row>
    <row r="39" spans="1:38" s="5" customFormat="1" ht="51" hidden="1">
      <c r="A39" s="52" t="s">
        <v>1988</v>
      </c>
      <c r="B39" s="25" t="s">
        <v>1850</v>
      </c>
      <c r="C39" s="25" t="s">
        <v>2513</v>
      </c>
      <c r="D39" s="25" t="s">
        <v>1467</v>
      </c>
      <c r="E39" s="62" t="s">
        <v>358</v>
      </c>
      <c r="F39" s="43" t="s">
        <v>506</v>
      </c>
      <c r="G39" s="124">
        <v>40092</v>
      </c>
      <c r="H39" s="1"/>
      <c r="I39" s="12"/>
      <c r="J39" s="1"/>
      <c r="K39" s="10"/>
      <c r="L39" s="9"/>
      <c r="M39" s="9"/>
      <c r="N39" s="2"/>
      <c r="O39" s="3"/>
      <c r="P39" s="9"/>
      <c r="Q39" s="1"/>
      <c r="R39" s="9"/>
      <c r="S39" s="1"/>
      <c r="T39" s="1"/>
      <c r="U39" s="1"/>
      <c r="V39" s="1"/>
      <c r="W39" s="1"/>
      <c r="X39" s="1"/>
      <c r="Y39" s="1"/>
      <c r="Z39" s="4"/>
      <c r="AA39" s="4"/>
      <c r="AB39" s="6"/>
      <c r="AC39" s="11"/>
      <c r="AD39" s="6"/>
      <c r="AE39" s="7"/>
      <c r="AF39" s="7"/>
      <c r="AG39" s="1"/>
      <c r="AH39" s="9"/>
      <c r="AI39" s="1"/>
      <c r="AJ39" s="2"/>
      <c r="AK39" s="9"/>
      <c r="AL39" s="10"/>
    </row>
    <row r="40" spans="1:38" s="5" customFormat="1" ht="51" hidden="1">
      <c r="A40" s="52" t="s">
        <v>1986</v>
      </c>
      <c r="B40" s="25" t="s">
        <v>925</v>
      </c>
      <c r="C40" s="25" t="s">
        <v>2513</v>
      </c>
      <c r="D40" s="25" t="s">
        <v>1467</v>
      </c>
      <c r="E40" s="62" t="s">
        <v>2296</v>
      </c>
      <c r="F40" s="41" t="s">
        <v>1080</v>
      </c>
      <c r="G40" s="124">
        <v>40093</v>
      </c>
      <c r="H40" s="1"/>
      <c r="I40" s="12"/>
      <c r="J40" s="1"/>
      <c r="K40" s="10"/>
      <c r="L40" s="9"/>
      <c r="M40" s="9"/>
      <c r="N40" s="2"/>
      <c r="O40" s="3"/>
      <c r="P40" s="9"/>
      <c r="Q40" s="1"/>
      <c r="R40" s="9"/>
      <c r="S40" s="1"/>
      <c r="T40" s="1"/>
      <c r="U40" s="1"/>
      <c r="V40" s="1"/>
      <c r="W40" s="1"/>
      <c r="X40" s="1"/>
      <c r="Y40" s="1"/>
      <c r="Z40" s="4"/>
      <c r="AA40" s="4"/>
      <c r="AB40" s="6"/>
      <c r="AC40" s="11"/>
      <c r="AD40" s="6"/>
      <c r="AE40" s="7"/>
      <c r="AF40" s="7"/>
      <c r="AG40" s="1"/>
      <c r="AH40" s="9"/>
      <c r="AI40" s="1"/>
      <c r="AJ40" s="2"/>
      <c r="AK40" s="9"/>
      <c r="AL40" s="10"/>
    </row>
    <row r="41" spans="1:38" s="5" customFormat="1" ht="153" hidden="1">
      <c r="A41" s="52" t="s">
        <v>1388</v>
      </c>
      <c r="B41" s="25" t="s">
        <v>926</v>
      </c>
      <c r="C41" s="25" t="s">
        <v>2513</v>
      </c>
      <c r="D41" s="25" t="s">
        <v>1467</v>
      </c>
      <c r="E41" s="62" t="s">
        <v>535</v>
      </c>
      <c r="F41" s="40" t="s">
        <v>980</v>
      </c>
      <c r="G41" s="124">
        <v>40095</v>
      </c>
      <c r="H41" s="1"/>
      <c r="I41" s="12"/>
      <c r="J41" s="1"/>
      <c r="K41" s="10"/>
      <c r="L41" s="9"/>
      <c r="M41" s="9"/>
      <c r="N41" s="2"/>
      <c r="O41" s="3"/>
      <c r="P41" s="9"/>
      <c r="Q41" s="1"/>
      <c r="R41" s="9"/>
      <c r="S41" s="1"/>
      <c r="T41" s="1"/>
      <c r="U41" s="1"/>
      <c r="V41" s="1"/>
      <c r="W41" s="1"/>
      <c r="X41" s="1"/>
      <c r="Y41" s="1"/>
      <c r="Z41" s="4"/>
      <c r="AA41" s="4"/>
      <c r="AB41" s="6"/>
      <c r="AC41" s="11"/>
      <c r="AD41" s="6"/>
      <c r="AE41" s="7"/>
      <c r="AF41" s="7"/>
      <c r="AG41" s="1"/>
      <c r="AH41" s="9"/>
      <c r="AI41" s="1"/>
      <c r="AJ41" s="2"/>
      <c r="AK41" s="9"/>
      <c r="AL41" s="10"/>
    </row>
    <row r="42" spans="1:38" s="5" customFormat="1" ht="51" hidden="1">
      <c r="A42" s="52" t="s">
        <v>2444</v>
      </c>
      <c r="B42" s="25" t="s">
        <v>1893</v>
      </c>
      <c r="C42" s="25" t="s">
        <v>2513</v>
      </c>
      <c r="D42" s="25" t="s">
        <v>1467</v>
      </c>
      <c r="E42" s="62" t="s">
        <v>405</v>
      </c>
      <c r="F42" s="41" t="s">
        <v>1080</v>
      </c>
      <c r="G42" s="124">
        <v>40095</v>
      </c>
      <c r="H42" s="1"/>
      <c r="I42" s="12"/>
      <c r="J42" s="1"/>
      <c r="K42" s="10"/>
      <c r="L42" s="9"/>
      <c r="M42" s="9"/>
      <c r="N42" s="2"/>
      <c r="O42" s="3"/>
      <c r="P42" s="9"/>
      <c r="Q42" s="1"/>
      <c r="R42" s="9"/>
      <c r="S42" s="1"/>
      <c r="T42" s="1"/>
      <c r="U42" s="1"/>
      <c r="V42" s="1"/>
      <c r="W42" s="1"/>
      <c r="X42" s="1"/>
      <c r="Y42" s="1"/>
      <c r="Z42" s="4"/>
      <c r="AA42" s="4"/>
      <c r="AB42" s="6"/>
      <c r="AC42" s="11"/>
      <c r="AD42" s="6"/>
      <c r="AE42" s="7"/>
      <c r="AF42" s="7"/>
      <c r="AG42" s="1"/>
      <c r="AH42" s="9"/>
      <c r="AI42" s="1"/>
      <c r="AJ42" s="2"/>
      <c r="AK42" s="9"/>
      <c r="AL42" s="10"/>
    </row>
    <row r="43" spans="1:38" s="5" customFormat="1" ht="51">
      <c r="A43" s="52" t="s">
        <v>1326</v>
      </c>
      <c r="B43" s="25" t="s">
        <v>1894</v>
      </c>
      <c r="C43" s="25" t="s">
        <v>2513</v>
      </c>
      <c r="D43" s="25" t="s">
        <v>1467</v>
      </c>
      <c r="E43" s="62" t="s">
        <v>2214</v>
      </c>
      <c r="F43" s="41" t="s">
        <v>1080</v>
      </c>
      <c r="G43" s="124">
        <v>40095</v>
      </c>
      <c r="H43" s="1"/>
      <c r="I43" s="12"/>
      <c r="J43" s="1"/>
      <c r="K43" s="10"/>
      <c r="L43" s="9"/>
      <c r="M43" s="9"/>
      <c r="N43" s="2"/>
      <c r="O43" s="3"/>
      <c r="P43" s="9"/>
      <c r="Q43" s="1"/>
      <c r="R43" s="9"/>
      <c r="S43" s="1"/>
      <c r="T43" s="1"/>
      <c r="U43" s="1"/>
      <c r="V43" s="1"/>
      <c r="W43" s="1"/>
      <c r="X43" s="1"/>
      <c r="Y43" s="1"/>
      <c r="Z43" s="4"/>
      <c r="AA43" s="4"/>
      <c r="AB43" s="6"/>
      <c r="AC43" s="11"/>
      <c r="AD43" s="6"/>
      <c r="AE43" s="7"/>
      <c r="AF43" s="7"/>
      <c r="AG43" s="1"/>
      <c r="AH43" s="9"/>
      <c r="AI43" s="1"/>
      <c r="AJ43" s="2"/>
      <c r="AK43" s="9"/>
      <c r="AL43" s="10"/>
    </row>
    <row r="44" spans="1:38" s="5" customFormat="1" ht="38.25">
      <c r="A44" s="52" t="s">
        <v>612</v>
      </c>
      <c r="B44" s="25" t="s">
        <v>1895</v>
      </c>
      <c r="C44" s="25" t="s">
        <v>2513</v>
      </c>
      <c r="D44" s="25" t="s">
        <v>1467</v>
      </c>
      <c r="E44" s="62" t="s">
        <v>1720</v>
      </c>
      <c r="F44" s="43" t="s">
        <v>506</v>
      </c>
      <c r="G44" s="124">
        <v>40095</v>
      </c>
      <c r="H44" s="1"/>
      <c r="I44" s="12"/>
      <c r="J44" s="1"/>
      <c r="K44" s="10"/>
      <c r="L44" s="9"/>
      <c r="M44" s="9"/>
      <c r="N44" s="2"/>
      <c r="O44" s="3"/>
      <c r="P44" s="9"/>
      <c r="Q44" s="1"/>
      <c r="R44" s="9"/>
      <c r="S44" s="1"/>
      <c r="T44" s="1"/>
      <c r="U44" s="1"/>
      <c r="V44" s="1"/>
      <c r="W44" s="1"/>
      <c r="X44" s="1"/>
      <c r="Y44" s="1"/>
      <c r="Z44" s="4"/>
      <c r="AA44" s="4"/>
      <c r="AB44" s="6"/>
      <c r="AC44" s="11"/>
      <c r="AD44" s="6"/>
      <c r="AE44" s="7"/>
      <c r="AF44" s="7"/>
      <c r="AG44" s="1"/>
      <c r="AH44" s="9"/>
      <c r="AI44" s="1"/>
      <c r="AJ44" s="2"/>
      <c r="AK44" s="9"/>
      <c r="AL44" s="10"/>
    </row>
    <row r="45" spans="1:38" s="5" customFormat="1" ht="25.5">
      <c r="A45" s="52" t="s">
        <v>108</v>
      </c>
      <c r="B45" s="25" t="s">
        <v>1896</v>
      </c>
      <c r="C45" s="25" t="s">
        <v>2513</v>
      </c>
      <c r="D45" s="25" t="s">
        <v>1467</v>
      </c>
      <c r="E45" s="62" t="s">
        <v>950</v>
      </c>
      <c r="F45" s="43" t="s">
        <v>506</v>
      </c>
      <c r="G45" s="124">
        <v>40095</v>
      </c>
      <c r="H45" s="1"/>
      <c r="I45" s="12"/>
      <c r="J45" s="1"/>
      <c r="K45" s="10"/>
      <c r="L45" s="9"/>
      <c r="M45" s="9"/>
      <c r="N45" s="2"/>
      <c r="O45" s="3"/>
      <c r="P45" s="9"/>
      <c r="Q45" s="1"/>
      <c r="R45" s="9"/>
      <c r="S45" s="1"/>
      <c r="T45" s="1"/>
      <c r="U45" s="1"/>
      <c r="V45" s="1"/>
      <c r="W45" s="1"/>
      <c r="X45" s="1"/>
      <c r="Y45" s="1"/>
      <c r="Z45" s="4"/>
      <c r="AA45" s="4"/>
      <c r="AB45" s="6"/>
      <c r="AC45" s="11"/>
      <c r="AD45" s="6"/>
      <c r="AE45" s="7"/>
      <c r="AF45" s="7"/>
      <c r="AG45" s="1"/>
      <c r="AH45" s="9"/>
      <c r="AI45" s="1"/>
      <c r="AJ45" s="2"/>
      <c r="AK45" s="9"/>
      <c r="AL45" s="10"/>
    </row>
    <row r="46" spans="1:38" s="5" customFormat="1" ht="38.25">
      <c r="A46" s="52" t="s">
        <v>1301</v>
      </c>
      <c r="B46" s="25" t="s">
        <v>1671</v>
      </c>
      <c r="C46" s="25" t="s">
        <v>2513</v>
      </c>
      <c r="D46" s="25" t="s">
        <v>1467</v>
      </c>
      <c r="E46" s="62" t="s">
        <v>2002</v>
      </c>
      <c r="F46" s="43" t="s">
        <v>506</v>
      </c>
      <c r="G46" s="124">
        <v>40100</v>
      </c>
      <c r="H46" s="1"/>
      <c r="I46" s="12"/>
      <c r="J46" s="1"/>
      <c r="K46" s="10"/>
      <c r="L46" s="9"/>
      <c r="M46" s="9"/>
      <c r="N46" s="2"/>
      <c r="O46" s="3"/>
      <c r="P46" s="9"/>
      <c r="Q46" s="1"/>
      <c r="R46" s="9"/>
      <c r="S46" s="1"/>
      <c r="T46" s="1"/>
      <c r="U46" s="1"/>
      <c r="V46" s="1"/>
      <c r="W46" s="1"/>
      <c r="X46" s="1"/>
      <c r="Y46" s="1"/>
      <c r="Z46" s="4"/>
      <c r="AA46" s="4"/>
      <c r="AB46" s="6"/>
      <c r="AC46" s="11"/>
      <c r="AD46" s="6"/>
      <c r="AE46" s="7"/>
      <c r="AF46" s="7"/>
      <c r="AG46" s="1"/>
      <c r="AH46" s="9"/>
      <c r="AI46" s="1"/>
      <c r="AJ46" s="2"/>
      <c r="AK46" s="9"/>
      <c r="AL46" s="10"/>
    </row>
    <row r="47" spans="1:38" s="5" customFormat="1" ht="51">
      <c r="A47" s="52" t="s">
        <v>2119</v>
      </c>
      <c r="B47" s="25" t="s">
        <v>21</v>
      </c>
      <c r="C47" s="25" t="s">
        <v>2513</v>
      </c>
      <c r="D47" s="25" t="s">
        <v>1467</v>
      </c>
      <c r="E47" s="62" t="s">
        <v>1408</v>
      </c>
      <c r="F47" s="41" t="s">
        <v>1080</v>
      </c>
      <c r="G47" s="124">
        <v>40102</v>
      </c>
      <c r="H47" s="1"/>
      <c r="I47" s="12"/>
      <c r="J47" s="1"/>
      <c r="K47" s="10"/>
      <c r="L47" s="9"/>
      <c r="M47" s="9"/>
      <c r="N47" s="2"/>
      <c r="O47" s="3"/>
      <c r="P47" s="9"/>
      <c r="Q47" s="1"/>
      <c r="R47" s="9"/>
      <c r="S47" s="1"/>
      <c r="T47" s="1"/>
      <c r="U47" s="1"/>
      <c r="V47" s="1"/>
      <c r="W47" s="1"/>
      <c r="X47" s="1"/>
      <c r="Y47" s="1"/>
      <c r="Z47" s="4"/>
      <c r="AA47" s="4"/>
      <c r="AB47" s="6"/>
      <c r="AC47" s="11"/>
      <c r="AD47" s="6"/>
      <c r="AE47" s="7"/>
      <c r="AF47" s="7"/>
      <c r="AG47" s="1"/>
      <c r="AH47" s="9"/>
      <c r="AI47" s="1"/>
      <c r="AJ47" s="2"/>
      <c r="AK47" s="9"/>
      <c r="AL47" s="10"/>
    </row>
    <row r="48" spans="1:38" s="5" customFormat="1" ht="63.75">
      <c r="A48" s="52" t="s">
        <v>2880</v>
      </c>
      <c r="B48" s="25" t="s">
        <v>641</v>
      </c>
      <c r="C48" s="25" t="s">
        <v>2513</v>
      </c>
      <c r="D48" s="25" t="s">
        <v>1467</v>
      </c>
      <c r="E48" s="62" t="s">
        <v>945</v>
      </c>
      <c r="F48" s="40" t="s">
        <v>980</v>
      </c>
      <c r="G48" s="124">
        <v>40107</v>
      </c>
      <c r="H48" s="1"/>
      <c r="I48" s="12"/>
      <c r="J48" s="1"/>
      <c r="K48" s="10"/>
      <c r="L48" s="9"/>
      <c r="M48" s="9"/>
      <c r="N48" s="2"/>
      <c r="O48" s="3"/>
      <c r="P48" s="9"/>
      <c r="Q48" s="1"/>
      <c r="R48" s="9"/>
      <c r="S48" s="1"/>
      <c r="T48" s="1"/>
      <c r="U48" s="1"/>
      <c r="V48" s="1"/>
      <c r="W48" s="1"/>
      <c r="X48" s="1"/>
      <c r="Y48" s="1"/>
      <c r="Z48" s="4"/>
      <c r="AA48" s="4"/>
      <c r="AB48" s="6"/>
      <c r="AC48" s="11"/>
      <c r="AD48" s="6"/>
      <c r="AE48" s="7"/>
      <c r="AF48" s="7"/>
      <c r="AG48" s="1"/>
      <c r="AH48" s="9"/>
      <c r="AI48" s="1"/>
      <c r="AJ48" s="2"/>
      <c r="AK48" s="9"/>
      <c r="AL48" s="10"/>
    </row>
    <row r="49" spans="1:38" s="5" customFormat="1" ht="38.25">
      <c r="A49" s="52" t="s">
        <v>1988</v>
      </c>
      <c r="B49" s="25" t="s">
        <v>1823</v>
      </c>
      <c r="C49" s="25" t="s">
        <v>2513</v>
      </c>
      <c r="D49" s="25" t="s">
        <v>1467</v>
      </c>
      <c r="E49" s="62" t="s">
        <v>500</v>
      </c>
      <c r="F49" s="43" t="s">
        <v>506</v>
      </c>
      <c r="G49" s="124">
        <v>40107</v>
      </c>
      <c r="H49" s="1"/>
      <c r="I49" s="12"/>
      <c r="J49" s="1"/>
      <c r="K49" s="10"/>
      <c r="L49" s="9"/>
      <c r="M49" s="9"/>
      <c r="N49" s="2"/>
      <c r="O49" s="3"/>
      <c r="P49" s="9"/>
      <c r="Q49" s="1"/>
      <c r="R49" s="9"/>
      <c r="S49" s="1"/>
      <c r="T49" s="1"/>
      <c r="U49" s="1"/>
      <c r="V49" s="1"/>
      <c r="W49" s="1"/>
      <c r="X49" s="1"/>
      <c r="Y49" s="1"/>
      <c r="Z49" s="4"/>
      <c r="AA49" s="4"/>
      <c r="AB49" s="6"/>
      <c r="AC49" s="11"/>
      <c r="AD49" s="6"/>
      <c r="AE49" s="7"/>
      <c r="AF49" s="7"/>
      <c r="AG49" s="1"/>
      <c r="AH49" s="9"/>
      <c r="AI49" s="1"/>
      <c r="AJ49" s="2"/>
      <c r="AK49" s="9"/>
      <c r="AL49" s="10"/>
    </row>
    <row r="50" spans="1:38" s="5" customFormat="1" ht="51">
      <c r="A50" s="52" t="s">
        <v>1354</v>
      </c>
      <c r="B50" s="25" t="s">
        <v>692</v>
      </c>
      <c r="C50" s="25" t="s">
        <v>2513</v>
      </c>
      <c r="D50" s="25" t="s">
        <v>1467</v>
      </c>
      <c r="E50" s="62" t="s">
        <v>1981</v>
      </c>
      <c r="F50" s="41" t="s">
        <v>1080</v>
      </c>
      <c r="G50" s="124">
        <v>40109</v>
      </c>
      <c r="H50" s="1"/>
      <c r="I50" s="12"/>
      <c r="J50" s="1"/>
      <c r="K50" s="10"/>
      <c r="L50" s="9"/>
      <c r="M50" s="9"/>
      <c r="N50" s="2"/>
      <c r="O50" s="3"/>
      <c r="P50" s="9"/>
      <c r="Q50" s="1"/>
      <c r="R50" s="9"/>
      <c r="S50" s="1"/>
      <c r="T50" s="1"/>
      <c r="U50" s="1"/>
      <c r="V50" s="1"/>
      <c r="W50" s="1"/>
      <c r="X50" s="1"/>
      <c r="Y50" s="1"/>
      <c r="Z50" s="4"/>
      <c r="AA50" s="4"/>
      <c r="AB50" s="6"/>
      <c r="AC50" s="11"/>
      <c r="AD50" s="6"/>
      <c r="AE50" s="7"/>
      <c r="AF50" s="7"/>
      <c r="AG50" s="1"/>
      <c r="AH50" s="9"/>
      <c r="AI50" s="1"/>
      <c r="AJ50" s="2"/>
      <c r="AK50" s="9"/>
      <c r="AL50" s="10"/>
    </row>
    <row r="51" spans="1:38" s="5" customFormat="1" ht="38.25">
      <c r="A51" s="52" t="s">
        <v>2119</v>
      </c>
      <c r="B51" s="25" t="s">
        <v>1486</v>
      </c>
      <c r="C51" s="25" t="s">
        <v>2513</v>
      </c>
      <c r="D51" s="25" t="s">
        <v>1467</v>
      </c>
      <c r="E51" s="62" t="s">
        <v>1980</v>
      </c>
      <c r="F51" s="41" t="s">
        <v>1080</v>
      </c>
      <c r="G51" s="124">
        <v>40109</v>
      </c>
      <c r="H51" s="1"/>
      <c r="I51" s="12"/>
      <c r="J51" s="1"/>
      <c r="K51" s="10"/>
      <c r="L51" s="9"/>
      <c r="M51" s="9"/>
      <c r="N51" s="2"/>
      <c r="O51" s="3"/>
      <c r="P51" s="9"/>
      <c r="Q51" s="1"/>
      <c r="R51" s="9"/>
      <c r="S51" s="1"/>
      <c r="T51" s="1"/>
      <c r="U51" s="1"/>
      <c r="V51" s="1"/>
      <c r="W51" s="1"/>
      <c r="X51" s="1"/>
      <c r="Y51" s="1"/>
      <c r="Z51" s="4"/>
      <c r="AA51" s="4"/>
      <c r="AB51" s="6"/>
      <c r="AC51" s="11"/>
      <c r="AD51" s="6"/>
      <c r="AE51" s="7"/>
      <c r="AF51" s="7"/>
      <c r="AG51" s="1"/>
      <c r="AH51" s="9"/>
      <c r="AI51" s="1"/>
      <c r="AJ51" s="2"/>
      <c r="AK51" s="9"/>
      <c r="AL51" s="10"/>
    </row>
    <row r="52" spans="1:38" s="5" customFormat="1" ht="38.25">
      <c r="A52" s="52" t="s">
        <v>1251</v>
      </c>
      <c r="B52" s="25" t="s">
        <v>24</v>
      </c>
      <c r="C52" s="25" t="s">
        <v>2513</v>
      </c>
      <c r="D52" s="25" t="s">
        <v>1467</v>
      </c>
      <c r="E52" s="62" t="s">
        <v>2806</v>
      </c>
      <c r="F52" s="41" t="s">
        <v>1080</v>
      </c>
      <c r="G52" s="124">
        <v>40115</v>
      </c>
      <c r="H52" s="1"/>
      <c r="I52" s="12"/>
      <c r="J52" s="1"/>
      <c r="K52" s="10"/>
      <c r="L52" s="9"/>
      <c r="M52" s="9"/>
      <c r="N52" s="2"/>
      <c r="O52" s="3"/>
      <c r="P52" s="9"/>
      <c r="Q52" s="1"/>
      <c r="R52" s="9"/>
      <c r="S52" s="1"/>
      <c r="T52" s="1"/>
      <c r="U52" s="1"/>
      <c r="V52" s="1"/>
      <c r="W52" s="1"/>
      <c r="X52" s="1"/>
      <c r="Y52" s="1"/>
      <c r="Z52" s="4"/>
      <c r="AA52" s="4"/>
      <c r="AB52" s="6"/>
      <c r="AC52" s="11"/>
      <c r="AD52" s="6"/>
      <c r="AE52" s="7"/>
      <c r="AF52" s="7"/>
      <c r="AG52" s="1"/>
      <c r="AH52" s="9"/>
      <c r="AI52" s="1"/>
      <c r="AJ52" s="2"/>
      <c r="AK52" s="9"/>
      <c r="AL52" s="10"/>
    </row>
    <row r="53" spans="1:38" s="5" customFormat="1" ht="63.75">
      <c r="A53" s="52" t="s">
        <v>1253</v>
      </c>
      <c r="B53" s="25" t="s">
        <v>25</v>
      </c>
      <c r="C53" s="25" t="s">
        <v>2513</v>
      </c>
      <c r="D53" s="25" t="s">
        <v>1467</v>
      </c>
      <c r="E53" s="62" t="s">
        <v>272</v>
      </c>
      <c r="F53" s="40" t="s">
        <v>980</v>
      </c>
      <c r="G53" s="124">
        <v>40115</v>
      </c>
      <c r="H53" s="1"/>
      <c r="I53" s="12"/>
      <c r="J53" s="1"/>
      <c r="K53" s="10"/>
      <c r="L53" s="9"/>
      <c r="M53" s="9"/>
      <c r="N53" s="2"/>
      <c r="O53" s="3"/>
      <c r="P53" s="9"/>
      <c r="Q53" s="1"/>
      <c r="R53" s="9"/>
      <c r="S53" s="1"/>
      <c r="T53" s="1"/>
      <c r="U53" s="1"/>
      <c r="V53" s="1"/>
      <c r="W53" s="1"/>
      <c r="X53" s="1"/>
      <c r="Y53" s="1"/>
      <c r="Z53" s="4"/>
      <c r="AA53" s="4"/>
      <c r="AB53" s="6"/>
      <c r="AC53" s="11"/>
      <c r="AD53" s="6"/>
      <c r="AE53" s="7"/>
      <c r="AF53" s="7"/>
      <c r="AG53" s="1"/>
      <c r="AH53" s="9"/>
      <c r="AI53" s="1"/>
      <c r="AJ53" s="2"/>
      <c r="AK53" s="9"/>
      <c r="AL53" s="10"/>
    </row>
    <row r="54" spans="1:38" s="5" customFormat="1" ht="25.5">
      <c r="A54" s="52" t="s">
        <v>229</v>
      </c>
      <c r="B54" s="25" t="s">
        <v>1626</v>
      </c>
      <c r="C54" s="25" t="s">
        <v>2513</v>
      </c>
      <c r="D54" s="25" t="s">
        <v>1467</v>
      </c>
      <c r="E54" s="62" t="s">
        <v>164</v>
      </c>
      <c r="F54" s="41" t="s">
        <v>1080</v>
      </c>
      <c r="G54" s="124">
        <v>40129</v>
      </c>
      <c r="H54" s="1"/>
      <c r="I54" s="12"/>
      <c r="J54" s="1"/>
      <c r="K54" s="10"/>
      <c r="L54" s="9"/>
      <c r="M54" s="9"/>
      <c r="N54" s="2"/>
      <c r="O54" s="3"/>
      <c r="P54" s="9"/>
      <c r="Q54" s="1"/>
      <c r="R54" s="9"/>
      <c r="S54" s="1"/>
      <c r="T54" s="1"/>
      <c r="U54" s="1"/>
      <c r="V54" s="1"/>
      <c r="W54" s="1"/>
      <c r="X54" s="1"/>
      <c r="Y54" s="1"/>
      <c r="Z54" s="4"/>
      <c r="AA54" s="4"/>
      <c r="AB54" s="6"/>
      <c r="AC54" s="11"/>
      <c r="AD54" s="6"/>
      <c r="AE54" s="7"/>
      <c r="AF54" s="7"/>
      <c r="AG54" s="1"/>
      <c r="AH54" s="9"/>
      <c r="AI54" s="1"/>
      <c r="AJ54" s="2"/>
      <c r="AK54" s="9"/>
      <c r="AL54" s="10"/>
    </row>
    <row r="55" spans="1:38" s="5" customFormat="1" ht="89.25">
      <c r="A55" s="52" t="s">
        <v>232</v>
      </c>
      <c r="B55" s="25" t="s">
        <v>1627</v>
      </c>
      <c r="C55" s="25" t="s">
        <v>2513</v>
      </c>
      <c r="D55" s="25" t="s">
        <v>1467</v>
      </c>
      <c r="E55" s="62" t="s">
        <v>1333</v>
      </c>
      <c r="F55" s="41" t="s">
        <v>1080</v>
      </c>
      <c r="G55" s="124">
        <v>40142</v>
      </c>
      <c r="H55" s="1"/>
      <c r="I55" s="12"/>
      <c r="J55" s="1"/>
      <c r="K55" s="10"/>
      <c r="L55" s="9"/>
      <c r="M55" s="9"/>
      <c r="N55" s="2"/>
      <c r="O55" s="3"/>
      <c r="P55" s="9"/>
      <c r="Q55" s="1"/>
      <c r="R55" s="9"/>
      <c r="S55" s="1"/>
      <c r="T55" s="1"/>
      <c r="U55" s="1"/>
      <c r="V55" s="1"/>
      <c r="W55" s="1"/>
      <c r="X55" s="1"/>
      <c r="Y55" s="1"/>
      <c r="Z55" s="4"/>
      <c r="AA55" s="4"/>
      <c r="AB55" s="6"/>
      <c r="AC55" s="11"/>
      <c r="AD55" s="6"/>
      <c r="AE55" s="7"/>
      <c r="AF55" s="7"/>
      <c r="AG55" s="1"/>
      <c r="AH55" s="9"/>
      <c r="AI55" s="1"/>
      <c r="AJ55" s="2"/>
      <c r="AK55" s="9"/>
      <c r="AL55" s="10"/>
    </row>
    <row r="56" spans="1:38" s="5" customFormat="1" ht="76.5">
      <c r="A56" s="52" t="s">
        <v>656</v>
      </c>
      <c r="B56" s="25" t="s">
        <v>949</v>
      </c>
      <c r="C56" s="25" t="s">
        <v>2513</v>
      </c>
      <c r="D56" s="25" t="s">
        <v>1467</v>
      </c>
      <c r="E56" s="62" t="s">
        <v>847</v>
      </c>
      <c r="F56" s="41" t="s">
        <v>1080</v>
      </c>
      <c r="G56" s="124">
        <v>40136</v>
      </c>
      <c r="H56" s="1"/>
      <c r="I56" s="12"/>
      <c r="J56" s="1"/>
      <c r="K56" s="10"/>
      <c r="L56" s="9"/>
      <c r="M56" s="9"/>
      <c r="N56" s="2"/>
      <c r="O56" s="3"/>
      <c r="P56" s="9"/>
      <c r="Q56" s="1"/>
      <c r="R56" s="9"/>
      <c r="S56" s="1"/>
      <c r="T56" s="1"/>
      <c r="U56" s="1"/>
      <c r="V56" s="1"/>
      <c r="W56" s="1"/>
      <c r="X56" s="1"/>
      <c r="Y56" s="1"/>
      <c r="Z56" s="4"/>
      <c r="AA56" s="4"/>
      <c r="AB56" s="6"/>
      <c r="AC56" s="11"/>
      <c r="AD56" s="6"/>
      <c r="AE56" s="7"/>
      <c r="AF56" s="7"/>
      <c r="AG56" s="1"/>
      <c r="AH56" s="9"/>
      <c r="AI56" s="1"/>
      <c r="AJ56" s="2"/>
      <c r="AK56" s="9"/>
      <c r="AL56" s="10"/>
    </row>
    <row r="57" spans="1:38" s="5" customFormat="1" ht="38.25">
      <c r="A57" s="52" t="s">
        <v>2345</v>
      </c>
      <c r="B57" s="25" t="s">
        <v>843</v>
      </c>
      <c r="C57" s="25" t="s">
        <v>2513</v>
      </c>
      <c r="D57" s="25" t="s">
        <v>1467</v>
      </c>
      <c r="E57" s="62" t="s">
        <v>203</v>
      </c>
      <c r="F57" s="43" t="s">
        <v>506</v>
      </c>
      <c r="G57" s="124">
        <v>40140</v>
      </c>
      <c r="H57" s="1"/>
      <c r="I57" s="12"/>
      <c r="J57" s="1"/>
      <c r="K57" s="10"/>
      <c r="L57" s="9"/>
      <c r="M57" s="9"/>
      <c r="N57" s="2"/>
      <c r="O57" s="3"/>
      <c r="P57" s="9"/>
      <c r="Q57" s="1"/>
      <c r="R57" s="9"/>
      <c r="S57" s="1"/>
      <c r="T57" s="1"/>
      <c r="U57" s="1"/>
      <c r="V57" s="1"/>
      <c r="W57" s="1"/>
      <c r="X57" s="1"/>
      <c r="Y57" s="1"/>
      <c r="Z57" s="4"/>
      <c r="AA57" s="4"/>
      <c r="AB57" s="6"/>
      <c r="AC57" s="11"/>
      <c r="AD57" s="6"/>
      <c r="AE57" s="7"/>
      <c r="AF57" s="7"/>
      <c r="AG57" s="1"/>
      <c r="AH57" s="9"/>
      <c r="AI57" s="1"/>
      <c r="AJ57" s="2"/>
      <c r="AK57" s="9"/>
      <c r="AL57" s="10"/>
    </row>
    <row r="58" spans="1:38" s="5" customFormat="1" ht="38.25">
      <c r="A58" s="52" t="s">
        <v>632</v>
      </c>
      <c r="B58" s="25" t="s">
        <v>385</v>
      </c>
      <c r="C58" s="25" t="s">
        <v>2513</v>
      </c>
      <c r="D58" s="25" t="s">
        <v>1467</v>
      </c>
      <c r="E58" s="62" t="s">
        <v>1339</v>
      </c>
      <c r="F58" s="41" t="s">
        <v>1080</v>
      </c>
      <c r="G58" s="124">
        <v>40165</v>
      </c>
      <c r="H58" s="1"/>
      <c r="I58" s="12"/>
      <c r="J58" s="1"/>
      <c r="K58" s="10"/>
      <c r="L58" s="9"/>
      <c r="M58" s="9"/>
      <c r="N58" s="2"/>
      <c r="O58" s="3"/>
      <c r="P58" s="9"/>
      <c r="Q58" s="1"/>
      <c r="R58" s="9"/>
      <c r="S58" s="1"/>
      <c r="T58" s="1"/>
      <c r="U58" s="1"/>
      <c r="V58" s="1"/>
      <c r="W58" s="1"/>
      <c r="X58" s="1"/>
      <c r="Y58" s="1"/>
      <c r="Z58" s="4"/>
      <c r="AA58" s="4"/>
      <c r="AB58" s="6"/>
      <c r="AC58" s="11"/>
      <c r="AD58" s="6"/>
      <c r="AE58" s="7"/>
      <c r="AF58" s="7"/>
      <c r="AG58" s="1"/>
      <c r="AH58" s="9"/>
      <c r="AI58" s="1"/>
      <c r="AJ58" s="2"/>
      <c r="AK58" s="9"/>
      <c r="AL58" s="10"/>
    </row>
    <row r="59" spans="1:38" s="5" customFormat="1" ht="25.5">
      <c r="A59" s="52" t="s">
        <v>656</v>
      </c>
      <c r="B59" s="25" t="s">
        <v>2390</v>
      </c>
      <c r="C59" s="25" t="s">
        <v>2513</v>
      </c>
      <c r="D59" s="25" t="s">
        <v>1467</v>
      </c>
      <c r="E59" s="62" t="s">
        <v>2173</v>
      </c>
      <c r="F59" s="43" t="s">
        <v>506</v>
      </c>
      <c r="G59" s="124">
        <v>40175</v>
      </c>
      <c r="H59" s="1"/>
      <c r="I59" s="12"/>
      <c r="J59" s="1"/>
      <c r="K59" s="10"/>
      <c r="L59" s="9"/>
      <c r="M59" s="9"/>
      <c r="N59" s="2"/>
      <c r="O59" s="3"/>
      <c r="P59" s="9"/>
      <c r="Q59" s="1"/>
      <c r="R59" s="9"/>
      <c r="S59" s="1"/>
      <c r="T59" s="1"/>
      <c r="U59" s="1"/>
      <c r="V59" s="1"/>
      <c r="W59" s="1"/>
      <c r="X59" s="1"/>
      <c r="Y59" s="1"/>
      <c r="Z59" s="4"/>
      <c r="AA59" s="4"/>
      <c r="AB59" s="6"/>
      <c r="AC59" s="11"/>
      <c r="AD59" s="6"/>
      <c r="AE59" s="7"/>
      <c r="AF59" s="7"/>
      <c r="AG59" s="1"/>
      <c r="AH59" s="9"/>
      <c r="AI59" s="1"/>
      <c r="AJ59" s="2"/>
      <c r="AK59" s="9"/>
      <c r="AL59" s="10"/>
    </row>
    <row r="60" spans="1:38" s="5" customFormat="1" ht="38.25">
      <c r="A60" s="52" t="s">
        <v>2876</v>
      </c>
      <c r="B60" s="25" t="s">
        <v>1762</v>
      </c>
      <c r="C60" s="25" t="s">
        <v>2513</v>
      </c>
      <c r="D60" s="25" t="s">
        <v>1467</v>
      </c>
      <c r="E60" s="62" t="s">
        <v>1116</v>
      </c>
      <c r="F60" s="43" t="s">
        <v>506</v>
      </c>
      <c r="G60" s="124">
        <v>40192</v>
      </c>
      <c r="H60" s="1"/>
      <c r="I60" s="12"/>
      <c r="J60" s="1"/>
      <c r="K60" s="10"/>
      <c r="L60" s="9"/>
      <c r="M60" s="9"/>
      <c r="N60" s="2"/>
      <c r="O60" s="3"/>
      <c r="P60" s="9"/>
      <c r="Q60" s="1"/>
      <c r="R60" s="9"/>
      <c r="S60" s="1"/>
      <c r="T60" s="1"/>
      <c r="U60" s="1"/>
      <c r="V60" s="1"/>
      <c r="W60" s="1"/>
      <c r="X60" s="1"/>
      <c r="Y60" s="1"/>
      <c r="Z60" s="4"/>
      <c r="AA60" s="4"/>
      <c r="AB60" s="6"/>
      <c r="AC60" s="11"/>
      <c r="AD60" s="6"/>
      <c r="AE60" s="7"/>
      <c r="AF60" s="7"/>
      <c r="AG60" s="1"/>
      <c r="AH60" s="9"/>
      <c r="AI60" s="1"/>
      <c r="AJ60" s="2"/>
      <c r="AK60" s="9"/>
      <c r="AL60" s="10"/>
    </row>
    <row r="61" spans="1:38" s="5" customFormat="1" ht="127.5">
      <c r="A61" s="52" t="s">
        <v>2222</v>
      </c>
      <c r="B61" s="25" t="s">
        <v>708</v>
      </c>
      <c r="C61" s="25" t="s">
        <v>2513</v>
      </c>
      <c r="D61" s="25" t="s">
        <v>1467</v>
      </c>
      <c r="E61" s="62" t="s">
        <v>2510</v>
      </c>
      <c r="F61" s="40" t="s">
        <v>980</v>
      </c>
      <c r="G61" s="124">
        <v>40214</v>
      </c>
      <c r="H61" s="1"/>
      <c r="I61" s="12"/>
      <c r="J61" s="1"/>
      <c r="K61" s="10"/>
      <c r="L61" s="9"/>
      <c r="M61" s="9"/>
      <c r="N61" s="2"/>
      <c r="O61" s="3"/>
      <c r="P61" s="9"/>
      <c r="Q61" s="1"/>
      <c r="R61" s="9"/>
      <c r="S61" s="1"/>
      <c r="T61" s="1"/>
      <c r="U61" s="1"/>
      <c r="V61" s="1"/>
      <c r="W61" s="1"/>
      <c r="X61" s="1"/>
      <c r="Y61" s="1"/>
      <c r="Z61" s="4"/>
      <c r="AA61" s="4"/>
      <c r="AB61" s="6"/>
      <c r="AC61" s="11"/>
      <c r="AD61" s="6"/>
      <c r="AE61" s="7"/>
      <c r="AF61" s="7"/>
      <c r="AG61" s="1"/>
      <c r="AH61" s="9"/>
      <c r="AI61" s="1"/>
      <c r="AJ61" s="2"/>
      <c r="AK61" s="9"/>
      <c r="AL61" s="10"/>
    </row>
    <row r="62" spans="1:38" s="5" customFormat="1" ht="89.25">
      <c r="A62" s="52" t="s">
        <v>2251</v>
      </c>
      <c r="B62" s="25" t="s">
        <v>2891</v>
      </c>
      <c r="C62" s="25" t="s">
        <v>2513</v>
      </c>
      <c r="D62" s="25" t="s">
        <v>1467</v>
      </c>
      <c r="E62" s="62" t="s">
        <v>2813</v>
      </c>
      <c r="F62" s="40" t="s">
        <v>980</v>
      </c>
      <c r="G62" s="124">
        <v>40214</v>
      </c>
      <c r="H62" s="1"/>
      <c r="I62" s="12"/>
      <c r="J62" s="1"/>
      <c r="K62" s="10"/>
      <c r="L62" s="9"/>
      <c r="M62" s="9"/>
      <c r="N62" s="2"/>
      <c r="O62" s="3"/>
      <c r="P62" s="9"/>
      <c r="Q62" s="1"/>
      <c r="R62" s="9"/>
      <c r="S62" s="1"/>
      <c r="T62" s="1"/>
      <c r="U62" s="1"/>
      <c r="V62" s="1"/>
      <c r="W62" s="1"/>
      <c r="X62" s="1"/>
      <c r="Y62" s="1"/>
      <c r="Z62" s="4"/>
      <c r="AA62" s="4"/>
      <c r="AB62" s="6"/>
      <c r="AC62" s="11"/>
      <c r="AD62" s="6"/>
      <c r="AE62" s="7"/>
      <c r="AF62" s="7"/>
      <c r="AG62" s="1"/>
      <c r="AH62" s="9"/>
      <c r="AI62" s="1"/>
      <c r="AJ62" s="2"/>
      <c r="AK62" s="9"/>
      <c r="AL62" s="10"/>
    </row>
    <row r="63" spans="1:38" s="5" customFormat="1" ht="76.5">
      <c r="A63" s="52" t="s">
        <v>1465</v>
      </c>
      <c r="B63" s="25" t="s">
        <v>453</v>
      </c>
      <c r="C63" s="25" t="s">
        <v>841</v>
      </c>
      <c r="D63" s="25" t="s">
        <v>1467</v>
      </c>
      <c r="E63" s="62" t="s">
        <v>560</v>
      </c>
      <c r="F63" s="43" t="s">
        <v>506</v>
      </c>
      <c r="G63" s="124">
        <v>40242</v>
      </c>
      <c r="H63" s="1"/>
      <c r="I63" s="12"/>
      <c r="J63" s="1"/>
      <c r="K63" s="10"/>
      <c r="L63" s="9"/>
      <c r="M63" s="9"/>
      <c r="N63" s="2"/>
      <c r="O63" s="3"/>
      <c r="P63" s="9"/>
      <c r="Q63" s="1"/>
      <c r="R63" s="9"/>
      <c r="S63" s="1"/>
      <c r="T63" s="1"/>
      <c r="U63" s="1"/>
      <c r="V63" s="1"/>
      <c r="W63" s="1"/>
      <c r="X63" s="1"/>
      <c r="Y63" s="1"/>
      <c r="Z63" s="4"/>
      <c r="AA63" s="4"/>
      <c r="AB63" s="6"/>
      <c r="AC63" s="11"/>
      <c r="AD63" s="6"/>
      <c r="AE63" s="7"/>
      <c r="AF63" s="7"/>
      <c r="AG63" s="1"/>
      <c r="AH63" s="9"/>
      <c r="AI63" s="1"/>
      <c r="AJ63" s="2"/>
      <c r="AK63" s="9"/>
      <c r="AL63" s="10"/>
    </row>
    <row r="64" spans="1:38" s="5" customFormat="1" ht="51">
      <c r="A64" s="52" t="s">
        <v>2825</v>
      </c>
      <c r="B64" s="25" t="s">
        <v>86</v>
      </c>
      <c r="C64" s="25" t="s">
        <v>2513</v>
      </c>
      <c r="D64" s="25" t="s">
        <v>1467</v>
      </c>
      <c r="E64" s="62" t="s">
        <v>430</v>
      </c>
      <c r="F64" s="43" t="s">
        <v>506</v>
      </c>
      <c r="G64" s="124">
        <v>40245</v>
      </c>
      <c r="H64" s="1"/>
      <c r="I64" s="12"/>
      <c r="J64" s="1"/>
      <c r="K64" s="10"/>
      <c r="L64" s="9"/>
      <c r="M64" s="9"/>
      <c r="N64" s="2"/>
      <c r="O64" s="3"/>
      <c r="P64" s="9"/>
      <c r="Q64" s="1"/>
      <c r="R64" s="9"/>
      <c r="S64" s="1"/>
      <c r="T64" s="1"/>
      <c r="U64" s="1"/>
      <c r="V64" s="1"/>
      <c r="W64" s="1"/>
      <c r="X64" s="1"/>
      <c r="Y64" s="1"/>
      <c r="Z64" s="4"/>
      <c r="AA64" s="4"/>
      <c r="AB64" s="6"/>
      <c r="AC64" s="11"/>
      <c r="AD64" s="6"/>
      <c r="AE64" s="7"/>
      <c r="AF64" s="7"/>
      <c r="AG64" s="1"/>
      <c r="AH64" s="9"/>
      <c r="AI64" s="1"/>
      <c r="AJ64" s="2"/>
      <c r="AK64" s="9"/>
      <c r="AL64" s="10"/>
    </row>
  </sheetData>
  <autoFilter ref="A1:F64"/>
  <customSheetViews>
    <customSheetView guid="{3DC6DB2D-2732-413F-B168-80FED6A56EC0}" showPageBreaks="1" showAutoFilter="1" hiddenRows="1" state="hidden">
      <pane xSplit="2" ySplit="41" topLeftCell="C58" activePane="bottomRight" state="frozen"/>
      <selection pane="bottomRight" activeCell="E98" sqref="E98"/>
      <pageMargins left="0.78740157499999996" right="0.78740157499999996" top="0.984251969" bottom="0.984251969" header="0.5" footer="0.5"/>
      <pageSetup orientation="portrait" r:id="rId1"/>
      <headerFooter alignWithMargins="0"/>
      <autoFilter ref="B1:G1"/>
    </customSheetView>
    <customSheetView guid="{B7B7C792-01A7-4AC6-B514-9B8806F4E6E0}" showAutoFilter="1" hiddenRows="1" state="hidden">
      <pane xSplit="2" ySplit="41" topLeftCell="C58" activePane="bottomRight" state="frozen"/>
      <selection pane="bottomRight" activeCell="E98" sqref="E98"/>
      <pageMargins left="0.78740157499999996" right="0.78740157499999996" top="0.984251969" bottom="0.984251969" header="0.5" footer="0.5"/>
      <pageSetup orientation="portrait" r:id="rId2"/>
      <headerFooter alignWithMargins="0"/>
      <autoFilter ref="B1:G1"/>
    </customSheetView>
    <customSheetView guid="{269F1B10-4E07-42BC-BAEF-00343A929B24}" showAutoFilter="1" hiddenRows="1" state="hidden">
      <pane xSplit="2" ySplit="41" topLeftCell="C58" activePane="bottomRight" state="frozen"/>
      <selection pane="bottomRight" activeCell="E98" sqref="E98"/>
      <pageMargins left="0.78740157499999996" right="0.78740157499999996" top="0.984251969" bottom="0.984251969" header="0.5" footer="0.5"/>
      <pageSetup orientation="portrait" r:id="rId3"/>
      <headerFooter alignWithMargins="0"/>
      <autoFilter ref="B1:G1"/>
    </customSheetView>
    <customSheetView guid="{2480A4FF-65AB-41EC-9340-4163653E8C2C}" showAutoFilter="1" hiddenRows="1" state="hidden">
      <pane xSplit="2" ySplit="41" topLeftCell="C58" activePane="bottomRight" state="frozen"/>
      <selection pane="bottomRight" activeCell="E98" sqref="E98"/>
      <pageMargins left="0.78740157499999996" right="0.78740157499999996" top="0.984251969" bottom="0.984251969" header="0.5" footer="0.5"/>
      <pageSetup orientation="portrait" r:id="rId4"/>
      <headerFooter alignWithMargins="0"/>
      <autoFilter ref="B1:G1"/>
    </customSheetView>
    <customSheetView guid="{316BA082-4614-439F-9CB4-340D61BDC344}" showAutoFilter="1" hiddenRows="1" state="hidden">
      <pane xSplit="2" ySplit="41" topLeftCell="C58" activePane="bottomRight" state="frozen"/>
      <selection pane="bottomRight" activeCell="E98" sqref="E98"/>
      <pageMargins left="0.78740157499999996" right="0.78740157499999996" top="0.984251969" bottom="0.984251969" header="0.5" footer="0.5"/>
      <pageSetup orientation="portrait" r:id="rId5"/>
      <headerFooter alignWithMargins="0"/>
      <autoFilter ref="B1:G1"/>
    </customSheetView>
    <customSheetView guid="{8FE2D47B-0E59-4D19-A2DA-A420176425F0}" showAutoFilter="1" showRuler="0">
      <pane xSplit="2" ySplit="1" topLeftCell="C53" activePane="bottomRight" state="frozen"/>
      <selection pane="bottomRight" activeCell="E59" sqref="E59"/>
      <pageMargins left="0.78740157499999996" right="0.78740157499999996" top="0.984251969" bottom="0.984251969" header="0.5" footer="0.5"/>
      <pageSetup orientation="portrait" r:id="rId6"/>
      <headerFooter alignWithMargins="0"/>
      <autoFilter ref="B1:G1"/>
    </customSheetView>
    <customSheetView guid="{471B9EAC-32FD-4AB4-B189-11C2ED8F5F72}" showAutoFilter="1">
      <pane xSplit="2" ySplit="1" topLeftCell="C53" activePane="bottomRight" state="frozen"/>
      <selection pane="bottomRight" activeCell="B56" sqref="B56"/>
      <pageMargins left="0.78740157499999996" right="0.78740157499999996" top="0.984251969" bottom="0.984251969" header="0.5" footer="0.5"/>
      <headerFooter alignWithMargins="0"/>
      <autoFilter ref="B1:G1"/>
    </customSheetView>
    <customSheetView guid="{737B1B74-A15D-4372-A92B-22C1B1EB3690}" showAutoFilter="1">
      <pane xSplit="2" ySplit="1" topLeftCell="C53" activePane="bottomRight" state="frozen"/>
      <selection pane="bottomRight" activeCell="B56" sqref="B56"/>
      <pageMargins left="0.78740157499999996" right="0.78740157499999996" top="0.984251969" bottom="0.984251969" header="0.5" footer="0.5"/>
      <headerFooter alignWithMargins="0"/>
      <autoFilter ref="B1:G1"/>
    </customSheetView>
    <customSheetView guid="{91008F47-B234-416A-9BC2-294844B4E685}" showAutoFilter="1" showRuler="0">
      <pane xSplit="2" ySplit="1" topLeftCell="C53" activePane="bottomRight" state="frozen"/>
      <selection pane="bottomRight" activeCell="E59" sqref="E59"/>
      <pageMargins left="0.78740157499999996" right="0.78740157499999996" top="0.984251969" bottom="0.984251969" header="0.5" footer="0.5"/>
      <headerFooter alignWithMargins="0"/>
      <autoFilter ref="B1:G1"/>
    </customSheetView>
    <customSheetView guid="{38CDF8B5-0F48-433A-A36F-EAD87AD19578}" showPageBreaks="1" showAutoFilter="1" hiddenRows="1" state="hidden">
      <pane xSplit="2" ySplit="41" topLeftCell="C58" activePane="bottomRight" state="frozen"/>
      <selection pane="bottomRight" activeCell="E98" sqref="E98"/>
      <pageMargins left="0.78740157499999996" right="0.78740157499999996" top="0.984251969" bottom="0.984251969" header="0.5" footer="0.5"/>
      <pageSetup orientation="portrait" r:id="rId7"/>
      <headerFooter alignWithMargins="0"/>
      <autoFilter ref="B1:G1"/>
    </customSheetView>
    <customSheetView guid="{DEAD857C-E742-4582-892F-EFCA94380712}" showPageBreaks="1" showAutoFilter="1" hiddenRows="1" state="hidden">
      <pane xSplit="2" ySplit="41" topLeftCell="C58" activePane="bottomRight" state="frozen"/>
      <selection pane="bottomRight" activeCell="E98" sqref="E98"/>
      <pageMargins left="0.78740157499999996" right="0.78740157499999996" top="0.984251969" bottom="0.984251969" header="0.5" footer="0.5"/>
      <pageSetup orientation="portrait" r:id="rId8"/>
      <headerFooter alignWithMargins="0"/>
      <autoFilter ref="B1:G1"/>
    </customSheetView>
  </customSheetViews>
  <phoneticPr fontId="3" type="noConversion"/>
  <pageMargins left="0.78740157499999996" right="0.78740157499999996" top="0.984251969" bottom="0.984251969" header="0.5" footer="0.5"/>
  <pageSetup orientation="portrait" r:id="rId9"/>
  <headerFooter alignWithMargins="0"/>
</worksheet>
</file>

<file path=xl/worksheets/sheet7.xml><?xml version="1.0" encoding="utf-8"?>
<worksheet xmlns="http://schemas.openxmlformats.org/spreadsheetml/2006/main" xmlns:r="http://schemas.openxmlformats.org/officeDocument/2006/relationships">
  <dimension ref="A1:M113"/>
  <sheetViews>
    <sheetView workbookViewId="0">
      <pane xSplit="1" ySplit="1" topLeftCell="B2" activePane="bottomRight" state="frozen"/>
      <selection pane="topRight" activeCell="B1" sqref="B1"/>
      <selection pane="bottomLeft" activeCell="A2" sqref="A2"/>
      <selection pane="bottomRight" activeCell="J2" sqref="J2"/>
    </sheetView>
  </sheetViews>
  <sheetFormatPr defaultRowHeight="12.75"/>
  <cols>
    <col min="1" max="1" width="3.7109375" customWidth="1"/>
    <col min="3" max="3" width="13.28515625" bestFit="1" customWidth="1"/>
    <col min="5" max="5" width="11" bestFit="1" customWidth="1"/>
    <col min="6" max="6" width="15.5703125" customWidth="1"/>
    <col min="7" max="7" width="11.5703125" bestFit="1" customWidth="1"/>
    <col min="8" max="8" width="11.140625" bestFit="1" customWidth="1"/>
    <col min="11" max="11" width="46.7109375" bestFit="1" customWidth="1"/>
  </cols>
  <sheetData>
    <row r="1" spans="1:13" ht="24">
      <c r="A1" s="177"/>
      <c r="B1" s="66" t="s">
        <v>872</v>
      </c>
      <c r="C1" s="67" t="s">
        <v>1201</v>
      </c>
      <c r="D1" s="68" t="s">
        <v>873</v>
      </c>
      <c r="E1" s="68" t="s">
        <v>508</v>
      </c>
      <c r="F1" s="69" t="s">
        <v>511</v>
      </c>
      <c r="G1" s="70" t="s">
        <v>510</v>
      </c>
      <c r="H1" s="178" t="s">
        <v>874</v>
      </c>
      <c r="I1" s="178" t="s">
        <v>1185</v>
      </c>
      <c r="J1" s="71" t="s">
        <v>1186</v>
      </c>
      <c r="K1" s="68" t="s">
        <v>1205</v>
      </c>
      <c r="L1" s="68" t="s">
        <v>2340</v>
      </c>
      <c r="M1" s="68" t="s">
        <v>2156</v>
      </c>
    </row>
    <row r="2" spans="1:13" ht="108">
      <c r="A2" s="139" t="s">
        <v>515</v>
      </c>
      <c r="B2" s="179" t="s">
        <v>2436</v>
      </c>
      <c r="C2" s="148" t="s">
        <v>1187</v>
      </c>
      <c r="D2" s="148" t="s">
        <v>521</v>
      </c>
      <c r="E2" s="149">
        <v>4600021600</v>
      </c>
      <c r="F2" s="149">
        <v>94171685</v>
      </c>
      <c r="G2" s="148" t="s">
        <v>735</v>
      </c>
      <c r="H2" s="150">
        <v>11690.78</v>
      </c>
      <c r="I2" s="150" t="s">
        <v>1188</v>
      </c>
      <c r="J2" s="139"/>
      <c r="K2" s="164" t="s">
        <v>734</v>
      </c>
      <c r="L2" s="164"/>
      <c r="M2" s="139"/>
    </row>
    <row r="3" spans="1:13" ht="192">
      <c r="A3" s="139" t="s">
        <v>515</v>
      </c>
      <c r="B3" s="179" t="s">
        <v>2435</v>
      </c>
      <c r="C3" s="148" t="s">
        <v>1187</v>
      </c>
      <c r="D3" s="148" t="s">
        <v>521</v>
      </c>
      <c r="E3" s="149" t="s">
        <v>736</v>
      </c>
      <c r="F3" s="149" t="s">
        <v>737</v>
      </c>
      <c r="G3" s="148" t="s">
        <v>738</v>
      </c>
      <c r="H3" s="150">
        <v>23381.56</v>
      </c>
      <c r="I3" s="150" t="s">
        <v>1188</v>
      </c>
      <c r="J3" s="145">
        <v>40155</v>
      </c>
      <c r="K3" s="164" t="s">
        <v>1313</v>
      </c>
      <c r="L3" s="204" t="s">
        <v>506</v>
      </c>
      <c r="M3" s="145">
        <v>40157</v>
      </c>
    </row>
    <row r="4" spans="1:13" ht="229.5">
      <c r="A4" s="139" t="s">
        <v>515</v>
      </c>
      <c r="B4" s="180" t="s">
        <v>221</v>
      </c>
      <c r="C4" s="148" t="s">
        <v>2518</v>
      </c>
      <c r="D4" s="148" t="s">
        <v>1750</v>
      </c>
      <c r="E4" s="149">
        <v>4600022085</v>
      </c>
      <c r="F4" s="149">
        <v>2210003417</v>
      </c>
      <c r="G4" s="148" t="s">
        <v>1196</v>
      </c>
      <c r="H4" s="150">
        <v>3350</v>
      </c>
      <c r="I4" s="150" t="s">
        <v>1193</v>
      </c>
      <c r="J4" s="145">
        <v>40150</v>
      </c>
      <c r="K4" s="141" t="s">
        <v>1881</v>
      </c>
      <c r="L4" s="143" t="s">
        <v>506</v>
      </c>
      <c r="M4" s="145">
        <v>40152</v>
      </c>
    </row>
    <row r="5" spans="1:13" ht="114.75">
      <c r="A5" s="139" t="s">
        <v>515</v>
      </c>
      <c r="B5" s="180" t="s">
        <v>225</v>
      </c>
      <c r="C5" s="148" t="s">
        <v>1793</v>
      </c>
      <c r="D5" s="148" t="s">
        <v>1197</v>
      </c>
      <c r="E5" s="149">
        <v>4600021524</v>
      </c>
      <c r="F5" s="149" t="s">
        <v>226</v>
      </c>
      <c r="G5" s="148">
        <v>4394632137</v>
      </c>
      <c r="H5" s="150">
        <v>4598.8</v>
      </c>
      <c r="I5" s="150" t="s">
        <v>1193</v>
      </c>
      <c r="J5" s="145">
        <v>40145</v>
      </c>
      <c r="K5" s="141" t="s">
        <v>1976</v>
      </c>
      <c r="L5" s="143" t="s">
        <v>506</v>
      </c>
      <c r="M5" s="145">
        <v>40149</v>
      </c>
    </row>
    <row r="6" spans="1:13" s="188" customFormat="1" ht="114.75">
      <c r="A6" s="182" t="s">
        <v>515</v>
      </c>
      <c r="B6" s="183" t="s">
        <v>1644</v>
      </c>
      <c r="C6" s="184" t="s">
        <v>780</v>
      </c>
      <c r="D6" s="184" t="s">
        <v>2952</v>
      </c>
      <c r="E6" s="185">
        <v>4800002105</v>
      </c>
      <c r="F6" s="185" t="s">
        <v>1645</v>
      </c>
      <c r="G6" s="184">
        <v>4394633551</v>
      </c>
      <c r="H6" s="186">
        <v>19656</v>
      </c>
      <c r="I6" s="186" t="s">
        <v>1193</v>
      </c>
      <c r="J6" s="190">
        <v>40148</v>
      </c>
      <c r="K6" s="187" t="s">
        <v>739</v>
      </c>
      <c r="L6" s="193" t="s">
        <v>506</v>
      </c>
      <c r="M6" s="190">
        <v>40149</v>
      </c>
    </row>
    <row r="7" spans="1:13" s="16" customFormat="1" ht="89.25">
      <c r="A7" s="146" t="s">
        <v>515</v>
      </c>
      <c r="B7" s="180" t="s">
        <v>1929</v>
      </c>
      <c r="C7" s="148" t="s">
        <v>900</v>
      </c>
      <c r="D7" s="148" t="s">
        <v>521</v>
      </c>
      <c r="E7" s="149">
        <v>4600021387</v>
      </c>
      <c r="F7" s="149">
        <v>4024102</v>
      </c>
      <c r="G7" s="148">
        <v>414608131</v>
      </c>
      <c r="H7" s="150">
        <v>644</v>
      </c>
      <c r="I7" s="150" t="s">
        <v>1193</v>
      </c>
      <c r="J7" s="133">
        <v>40147</v>
      </c>
      <c r="K7" s="189" t="s">
        <v>205</v>
      </c>
      <c r="L7" s="152" t="s">
        <v>506</v>
      </c>
      <c r="M7" s="133">
        <v>40149</v>
      </c>
    </row>
    <row r="8" spans="1:13" s="188" customFormat="1" ht="165.75">
      <c r="A8" s="182" t="s">
        <v>515</v>
      </c>
      <c r="B8" s="183" t="s">
        <v>1930</v>
      </c>
      <c r="C8" s="184" t="s">
        <v>1189</v>
      </c>
      <c r="D8" s="184" t="s">
        <v>53</v>
      </c>
      <c r="E8" s="185">
        <v>4600022498</v>
      </c>
      <c r="F8" s="185" t="s">
        <v>1931</v>
      </c>
      <c r="G8" s="184">
        <v>414608133</v>
      </c>
      <c r="H8" s="186">
        <v>9440</v>
      </c>
      <c r="I8" s="186" t="s">
        <v>1193</v>
      </c>
      <c r="J8" s="190">
        <v>40147</v>
      </c>
      <c r="K8" s="191" t="s">
        <v>1995</v>
      </c>
      <c r="L8" s="193" t="s">
        <v>506</v>
      </c>
      <c r="M8" s="190">
        <v>40149</v>
      </c>
    </row>
    <row r="9" spans="1:13" s="16" customFormat="1" ht="140.25">
      <c r="A9" s="146" t="s">
        <v>515</v>
      </c>
      <c r="B9" s="180" t="s">
        <v>1334</v>
      </c>
      <c r="C9" s="148" t="s">
        <v>1335</v>
      </c>
      <c r="D9" s="148" t="s">
        <v>1336</v>
      </c>
      <c r="E9" s="149">
        <v>4800002124</v>
      </c>
      <c r="F9" s="149">
        <v>9383275944</v>
      </c>
      <c r="G9" s="192" t="s">
        <v>1316</v>
      </c>
      <c r="H9" s="150">
        <v>60500</v>
      </c>
      <c r="I9" s="150" t="s">
        <v>1193</v>
      </c>
      <c r="J9" s="133">
        <v>40150</v>
      </c>
      <c r="K9" s="189" t="s">
        <v>2334</v>
      </c>
      <c r="L9" s="152" t="s">
        <v>506</v>
      </c>
      <c r="M9" s="133">
        <v>40152</v>
      </c>
    </row>
    <row r="10" spans="1:13" s="16" customFormat="1" ht="216.75">
      <c r="A10" s="146" t="s">
        <v>515</v>
      </c>
      <c r="B10" s="180" t="s">
        <v>915</v>
      </c>
      <c r="C10" s="148" t="s">
        <v>704</v>
      </c>
      <c r="D10" s="148" t="s">
        <v>1750</v>
      </c>
      <c r="E10" s="149">
        <v>4600022775</v>
      </c>
      <c r="F10" s="149" t="s">
        <v>2285</v>
      </c>
      <c r="G10" s="148" t="s">
        <v>2286</v>
      </c>
      <c r="H10" s="150">
        <v>4800</v>
      </c>
      <c r="I10" s="150" t="s">
        <v>1193</v>
      </c>
      <c r="J10" s="133">
        <v>40153</v>
      </c>
      <c r="K10" s="189" t="s">
        <v>2636</v>
      </c>
      <c r="L10" s="170" t="s">
        <v>1080</v>
      </c>
      <c r="M10" s="133">
        <v>40157</v>
      </c>
    </row>
    <row r="11" spans="1:13" s="31" customFormat="1" ht="102">
      <c r="A11" s="52" t="s">
        <v>515</v>
      </c>
      <c r="B11" s="113" t="s">
        <v>1412</v>
      </c>
      <c r="C11" s="115" t="s">
        <v>1741</v>
      </c>
      <c r="D11" s="113" t="s">
        <v>2263</v>
      </c>
      <c r="E11" s="115">
        <v>4800002135</v>
      </c>
      <c r="F11" s="115" t="s">
        <v>2327</v>
      </c>
      <c r="G11" s="52">
        <v>412306523</v>
      </c>
      <c r="H11" s="114">
        <v>1249.5</v>
      </c>
      <c r="I11" s="114" t="s">
        <v>1193</v>
      </c>
      <c r="J11" s="165">
        <v>40155</v>
      </c>
      <c r="K11" s="32" t="s">
        <v>2721</v>
      </c>
      <c r="L11" s="43" t="s">
        <v>506</v>
      </c>
      <c r="M11" s="93">
        <v>40157</v>
      </c>
    </row>
    <row r="12" spans="1:13" s="31" customFormat="1" ht="89.25">
      <c r="A12" s="52" t="s">
        <v>515</v>
      </c>
      <c r="B12" s="113" t="s">
        <v>409</v>
      </c>
      <c r="C12" s="115" t="s">
        <v>410</v>
      </c>
      <c r="D12" s="113" t="s">
        <v>2263</v>
      </c>
      <c r="E12" s="115">
        <v>4800002138</v>
      </c>
      <c r="F12" s="115" t="s">
        <v>411</v>
      </c>
      <c r="G12" s="52">
        <v>4394634563</v>
      </c>
      <c r="H12" s="114">
        <v>342.72</v>
      </c>
      <c r="I12" s="114" t="s">
        <v>1193</v>
      </c>
      <c r="J12" s="165">
        <v>40154</v>
      </c>
      <c r="K12" s="32" t="s">
        <v>2090</v>
      </c>
      <c r="L12" s="43" t="s">
        <v>506</v>
      </c>
      <c r="M12" s="93">
        <v>40155</v>
      </c>
    </row>
    <row r="13" spans="1:13" s="31" customFormat="1" ht="114.75">
      <c r="A13" s="52" t="s">
        <v>515</v>
      </c>
      <c r="B13" s="113" t="s">
        <v>412</v>
      </c>
      <c r="C13" s="115" t="s">
        <v>413</v>
      </c>
      <c r="D13" s="113" t="s">
        <v>775</v>
      </c>
      <c r="E13" s="115">
        <v>4600022268</v>
      </c>
      <c r="F13" s="115" t="s">
        <v>414</v>
      </c>
      <c r="G13" s="52">
        <v>4811743813</v>
      </c>
      <c r="H13" s="114">
        <v>137.66999999999999</v>
      </c>
      <c r="I13" s="114" t="s">
        <v>1193</v>
      </c>
      <c r="J13" s="165">
        <v>40154</v>
      </c>
      <c r="K13" s="32" t="s">
        <v>512</v>
      </c>
      <c r="L13" s="43" t="s">
        <v>506</v>
      </c>
      <c r="M13" s="93">
        <v>40155</v>
      </c>
    </row>
    <row r="14" spans="1:13" s="31" customFormat="1" ht="114.75">
      <c r="A14" s="52" t="s">
        <v>515</v>
      </c>
      <c r="B14" s="113" t="s">
        <v>2680</v>
      </c>
      <c r="C14" s="115" t="s">
        <v>914</v>
      </c>
      <c r="D14" s="113" t="s">
        <v>518</v>
      </c>
      <c r="E14" s="115">
        <v>4800002121</v>
      </c>
      <c r="F14" s="115" t="s">
        <v>2681</v>
      </c>
      <c r="G14" s="52">
        <v>414608411</v>
      </c>
      <c r="H14" s="114">
        <v>1522.6</v>
      </c>
      <c r="I14" s="114" t="s">
        <v>1193</v>
      </c>
      <c r="J14" s="165">
        <v>40154</v>
      </c>
      <c r="K14" s="32" t="s">
        <v>1718</v>
      </c>
      <c r="L14" s="43" t="s">
        <v>506</v>
      </c>
      <c r="M14" s="93">
        <v>40157</v>
      </c>
    </row>
    <row r="15" spans="1:13" s="31" customFormat="1" ht="89.25">
      <c r="A15" s="52" t="s">
        <v>515</v>
      </c>
      <c r="B15" s="113" t="s">
        <v>283</v>
      </c>
      <c r="C15" s="115" t="s">
        <v>1189</v>
      </c>
      <c r="D15" s="113" t="s">
        <v>53</v>
      </c>
      <c r="E15" s="115">
        <v>4600022376</v>
      </c>
      <c r="F15" s="115" t="s">
        <v>284</v>
      </c>
      <c r="G15" s="52" t="s">
        <v>285</v>
      </c>
      <c r="H15" s="114">
        <v>178453.44</v>
      </c>
      <c r="I15" s="114" t="s">
        <v>1193</v>
      </c>
      <c r="J15" s="165">
        <v>40155</v>
      </c>
      <c r="K15" s="32" t="s">
        <v>557</v>
      </c>
      <c r="L15" s="43" t="s">
        <v>506</v>
      </c>
      <c r="M15" s="93">
        <v>40157</v>
      </c>
    </row>
    <row r="16" spans="1:13" s="31" customFormat="1" ht="102">
      <c r="A16" s="52" t="s">
        <v>515</v>
      </c>
      <c r="B16" s="113" t="s">
        <v>286</v>
      </c>
      <c r="C16" s="115" t="s">
        <v>1189</v>
      </c>
      <c r="D16" s="113" t="s">
        <v>53</v>
      </c>
      <c r="E16" s="115">
        <v>4600021965</v>
      </c>
      <c r="F16" s="115" t="s">
        <v>287</v>
      </c>
      <c r="G16" s="52" t="s">
        <v>1827</v>
      </c>
      <c r="H16" s="114">
        <v>723995.16</v>
      </c>
      <c r="I16" s="114" t="s">
        <v>1193</v>
      </c>
      <c r="J16" s="165">
        <v>40154</v>
      </c>
      <c r="K16" s="172" t="s">
        <v>2103</v>
      </c>
      <c r="L16" s="43" t="s">
        <v>506</v>
      </c>
      <c r="M16" s="93">
        <v>40155</v>
      </c>
    </row>
    <row r="17" spans="1:13" s="31" customFormat="1" ht="140.25">
      <c r="A17" s="52" t="s">
        <v>515</v>
      </c>
      <c r="B17" s="113" t="s">
        <v>162</v>
      </c>
      <c r="C17" s="115" t="s">
        <v>1189</v>
      </c>
      <c r="D17" s="113" t="s">
        <v>53</v>
      </c>
      <c r="E17" s="115">
        <v>4600021965</v>
      </c>
      <c r="F17" s="115" t="s">
        <v>163</v>
      </c>
      <c r="G17" s="52" t="s">
        <v>1826</v>
      </c>
      <c r="H17" s="114">
        <v>126535.53</v>
      </c>
      <c r="I17" s="114" t="s">
        <v>1193</v>
      </c>
      <c r="J17" s="165">
        <v>40156</v>
      </c>
      <c r="K17" s="172" t="s">
        <v>471</v>
      </c>
      <c r="L17" s="43" t="s">
        <v>506</v>
      </c>
      <c r="M17" s="93">
        <v>40157</v>
      </c>
    </row>
    <row r="18" spans="1:13" s="31" customFormat="1" ht="89.25">
      <c r="A18" s="52" t="s">
        <v>515</v>
      </c>
      <c r="B18" s="113" t="s">
        <v>908</v>
      </c>
      <c r="C18" s="115" t="s">
        <v>780</v>
      </c>
      <c r="D18" s="113" t="s">
        <v>2952</v>
      </c>
      <c r="E18" s="115">
        <v>4800002155</v>
      </c>
      <c r="F18" s="115" t="s">
        <v>909</v>
      </c>
      <c r="G18" s="52">
        <v>4394636674</v>
      </c>
      <c r="H18" s="114">
        <v>19656</v>
      </c>
      <c r="I18" s="114" t="s">
        <v>1193</v>
      </c>
      <c r="J18" s="165">
        <v>40155</v>
      </c>
      <c r="K18" s="32" t="s">
        <v>2455</v>
      </c>
      <c r="L18" s="43" t="s">
        <v>506</v>
      </c>
      <c r="M18" s="93">
        <v>40157</v>
      </c>
    </row>
    <row r="19" spans="1:13" s="31" customFormat="1" ht="114.75">
      <c r="A19" s="52" t="s">
        <v>515</v>
      </c>
      <c r="B19" s="113" t="s">
        <v>1295</v>
      </c>
      <c r="C19" s="115" t="s">
        <v>1189</v>
      </c>
      <c r="D19" s="113" t="s">
        <v>1190</v>
      </c>
      <c r="E19" s="115">
        <v>4600022504</v>
      </c>
      <c r="F19" s="115" t="s">
        <v>1296</v>
      </c>
      <c r="G19" s="52" t="s">
        <v>662</v>
      </c>
      <c r="H19" s="114">
        <v>49872</v>
      </c>
      <c r="I19" s="114" t="s">
        <v>1193</v>
      </c>
      <c r="J19" s="165">
        <v>40157</v>
      </c>
      <c r="K19" s="32" t="s">
        <v>57</v>
      </c>
      <c r="L19" s="43" t="s">
        <v>506</v>
      </c>
      <c r="M19" s="93">
        <v>40158</v>
      </c>
    </row>
    <row r="20" spans="1:13" s="31" customFormat="1" ht="63.75">
      <c r="A20" s="52" t="s">
        <v>515</v>
      </c>
      <c r="B20" s="113" t="s">
        <v>2734</v>
      </c>
      <c r="C20" s="115" t="s">
        <v>1187</v>
      </c>
      <c r="D20" s="113" t="s">
        <v>521</v>
      </c>
      <c r="E20" s="115">
        <v>4600022763</v>
      </c>
      <c r="F20" s="115">
        <v>94176722</v>
      </c>
      <c r="G20" s="52" t="s">
        <v>2735</v>
      </c>
      <c r="H20" s="114">
        <v>6291</v>
      </c>
      <c r="I20" s="114" t="s">
        <v>1193</v>
      </c>
      <c r="J20" s="165">
        <v>40154</v>
      </c>
      <c r="K20" s="32" t="s">
        <v>2733</v>
      </c>
      <c r="L20" s="43" t="s">
        <v>506</v>
      </c>
      <c r="M20" s="93">
        <v>40155</v>
      </c>
    </row>
    <row r="21" spans="1:13" s="31" customFormat="1" ht="76.5">
      <c r="A21" s="52" t="s">
        <v>515</v>
      </c>
      <c r="B21" s="113" t="s">
        <v>2867</v>
      </c>
      <c r="C21" s="115" t="s">
        <v>524</v>
      </c>
      <c r="D21" s="113" t="s">
        <v>525</v>
      </c>
      <c r="E21" s="115" t="s">
        <v>2868</v>
      </c>
      <c r="F21" s="115" t="s">
        <v>2869</v>
      </c>
      <c r="G21" s="52" t="s">
        <v>2870</v>
      </c>
      <c r="H21" s="114">
        <v>7498.8</v>
      </c>
      <c r="I21" s="114" t="s">
        <v>1193</v>
      </c>
      <c r="J21" s="165">
        <v>40153</v>
      </c>
      <c r="K21" s="32" t="s">
        <v>1792</v>
      </c>
      <c r="L21" s="43" t="s">
        <v>506</v>
      </c>
      <c r="M21" s="93">
        <v>40157</v>
      </c>
    </row>
    <row r="22" spans="1:13" s="31" customFormat="1" ht="76.5">
      <c r="A22" s="52" t="s">
        <v>515</v>
      </c>
      <c r="B22" s="113" t="s">
        <v>2871</v>
      </c>
      <c r="C22" s="115" t="s">
        <v>524</v>
      </c>
      <c r="D22" s="113" t="s">
        <v>525</v>
      </c>
      <c r="E22" s="115" t="s">
        <v>2872</v>
      </c>
      <c r="F22" s="115" t="s">
        <v>2873</v>
      </c>
      <c r="G22" s="52" t="s">
        <v>827</v>
      </c>
      <c r="H22" s="114">
        <v>8012.2</v>
      </c>
      <c r="I22" s="114" t="s">
        <v>1193</v>
      </c>
      <c r="J22" s="165">
        <v>40153</v>
      </c>
      <c r="K22" s="32" t="s">
        <v>1293</v>
      </c>
      <c r="L22" s="43" t="s">
        <v>506</v>
      </c>
      <c r="M22" s="93">
        <v>40157</v>
      </c>
    </row>
    <row r="23" spans="1:13" s="31" customFormat="1" ht="306">
      <c r="A23" s="52" t="s">
        <v>515</v>
      </c>
      <c r="B23" s="113" t="s">
        <v>2290</v>
      </c>
      <c r="C23" s="115" t="s">
        <v>704</v>
      </c>
      <c r="D23" s="113" t="s">
        <v>1750</v>
      </c>
      <c r="E23" s="115">
        <v>4600022523</v>
      </c>
      <c r="F23" s="115" t="s">
        <v>2291</v>
      </c>
      <c r="G23" s="52" t="s">
        <v>910</v>
      </c>
      <c r="H23" s="114">
        <v>12000</v>
      </c>
      <c r="I23" s="114" t="s">
        <v>1193</v>
      </c>
      <c r="J23" s="165">
        <v>40161</v>
      </c>
      <c r="K23" s="32" t="s">
        <v>1071</v>
      </c>
      <c r="L23" s="41" t="s">
        <v>1080</v>
      </c>
      <c r="M23" s="93">
        <v>40169</v>
      </c>
    </row>
    <row r="24" spans="1:13" s="31" customFormat="1" ht="191.25">
      <c r="A24" s="52" t="s">
        <v>515</v>
      </c>
      <c r="B24" s="113" t="s">
        <v>2493</v>
      </c>
      <c r="C24" s="115" t="s">
        <v>2266</v>
      </c>
      <c r="D24" s="113" t="s">
        <v>1197</v>
      </c>
      <c r="E24" s="115" t="s">
        <v>2494</v>
      </c>
      <c r="F24" s="115" t="s">
        <v>2495</v>
      </c>
      <c r="G24" s="52">
        <v>414608406</v>
      </c>
      <c r="H24" s="114">
        <v>83757.899999999994</v>
      </c>
      <c r="I24" s="114" t="s">
        <v>1193</v>
      </c>
      <c r="J24" s="165">
        <v>40157</v>
      </c>
      <c r="K24" s="172" t="s">
        <v>2281</v>
      </c>
      <c r="L24" s="43" t="s">
        <v>506</v>
      </c>
      <c r="M24" s="93">
        <v>40159</v>
      </c>
    </row>
    <row r="25" spans="1:13" s="31" customFormat="1" ht="165.75">
      <c r="A25" s="52" t="s">
        <v>515</v>
      </c>
      <c r="B25" s="113" t="s">
        <v>160</v>
      </c>
      <c r="C25" s="115" t="s">
        <v>150</v>
      </c>
      <c r="D25" s="113" t="s">
        <v>521</v>
      </c>
      <c r="E25" s="115">
        <v>4600021876</v>
      </c>
      <c r="F25" s="115" t="s">
        <v>161</v>
      </c>
      <c r="G25" s="52">
        <v>414608416</v>
      </c>
      <c r="H25" s="114">
        <v>532.4</v>
      </c>
      <c r="I25" s="114" t="s">
        <v>1193</v>
      </c>
      <c r="J25" s="165">
        <v>40164</v>
      </c>
      <c r="K25" s="32" t="s">
        <v>1122</v>
      </c>
      <c r="L25" s="43" t="s">
        <v>506</v>
      </c>
      <c r="M25" s="93">
        <v>40165</v>
      </c>
    </row>
    <row r="26" spans="1:13" s="31" customFormat="1" ht="114.75">
      <c r="A26" s="52" t="s">
        <v>515</v>
      </c>
      <c r="B26" s="113" t="s">
        <v>828</v>
      </c>
      <c r="C26" s="115" t="s">
        <v>1793</v>
      </c>
      <c r="D26" s="113" t="s">
        <v>1197</v>
      </c>
      <c r="E26" s="115">
        <v>4600021917</v>
      </c>
      <c r="F26" s="115" t="s">
        <v>829</v>
      </c>
      <c r="G26" s="52">
        <v>4394636986</v>
      </c>
      <c r="H26" s="114">
        <v>39399.339999999997</v>
      </c>
      <c r="I26" s="114" t="s">
        <v>1193</v>
      </c>
      <c r="J26" s="165">
        <v>40162</v>
      </c>
      <c r="K26" s="32" t="s">
        <v>488</v>
      </c>
      <c r="L26" s="43" t="s">
        <v>506</v>
      </c>
      <c r="M26" s="93">
        <v>40164</v>
      </c>
    </row>
    <row r="27" spans="1:13" s="31" customFormat="1" ht="216.75">
      <c r="A27" s="52" t="s">
        <v>515</v>
      </c>
      <c r="B27" s="113" t="s">
        <v>2456</v>
      </c>
      <c r="C27" s="115" t="s">
        <v>2266</v>
      </c>
      <c r="D27" s="113" t="s">
        <v>521</v>
      </c>
      <c r="E27" s="115">
        <v>4600022546</v>
      </c>
      <c r="F27" s="115">
        <v>4300298735</v>
      </c>
      <c r="G27" s="52">
        <v>414608642</v>
      </c>
      <c r="H27" s="114">
        <v>192</v>
      </c>
      <c r="I27" s="114" t="s">
        <v>1193</v>
      </c>
      <c r="J27" s="165">
        <v>40164</v>
      </c>
      <c r="K27" s="32" t="s">
        <v>1851</v>
      </c>
      <c r="L27" s="43" t="s">
        <v>506</v>
      </c>
      <c r="M27" s="93">
        <v>40165</v>
      </c>
    </row>
    <row r="28" spans="1:13" s="31" customFormat="1" ht="63.75">
      <c r="A28" s="52" t="s">
        <v>515</v>
      </c>
      <c r="B28" s="113" t="s">
        <v>55</v>
      </c>
      <c r="C28" s="115" t="s">
        <v>56</v>
      </c>
      <c r="D28" s="113" t="s">
        <v>2263</v>
      </c>
      <c r="E28" s="115">
        <v>4800002192</v>
      </c>
      <c r="F28" s="115">
        <v>484597</v>
      </c>
      <c r="G28" s="52">
        <v>4051769125</v>
      </c>
      <c r="H28" s="114">
        <v>54548</v>
      </c>
      <c r="I28" s="114" t="s">
        <v>1193</v>
      </c>
      <c r="J28" s="165">
        <v>40156</v>
      </c>
      <c r="K28" s="32" t="s">
        <v>2486</v>
      </c>
      <c r="L28" s="43" t="s">
        <v>506</v>
      </c>
      <c r="M28" s="93">
        <v>40159</v>
      </c>
    </row>
    <row r="29" spans="1:13" s="31" customFormat="1" ht="255">
      <c r="A29" s="52" t="s">
        <v>515</v>
      </c>
      <c r="B29" s="113" t="s">
        <v>2789</v>
      </c>
      <c r="C29" s="115" t="s">
        <v>2518</v>
      </c>
      <c r="D29" s="113" t="s">
        <v>1750</v>
      </c>
      <c r="E29" s="115" t="s">
        <v>1648</v>
      </c>
      <c r="F29" s="115">
        <v>2020012004</v>
      </c>
      <c r="G29" s="52" t="s">
        <v>1649</v>
      </c>
      <c r="H29" s="114">
        <v>8052</v>
      </c>
      <c r="I29" s="114" t="s">
        <v>1193</v>
      </c>
      <c r="J29" s="165">
        <v>40168</v>
      </c>
      <c r="K29" s="32" t="s">
        <v>2129</v>
      </c>
      <c r="L29" s="43" t="s">
        <v>506</v>
      </c>
      <c r="M29" s="93">
        <v>40169</v>
      </c>
    </row>
    <row r="30" spans="1:13" s="31" customFormat="1" ht="102">
      <c r="A30" s="52" t="s">
        <v>515</v>
      </c>
      <c r="B30" s="113" t="s">
        <v>1812</v>
      </c>
      <c r="C30" s="115" t="s">
        <v>1793</v>
      </c>
      <c r="D30" s="113" t="s">
        <v>1197</v>
      </c>
      <c r="E30" s="115">
        <v>4600022545</v>
      </c>
      <c r="F30" s="115" t="s">
        <v>1928</v>
      </c>
      <c r="G30" s="52">
        <v>4394638704</v>
      </c>
      <c r="H30" s="114">
        <v>1058.8900000000001</v>
      </c>
      <c r="I30" s="114" t="s">
        <v>1193</v>
      </c>
      <c r="J30" s="165">
        <v>40164</v>
      </c>
      <c r="K30" s="32" t="s">
        <v>513</v>
      </c>
      <c r="L30" s="40" t="s">
        <v>980</v>
      </c>
      <c r="M30" s="93">
        <v>40170</v>
      </c>
    </row>
    <row r="31" spans="1:13" s="31" customFormat="1" ht="191.25">
      <c r="A31" s="52" t="s">
        <v>515</v>
      </c>
      <c r="B31" s="113" t="s">
        <v>1813</v>
      </c>
      <c r="C31" s="115" t="s">
        <v>1793</v>
      </c>
      <c r="D31" s="113" t="s">
        <v>1197</v>
      </c>
      <c r="E31" s="115">
        <v>4600022097</v>
      </c>
      <c r="F31" s="115" t="s">
        <v>1814</v>
      </c>
      <c r="G31" s="52">
        <v>4394638703</v>
      </c>
      <c r="H31" s="114">
        <v>1396.47</v>
      </c>
      <c r="I31" s="114" t="s">
        <v>1193</v>
      </c>
      <c r="J31" s="165">
        <v>40164</v>
      </c>
      <c r="K31" s="32" t="s">
        <v>271</v>
      </c>
      <c r="L31" s="43" t="s">
        <v>506</v>
      </c>
      <c r="M31" s="93">
        <v>40165</v>
      </c>
    </row>
    <row r="32" spans="1:13" s="31" customFormat="1" ht="127.5">
      <c r="A32" s="52" t="s">
        <v>515</v>
      </c>
      <c r="B32" s="113" t="s">
        <v>1815</v>
      </c>
      <c r="C32" s="115" t="s">
        <v>1863</v>
      </c>
      <c r="D32" s="113" t="s">
        <v>53</v>
      </c>
      <c r="E32" s="115">
        <v>4600022636</v>
      </c>
      <c r="F32" s="115" t="s">
        <v>1816</v>
      </c>
      <c r="G32" s="52" t="s">
        <v>1817</v>
      </c>
      <c r="H32" s="114">
        <v>3539.68</v>
      </c>
      <c r="I32" s="114" t="s">
        <v>1193</v>
      </c>
      <c r="J32" s="165">
        <v>40164</v>
      </c>
      <c r="K32" s="32" t="s">
        <v>878</v>
      </c>
      <c r="L32" s="40" t="s">
        <v>980</v>
      </c>
      <c r="M32" s="93">
        <v>40176</v>
      </c>
    </row>
    <row r="33" spans="1:13" s="31" customFormat="1" ht="63.75">
      <c r="A33" s="52" t="s">
        <v>515</v>
      </c>
      <c r="B33" s="113" t="s">
        <v>2322</v>
      </c>
      <c r="C33" s="115" t="s">
        <v>1863</v>
      </c>
      <c r="D33" s="113" t="s">
        <v>53</v>
      </c>
      <c r="E33" s="115">
        <v>4600021965</v>
      </c>
      <c r="F33" s="115" t="s">
        <v>2323</v>
      </c>
      <c r="G33" s="52" t="s">
        <v>2324</v>
      </c>
      <c r="H33" s="114">
        <v>829.44</v>
      </c>
      <c r="I33" s="114" t="s">
        <v>1193</v>
      </c>
      <c r="J33" s="165">
        <v>40164</v>
      </c>
      <c r="K33" s="32" t="s">
        <v>1843</v>
      </c>
      <c r="L33" s="43" t="s">
        <v>506</v>
      </c>
      <c r="M33" s="93">
        <v>40165</v>
      </c>
    </row>
    <row r="34" spans="1:13" s="158" customFormat="1" ht="127.5">
      <c r="A34" s="155" t="s">
        <v>515</v>
      </c>
      <c r="B34" s="156" t="s">
        <v>1922</v>
      </c>
      <c r="C34" s="162" t="s">
        <v>1923</v>
      </c>
      <c r="D34" s="156" t="s">
        <v>2263</v>
      </c>
      <c r="E34" s="162">
        <v>4800002193</v>
      </c>
      <c r="F34" s="162">
        <v>219266</v>
      </c>
      <c r="G34" s="155" t="s">
        <v>1924</v>
      </c>
      <c r="H34" s="157">
        <v>310284.45</v>
      </c>
      <c r="I34" s="157" t="s">
        <v>1193</v>
      </c>
      <c r="J34" s="198">
        <v>40163</v>
      </c>
      <c r="K34" s="125" t="s">
        <v>663</v>
      </c>
      <c r="L34" s="200" t="s">
        <v>506</v>
      </c>
      <c r="M34" s="203">
        <v>40164</v>
      </c>
    </row>
    <row r="35" spans="1:13" s="31" customFormat="1" ht="165.75">
      <c r="A35" s="52" t="s">
        <v>515</v>
      </c>
      <c r="B35" s="113" t="s">
        <v>361</v>
      </c>
      <c r="C35" s="115" t="s">
        <v>362</v>
      </c>
      <c r="D35" s="113" t="s">
        <v>1197</v>
      </c>
      <c r="E35" s="115">
        <v>4600023055</v>
      </c>
      <c r="F35" s="115">
        <v>192037</v>
      </c>
      <c r="G35" s="52">
        <v>4071359154</v>
      </c>
      <c r="H35" s="114">
        <v>6300</v>
      </c>
      <c r="I35" s="114" t="s">
        <v>1193</v>
      </c>
      <c r="J35" s="165">
        <v>40159</v>
      </c>
      <c r="K35" s="32" t="s">
        <v>2619</v>
      </c>
      <c r="L35" s="43" t="s">
        <v>506</v>
      </c>
      <c r="M35" s="93">
        <v>40162</v>
      </c>
    </row>
    <row r="36" spans="1:13" s="31" customFormat="1" ht="204">
      <c r="A36" s="52" t="s">
        <v>515</v>
      </c>
      <c r="B36" s="113" t="s">
        <v>441</v>
      </c>
      <c r="C36" s="115" t="s">
        <v>1741</v>
      </c>
      <c r="D36" s="113" t="s">
        <v>2263</v>
      </c>
      <c r="E36" s="115">
        <v>4800002135</v>
      </c>
      <c r="F36" s="115" t="s">
        <v>2376</v>
      </c>
      <c r="G36" s="52">
        <v>4394639815</v>
      </c>
      <c r="H36" s="114">
        <v>698.4</v>
      </c>
      <c r="I36" s="114" t="s">
        <v>1193</v>
      </c>
      <c r="J36" s="165">
        <v>40172</v>
      </c>
      <c r="K36" s="32" t="s">
        <v>1695</v>
      </c>
      <c r="L36" s="43" t="s">
        <v>506</v>
      </c>
      <c r="M36" s="93">
        <v>40176</v>
      </c>
    </row>
    <row r="37" spans="1:13" s="33" customFormat="1" ht="51">
      <c r="A37" s="25" t="s">
        <v>515</v>
      </c>
      <c r="B37" s="208" t="s">
        <v>1620</v>
      </c>
      <c r="C37" s="209" t="s">
        <v>524</v>
      </c>
      <c r="D37" s="208" t="s">
        <v>525</v>
      </c>
      <c r="E37" s="209">
        <v>4600020925</v>
      </c>
      <c r="F37" s="209">
        <v>40763047</v>
      </c>
      <c r="G37" s="25" t="s">
        <v>1621</v>
      </c>
      <c r="H37" s="210">
        <v>1064</v>
      </c>
      <c r="I37" s="210" t="s">
        <v>1193</v>
      </c>
      <c r="J37" s="211">
        <v>40163</v>
      </c>
      <c r="K37" s="39" t="s">
        <v>456</v>
      </c>
      <c r="L37" s="43" t="s">
        <v>506</v>
      </c>
      <c r="M37" s="212">
        <v>40164</v>
      </c>
    </row>
    <row r="38" spans="1:13" s="31" customFormat="1" ht="114.75">
      <c r="A38" s="52" t="s">
        <v>515</v>
      </c>
      <c r="B38" s="113" t="s">
        <v>458</v>
      </c>
      <c r="C38" s="115" t="s">
        <v>459</v>
      </c>
      <c r="D38" s="113" t="s">
        <v>1190</v>
      </c>
      <c r="E38" s="115">
        <v>4600022761</v>
      </c>
      <c r="F38" s="115">
        <v>2270802</v>
      </c>
      <c r="G38" s="52">
        <v>411653974</v>
      </c>
      <c r="H38" s="114">
        <v>7583</v>
      </c>
      <c r="I38" s="114" t="s">
        <v>1193</v>
      </c>
      <c r="J38" s="165">
        <v>40165</v>
      </c>
      <c r="K38" s="32" t="s">
        <v>561</v>
      </c>
      <c r="L38" s="43" t="s">
        <v>506</v>
      </c>
      <c r="M38" s="93">
        <v>40165</v>
      </c>
    </row>
    <row r="39" spans="1:13" s="31" customFormat="1" ht="102">
      <c r="A39" s="52" t="s">
        <v>515</v>
      </c>
      <c r="B39" s="113" t="s">
        <v>460</v>
      </c>
      <c r="C39" s="115" t="s">
        <v>1793</v>
      </c>
      <c r="D39" s="113" t="s">
        <v>1750</v>
      </c>
      <c r="E39" s="115">
        <v>4600023139</v>
      </c>
      <c r="F39" s="115" t="s">
        <v>461</v>
      </c>
      <c r="G39" s="52" t="s">
        <v>462</v>
      </c>
      <c r="H39" s="114">
        <v>534.6</v>
      </c>
      <c r="I39" s="114" t="s">
        <v>1193</v>
      </c>
      <c r="J39" s="165">
        <v>40172</v>
      </c>
      <c r="K39" s="32" t="s">
        <v>1592</v>
      </c>
      <c r="L39" s="43" t="s">
        <v>506</v>
      </c>
      <c r="M39" s="93">
        <v>40176</v>
      </c>
    </row>
    <row r="40" spans="1:13" s="31" customFormat="1" ht="140.25">
      <c r="A40" s="52" t="s">
        <v>515</v>
      </c>
      <c r="B40" s="113" t="s">
        <v>2428</v>
      </c>
      <c r="C40" s="115" t="s">
        <v>1400</v>
      </c>
      <c r="D40" s="113" t="s">
        <v>1750</v>
      </c>
      <c r="E40" s="115">
        <v>4600023088</v>
      </c>
      <c r="F40" s="115" t="s">
        <v>2429</v>
      </c>
      <c r="G40" s="207" t="s">
        <v>2430</v>
      </c>
      <c r="H40" s="114">
        <v>211.14</v>
      </c>
      <c r="I40" s="114" t="s">
        <v>1193</v>
      </c>
      <c r="J40" s="165">
        <v>40164</v>
      </c>
      <c r="K40" s="32" t="s">
        <v>1767</v>
      </c>
      <c r="L40" s="43" t="s">
        <v>506</v>
      </c>
      <c r="M40" s="93">
        <v>40170</v>
      </c>
    </row>
    <row r="41" spans="1:13" s="31" customFormat="1" ht="114.75">
      <c r="A41" s="52" t="s">
        <v>515</v>
      </c>
      <c r="B41" s="113" t="s">
        <v>1926</v>
      </c>
      <c r="C41" s="115" t="s">
        <v>413</v>
      </c>
      <c r="D41" s="113" t="s">
        <v>775</v>
      </c>
      <c r="E41" s="115">
        <v>4600022889</v>
      </c>
      <c r="F41" s="115" t="s">
        <v>1927</v>
      </c>
      <c r="G41" s="207">
        <v>4811746511</v>
      </c>
      <c r="H41" s="114">
        <v>103.3</v>
      </c>
      <c r="I41" s="114" t="s">
        <v>1193</v>
      </c>
      <c r="J41" s="165">
        <v>40172</v>
      </c>
      <c r="K41" s="32" t="s">
        <v>1022</v>
      </c>
      <c r="L41" s="43" t="s">
        <v>506</v>
      </c>
      <c r="M41" s="93">
        <v>40176</v>
      </c>
    </row>
    <row r="42" spans="1:13" s="31" customFormat="1" ht="63.75">
      <c r="A42" s="52" t="s">
        <v>515</v>
      </c>
      <c r="B42" s="113" t="s">
        <v>1074</v>
      </c>
      <c r="C42" s="115" t="s">
        <v>524</v>
      </c>
      <c r="D42" s="113" t="s">
        <v>525</v>
      </c>
      <c r="E42" s="115">
        <v>4600022703</v>
      </c>
      <c r="F42" s="115">
        <v>40764449</v>
      </c>
      <c r="G42" s="52" t="s">
        <v>1075</v>
      </c>
      <c r="H42" s="114">
        <v>532</v>
      </c>
      <c r="I42" s="114" t="s">
        <v>1193</v>
      </c>
      <c r="J42" s="165">
        <v>40167</v>
      </c>
      <c r="K42" s="32" t="s">
        <v>2637</v>
      </c>
      <c r="L42" s="43" t="s">
        <v>506</v>
      </c>
      <c r="M42" s="93">
        <v>40170</v>
      </c>
    </row>
    <row r="43" spans="1:13" s="31" customFormat="1" ht="89.25">
      <c r="A43" s="52" t="s">
        <v>515</v>
      </c>
      <c r="B43" s="113" t="s">
        <v>1595</v>
      </c>
      <c r="C43" s="115" t="s">
        <v>1863</v>
      </c>
      <c r="D43" s="113" t="s">
        <v>53</v>
      </c>
      <c r="E43" s="115">
        <v>4600022737</v>
      </c>
      <c r="F43" s="115" t="s">
        <v>1596</v>
      </c>
      <c r="G43" s="52">
        <v>414608741</v>
      </c>
      <c r="H43" s="114">
        <v>66185.84</v>
      </c>
      <c r="I43" s="114" t="s">
        <v>1193</v>
      </c>
      <c r="J43" s="165">
        <v>40174</v>
      </c>
      <c r="K43" s="32" t="s">
        <v>1474</v>
      </c>
      <c r="L43" s="43" t="s">
        <v>506</v>
      </c>
      <c r="M43" s="93">
        <v>40177</v>
      </c>
    </row>
    <row r="44" spans="1:13" s="31" customFormat="1" ht="76.5">
      <c r="A44" s="52" t="s">
        <v>515</v>
      </c>
      <c r="B44" s="113" t="s">
        <v>1597</v>
      </c>
      <c r="C44" s="115" t="s">
        <v>1863</v>
      </c>
      <c r="D44" s="113" t="s">
        <v>1190</v>
      </c>
      <c r="E44" s="115">
        <v>4600022780</v>
      </c>
      <c r="F44" s="115" t="s">
        <v>1598</v>
      </c>
      <c r="G44" s="52">
        <v>414608742</v>
      </c>
      <c r="H44" s="114">
        <v>44394</v>
      </c>
      <c r="I44" s="114" t="s">
        <v>1193</v>
      </c>
      <c r="J44" s="165">
        <v>40174</v>
      </c>
      <c r="K44" s="32" t="s">
        <v>1421</v>
      </c>
      <c r="L44" s="43" t="s">
        <v>506</v>
      </c>
      <c r="M44" s="93">
        <v>40176</v>
      </c>
    </row>
    <row r="45" spans="1:13" s="31" customFormat="1" ht="51">
      <c r="A45" s="52" t="s">
        <v>515</v>
      </c>
      <c r="B45" s="113" t="s">
        <v>2638</v>
      </c>
      <c r="C45" s="115" t="s">
        <v>2639</v>
      </c>
      <c r="D45" s="113" t="s">
        <v>1197</v>
      </c>
      <c r="E45" s="115">
        <v>4600023285</v>
      </c>
      <c r="F45" s="115">
        <v>70004</v>
      </c>
      <c r="G45" s="52">
        <v>4071359939</v>
      </c>
      <c r="H45" s="114">
        <v>3640</v>
      </c>
      <c r="I45" s="114" t="s">
        <v>1193</v>
      </c>
      <c r="J45" s="165">
        <v>40169</v>
      </c>
      <c r="K45" s="32" t="s">
        <v>446</v>
      </c>
      <c r="L45" s="43" t="s">
        <v>506</v>
      </c>
      <c r="M45" s="93">
        <v>40170</v>
      </c>
    </row>
    <row r="46" spans="1:13" s="31" customFormat="1" ht="63.75">
      <c r="A46" s="52" t="s">
        <v>515</v>
      </c>
      <c r="B46" s="113" t="s">
        <v>2391</v>
      </c>
      <c r="C46" s="115" t="s">
        <v>2266</v>
      </c>
      <c r="D46" s="113" t="s">
        <v>1197</v>
      </c>
      <c r="E46" s="115">
        <v>4600021795</v>
      </c>
      <c r="F46" s="115" t="s">
        <v>2392</v>
      </c>
      <c r="G46" s="52">
        <v>414608752</v>
      </c>
      <c r="H46" s="114">
        <v>153133.18</v>
      </c>
      <c r="I46" s="114" t="s">
        <v>1193</v>
      </c>
      <c r="J46" s="165">
        <v>40175</v>
      </c>
      <c r="K46" s="32" t="s">
        <v>1404</v>
      </c>
      <c r="L46" s="43" t="s">
        <v>506</v>
      </c>
      <c r="M46" s="93">
        <v>40177</v>
      </c>
    </row>
    <row r="47" spans="1:13" s="31" customFormat="1" ht="63.75">
      <c r="A47" s="52" t="s">
        <v>515</v>
      </c>
      <c r="B47" s="113" t="s">
        <v>2393</v>
      </c>
      <c r="C47" s="115" t="s">
        <v>900</v>
      </c>
      <c r="D47" s="113" t="s">
        <v>521</v>
      </c>
      <c r="E47" s="115">
        <v>4600023514</v>
      </c>
      <c r="F47" s="115">
        <v>4024402</v>
      </c>
      <c r="G47" s="52">
        <v>414608762</v>
      </c>
      <c r="H47" s="114">
        <v>95</v>
      </c>
      <c r="I47" s="114" t="s">
        <v>1193</v>
      </c>
      <c r="J47" s="165">
        <v>40175</v>
      </c>
      <c r="K47" s="32" t="s">
        <v>91</v>
      </c>
      <c r="L47" s="43" t="s">
        <v>506</v>
      </c>
      <c r="M47" s="93">
        <v>40177</v>
      </c>
    </row>
    <row r="48" spans="1:13" s="31" customFormat="1" ht="63.75">
      <c r="A48" s="52" t="s">
        <v>515</v>
      </c>
      <c r="B48" s="113" t="s">
        <v>2591</v>
      </c>
      <c r="C48" s="115" t="s">
        <v>2125</v>
      </c>
      <c r="D48" s="113" t="s">
        <v>1750</v>
      </c>
      <c r="E48" s="115">
        <v>4600022569</v>
      </c>
      <c r="F48" s="115" t="s">
        <v>2592</v>
      </c>
      <c r="G48" s="52">
        <v>414608770</v>
      </c>
      <c r="H48" s="114">
        <v>4139.5200000000004</v>
      </c>
      <c r="I48" s="114" t="s">
        <v>1193</v>
      </c>
      <c r="J48" s="165">
        <v>40175</v>
      </c>
      <c r="K48" s="32" t="s">
        <v>1159</v>
      </c>
      <c r="L48" s="43" t="s">
        <v>506</v>
      </c>
      <c r="M48" s="93">
        <v>40542</v>
      </c>
    </row>
    <row r="49" spans="1:13" s="31" customFormat="1" ht="89.25">
      <c r="A49" s="52" t="s">
        <v>515</v>
      </c>
      <c r="B49" s="113" t="s">
        <v>1160</v>
      </c>
      <c r="C49" s="115" t="s">
        <v>2546</v>
      </c>
      <c r="D49" s="113" t="s">
        <v>1750</v>
      </c>
      <c r="E49" s="115">
        <v>4600023454</v>
      </c>
      <c r="F49" s="115">
        <v>4600023454</v>
      </c>
      <c r="G49" s="52">
        <v>295135</v>
      </c>
      <c r="H49" s="114">
        <v>494</v>
      </c>
      <c r="I49" s="114" t="s">
        <v>1193</v>
      </c>
      <c r="J49" s="165">
        <v>40180</v>
      </c>
      <c r="K49" s="201" t="s">
        <v>1182</v>
      </c>
      <c r="L49" s="43" t="s">
        <v>506</v>
      </c>
      <c r="M49" s="93">
        <v>40183</v>
      </c>
    </row>
    <row r="50" spans="1:13" s="31" customFormat="1" ht="114.75">
      <c r="A50" s="52" t="s">
        <v>515</v>
      </c>
      <c r="B50" s="113" t="s">
        <v>156</v>
      </c>
      <c r="C50" s="115" t="s">
        <v>362</v>
      </c>
      <c r="D50" s="113" t="s">
        <v>53</v>
      </c>
      <c r="E50" s="115">
        <v>4600022418</v>
      </c>
      <c r="F50" s="115" t="s">
        <v>157</v>
      </c>
      <c r="G50" s="52">
        <v>4071359154</v>
      </c>
      <c r="H50" s="114">
        <v>1120</v>
      </c>
      <c r="I50" s="114" t="s">
        <v>1193</v>
      </c>
      <c r="J50" s="165"/>
      <c r="K50" s="32" t="s">
        <v>1694</v>
      </c>
      <c r="L50" s="25"/>
      <c r="M50" s="93"/>
    </row>
    <row r="51" spans="1:13" s="31" customFormat="1" ht="127.5">
      <c r="A51" s="52" t="s">
        <v>515</v>
      </c>
      <c r="B51" s="113" t="s">
        <v>732</v>
      </c>
      <c r="C51" s="115" t="s">
        <v>733</v>
      </c>
      <c r="D51" s="113" t="s">
        <v>53</v>
      </c>
      <c r="E51" s="115">
        <v>4600023387</v>
      </c>
      <c r="F51" s="115" t="s">
        <v>906</v>
      </c>
      <c r="G51" s="52">
        <v>4060404662</v>
      </c>
      <c r="H51" s="114">
        <v>15300</v>
      </c>
      <c r="I51" s="114" t="s">
        <v>1193</v>
      </c>
      <c r="J51" s="165">
        <v>40188</v>
      </c>
      <c r="K51" s="32" t="s">
        <v>1542</v>
      </c>
      <c r="L51" s="43" t="s">
        <v>506</v>
      </c>
      <c r="M51" s="93">
        <v>40190</v>
      </c>
    </row>
    <row r="52" spans="1:13" s="31" customFormat="1" ht="76.5">
      <c r="A52" s="52" t="s">
        <v>515</v>
      </c>
      <c r="B52" s="113" t="s">
        <v>2072</v>
      </c>
      <c r="C52" s="115" t="s">
        <v>2125</v>
      </c>
      <c r="D52" s="113" t="s">
        <v>1750</v>
      </c>
      <c r="E52" s="115">
        <v>4600023473</v>
      </c>
      <c r="F52" s="115" t="s">
        <v>2071</v>
      </c>
      <c r="G52" s="52">
        <v>414608782</v>
      </c>
      <c r="H52" s="114">
        <v>4026</v>
      </c>
      <c r="I52" s="114" t="s">
        <v>1193</v>
      </c>
      <c r="J52" s="165">
        <v>40183</v>
      </c>
      <c r="K52" s="32" t="s">
        <v>1562</v>
      </c>
      <c r="L52" s="43" t="s">
        <v>506</v>
      </c>
      <c r="M52" s="93">
        <v>40184</v>
      </c>
    </row>
    <row r="53" spans="1:13" s="31" customFormat="1" ht="114.75">
      <c r="A53" s="52" t="s">
        <v>515</v>
      </c>
      <c r="B53" s="113" t="s">
        <v>2937</v>
      </c>
      <c r="C53" s="115" t="s">
        <v>1863</v>
      </c>
      <c r="D53" s="113" t="s">
        <v>1190</v>
      </c>
      <c r="E53" s="115">
        <v>4600023558</v>
      </c>
      <c r="F53" s="115" t="s">
        <v>2938</v>
      </c>
      <c r="G53" s="52">
        <v>414608791</v>
      </c>
      <c r="H53" s="114">
        <v>53272.800000000003</v>
      </c>
      <c r="I53" s="114" t="s">
        <v>1193</v>
      </c>
      <c r="J53" s="165">
        <v>40191</v>
      </c>
      <c r="K53" s="32" t="s">
        <v>2574</v>
      </c>
      <c r="L53" s="43" t="s">
        <v>506</v>
      </c>
      <c r="M53" s="93">
        <v>40191</v>
      </c>
    </row>
    <row r="54" spans="1:13" s="31" customFormat="1" ht="102">
      <c r="A54" s="52" t="s">
        <v>515</v>
      </c>
      <c r="B54" s="113" t="s">
        <v>2863</v>
      </c>
      <c r="C54" s="115" t="s">
        <v>2864</v>
      </c>
      <c r="D54" s="113" t="s">
        <v>2263</v>
      </c>
      <c r="E54" s="115">
        <v>4800002203</v>
      </c>
      <c r="F54" s="115">
        <v>32819</v>
      </c>
      <c r="G54" s="52">
        <v>5630572544</v>
      </c>
      <c r="H54" s="114">
        <v>498</v>
      </c>
      <c r="I54" s="114" t="s">
        <v>1193</v>
      </c>
      <c r="J54" s="165">
        <v>40180</v>
      </c>
      <c r="K54" s="32" t="s">
        <v>190</v>
      </c>
      <c r="L54" s="43" t="s">
        <v>506</v>
      </c>
      <c r="M54" s="93">
        <v>40191</v>
      </c>
    </row>
    <row r="55" spans="1:13" s="31" customFormat="1" ht="76.5">
      <c r="A55" s="52" t="s">
        <v>515</v>
      </c>
      <c r="B55" s="113" t="s">
        <v>1000</v>
      </c>
      <c r="C55" s="115" t="s">
        <v>524</v>
      </c>
      <c r="D55" s="113" t="s">
        <v>525</v>
      </c>
      <c r="E55" s="115" t="s">
        <v>1001</v>
      </c>
      <c r="F55" s="115" t="s">
        <v>1002</v>
      </c>
      <c r="G55" s="52" t="s">
        <v>1003</v>
      </c>
      <c r="H55" s="114">
        <v>5442.65</v>
      </c>
      <c r="I55" s="114" t="s">
        <v>1193</v>
      </c>
      <c r="J55" s="165">
        <v>40186</v>
      </c>
      <c r="K55" s="32" t="s">
        <v>1095</v>
      </c>
      <c r="L55" s="43" t="s">
        <v>506</v>
      </c>
      <c r="M55" s="93">
        <v>40190</v>
      </c>
    </row>
    <row r="56" spans="1:13" s="31" customFormat="1" ht="76.5">
      <c r="A56" s="52" t="s">
        <v>515</v>
      </c>
      <c r="B56" s="113" t="s">
        <v>1004</v>
      </c>
      <c r="C56" s="115" t="s">
        <v>524</v>
      </c>
      <c r="D56" s="113" t="s">
        <v>525</v>
      </c>
      <c r="E56" s="115" t="s">
        <v>1005</v>
      </c>
      <c r="F56" s="115" t="s">
        <v>1006</v>
      </c>
      <c r="G56" s="52" t="s">
        <v>2845</v>
      </c>
      <c r="H56" s="114">
        <v>2323.65</v>
      </c>
      <c r="I56" s="114" t="s">
        <v>1193</v>
      </c>
      <c r="J56" s="165">
        <v>40186</v>
      </c>
      <c r="K56" s="32" t="s">
        <v>1095</v>
      </c>
      <c r="L56" s="43" t="s">
        <v>506</v>
      </c>
      <c r="M56" s="93">
        <v>40190</v>
      </c>
    </row>
    <row r="57" spans="1:13" s="31" customFormat="1" ht="102">
      <c r="A57" s="52" t="s">
        <v>515</v>
      </c>
      <c r="B57" s="113" t="s">
        <v>1952</v>
      </c>
      <c r="C57" s="115" t="s">
        <v>524</v>
      </c>
      <c r="D57" s="113" t="s">
        <v>525</v>
      </c>
      <c r="E57" s="115">
        <v>4600022702</v>
      </c>
      <c r="F57" s="115">
        <v>40766676</v>
      </c>
      <c r="G57" s="52" t="s">
        <v>1953</v>
      </c>
      <c r="H57" s="114">
        <v>518.70000000000005</v>
      </c>
      <c r="I57" s="114" t="s">
        <v>1193</v>
      </c>
      <c r="J57" s="165">
        <v>40190</v>
      </c>
      <c r="K57" s="32" t="s">
        <v>87</v>
      </c>
      <c r="L57" s="43" t="s">
        <v>506</v>
      </c>
      <c r="M57" s="93">
        <v>40191</v>
      </c>
    </row>
    <row r="58" spans="1:13" s="31" customFormat="1" ht="114.75">
      <c r="A58" s="52" t="s">
        <v>515</v>
      </c>
      <c r="B58" s="113" t="s">
        <v>1954</v>
      </c>
      <c r="C58" s="115" t="s">
        <v>1863</v>
      </c>
      <c r="D58" s="113" t="s">
        <v>53</v>
      </c>
      <c r="E58" s="115" t="s">
        <v>1955</v>
      </c>
      <c r="F58" s="115" t="s">
        <v>1956</v>
      </c>
      <c r="G58" s="52" t="s">
        <v>1957</v>
      </c>
      <c r="H58" s="114">
        <v>35633.19</v>
      </c>
      <c r="I58" s="114" t="s">
        <v>1193</v>
      </c>
      <c r="J58" s="165">
        <v>40191</v>
      </c>
      <c r="K58" s="32" t="s">
        <v>1510</v>
      </c>
      <c r="L58" s="43" t="s">
        <v>506</v>
      </c>
      <c r="M58" s="93">
        <v>40193</v>
      </c>
    </row>
    <row r="59" spans="1:13" s="31" customFormat="1" ht="114.75">
      <c r="A59" s="52" t="s">
        <v>515</v>
      </c>
      <c r="B59" s="113" t="s">
        <v>1951</v>
      </c>
      <c r="C59" s="115" t="s">
        <v>1923</v>
      </c>
      <c r="D59" s="113" t="s">
        <v>53</v>
      </c>
      <c r="E59" s="115">
        <v>4600023833</v>
      </c>
      <c r="F59" s="115">
        <v>220985</v>
      </c>
      <c r="G59" s="52">
        <v>4220150455</v>
      </c>
      <c r="H59" s="114">
        <v>10090</v>
      </c>
      <c r="I59" s="114" t="s">
        <v>1193</v>
      </c>
      <c r="J59" s="165">
        <v>40193</v>
      </c>
      <c r="K59" s="32" t="s">
        <v>1960</v>
      </c>
      <c r="L59" s="43" t="s">
        <v>506</v>
      </c>
      <c r="M59" s="93">
        <v>40193</v>
      </c>
    </row>
    <row r="60" spans="1:13" s="31" customFormat="1" ht="89.25">
      <c r="A60" s="52" t="s">
        <v>515</v>
      </c>
      <c r="B60" s="113" t="s">
        <v>1639</v>
      </c>
      <c r="C60" s="115" t="s">
        <v>1923</v>
      </c>
      <c r="D60" s="113" t="s">
        <v>53</v>
      </c>
      <c r="E60" s="115">
        <v>4600023833</v>
      </c>
      <c r="F60" s="115">
        <v>221154</v>
      </c>
      <c r="G60" s="52">
        <v>4480281149</v>
      </c>
      <c r="H60" s="114">
        <v>8025</v>
      </c>
      <c r="I60" s="114" t="s">
        <v>1193</v>
      </c>
      <c r="J60" s="165">
        <v>40194</v>
      </c>
      <c r="K60" s="172" t="s">
        <v>171</v>
      </c>
      <c r="L60" s="43" t="s">
        <v>506</v>
      </c>
      <c r="M60" s="93">
        <v>40197</v>
      </c>
    </row>
    <row r="61" spans="1:13" s="31" customFormat="1" ht="51">
      <c r="A61" s="52" t="s">
        <v>515</v>
      </c>
      <c r="B61" s="113" t="s">
        <v>1961</v>
      </c>
      <c r="C61" s="115" t="s">
        <v>990</v>
      </c>
      <c r="D61" s="113" t="s">
        <v>1750</v>
      </c>
      <c r="E61" s="115">
        <v>4600023655</v>
      </c>
      <c r="F61" s="115">
        <v>900025779</v>
      </c>
      <c r="G61" s="207" t="s">
        <v>1962</v>
      </c>
      <c r="H61" s="114">
        <v>268.45</v>
      </c>
      <c r="I61" s="114" t="s">
        <v>1193</v>
      </c>
      <c r="J61" s="165">
        <v>40193</v>
      </c>
      <c r="K61" s="32" t="s">
        <v>1964</v>
      </c>
      <c r="L61" s="43" t="s">
        <v>506</v>
      </c>
      <c r="M61" s="93">
        <v>40197</v>
      </c>
    </row>
    <row r="62" spans="1:13" s="31" customFormat="1" ht="51">
      <c r="A62" s="52" t="s">
        <v>515</v>
      </c>
      <c r="B62" s="113" t="s">
        <v>2418</v>
      </c>
      <c r="C62" s="115" t="s">
        <v>2419</v>
      </c>
      <c r="D62" s="113" t="s">
        <v>53</v>
      </c>
      <c r="E62" s="115">
        <v>4600023836</v>
      </c>
      <c r="F62" s="115">
        <v>34977</v>
      </c>
      <c r="G62" s="207" t="s">
        <v>2420</v>
      </c>
      <c r="H62" s="114">
        <v>1575</v>
      </c>
      <c r="I62" s="114" t="s">
        <v>1193</v>
      </c>
      <c r="J62" s="165">
        <v>40193</v>
      </c>
      <c r="K62" s="32" t="s">
        <v>2179</v>
      </c>
      <c r="L62" s="43" t="s">
        <v>506</v>
      </c>
      <c r="M62" s="93">
        <v>40197</v>
      </c>
    </row>
    <row r="63" spans="1:13" s="31" customFormat="1" ht="204">
      <c r="A63" s="52" t="s">
        <v>515</v>
      </c>
      <c r="B63" s="113" t="s">
        <v>705</v>
      </c>
      <c r="C63" s="115" t="s">
        <v>1335</v>
      </c>
      <c r="D63" s="113" t="s">
        <v>1336</v>
      </c>
      <c r="E63" s="115">
        <v>4800002227</v>
      </c>
      <c r="F63" s="115" t="s">
        <v>706</v>
      </c>
      <c r="G63" s="52" t="s">
        <v>707</v>
      </c>
      <c r="H63" s="114">
        <v>121000</v>
      </c>
      <c r="I63" s="114" t="s">
        <v>1193</v>
      </c>
      <c r="J63" s="165">
        <v>40197</v>
      </c>
      <c r="K63" s="32" t="s">
        <v>2807</v>
      </c>
      <c r="L63" s="43" t="s">
        <v>506</v>
      </c>
      <c r="M63" s="93">
        <v>40198</v>
      </c>
    </row>
    <row r="64" spans="1:13" s="31" customFormat="1" ht="153">
      <c r="A64" s="52" t="s">
        <v>515</v>
      </c>
      <c r="B64" s="113" t="s">
        <v>1765</v>
      </c>
      <c r="C64" s="115" t="s">
        <v>1793</v>
      </c>
      <c r="D64" s="113" t="s">
        <v>1750</v>
      </c>
      <c r="E64" s="115">
        <v>4600023649</v>
      </c>
      <c r="F64" s="115" t="s">
        <v>1766</v>
      </c>
      <c r="G64" s="52">
        <v>4394646756</v>
      </c>
      <c r="H64" s="114">
        <v>7270.56</v>
      </c>
      <c r="I64" s="114" t="s">
        <v>1193</v>
      </c>
      <c r="J64" s="165">
        <v>40196</v>
      </c>
      <c r="K64" s="32" t="s">
        <v>36</v>
      </c>
      <c r="L64" s="40" t="s">
        <v>980</v>
      </c>
      <c r="M64" s="93">
        <v>40206</v>
      </c>
    </row>
    <row r="65" spans="1:13" s="31" customFormat="1" ht="178.5">
      <c r="A65" s="52" t="s">
        <v>515</v>
      </c>
      <c r="B65" s="113" t="s">
        <v>2363</v>
      </c>
      <c r="C65" s="115" t="s">
        <v>2266</v>
      </c>
      <c r="D65" s="113" t="s">
        <v>1197</v>
      </c>
      <c r="E65" s="115" t="s">
        <v>2364</v>
      </c>
      <c r="F65" s="115" t="s">
        <v>2365</v>
      </c>
      <c r="G65" s="52">
        <v>414608856</v>
      </c>
      <c r="H65" s="114">
        <v>83324.47</v>
      </c>
      <c r="I65" s="114" t="s">
        <v>1193</v>
      </c>
      <c r="J65" s="165">
        <v>40199</v>
      </c>
      <c r="K65" s="32" t="s">
        <v>2752</v>
      </c>
      <c r="L65" s="43" t="s">
        <v>506</v>
      </c>
      <c r="M65" s="93">
        <v>40200</v>
      </c>
    </row>
    <row r="66" spans="1:13" s="31" customFormat="1" ht="102">
      <c r="A66" s="52" t="s">
        <v>515</v>
      </c>
      <c r="B66" s="113" t="s">
        <v>1511</v>
      </c>
      <c r="C66" s="115" t="s">
        <v>2266</v>
      </c>
      <c r="D66" s="113" t="s">
        <v>521</v>
      </c>
      <c r="E66" s="115">
        <v>4600023875</v>
      </c>
      <c r="F66" s="115">
        <v>1101551777</v>
      </c>
      <c r="G66" s="52" t="s">
        <v>1971</v>
      </c>
      <c r="H66" s="114">
        <v>86826.96</v>
      </c>
      <c r="I66" s="114" t="s">
        <v>1193</v>
      </c>
      <c r="J66" s="165">
        <v>40201</v>
      </c>
      <c r="K66" s="172" t="s">
        <v>1163</v>
      </c>
      <c r="L66" s="43" t="s">
        <v>506</v>
      </c>
      <c r="M66" s="93">
        <v>40204</v>
      </c>
    </row>
    <row r="67" spans="1:13" s="31" customFormat="1" ht="89.25">
      <c r="A67" s="52" t="s">
        <v>515</v>
      </c>
      <c r="B67" s="113" t="s">
        <v>1963</v>
      </c>
      <c r="C67" s="115" t="s">
        <v>362</v>
      </c>
      <c r="D67" s="113" t="s">
        <v>53</v>
      </c>
      <c r="E67" s="115">
        <v>4600023852</v>
      </c>
      <c r="F67" s="115">
        <v>47367</v>
      </c>
      <c r="G67" s="207">
        <v>4071361410</v>
      </c>
      <c r="H67" s="114">
        <v>720</v>
      </c>
      <c r="I67" s="114" t="s">
        <v>1193</v>
      </c>
      <c r="J67" s="165">
        <v>40197</v>
      </c>
      <c r="K67" s="32" t="s">
        <v>11</v>
      </c>
      <c r="L67" s="43" t="s">
        <v>506</v>
      </c>
      <c r="M67" s="93">
        <v>40199</v>
      </c>
    </row>
    <row r="68" spans="1:13" s="31" customFormat="1" ht="76.5">
      <c r="A68" s="52" t="s">
        <v>515</v>
      </c>
      <c r="B68" s="113" t="s">
        <v>2900</v>
      </c>
      <c r="C68" s="115" t="s">
        <v>1793</v>
      </c>
      <c r="D68" s="113" t="s">
        <v>1750</v>
      </c>
      <c r="E68" s="115">
        <v>4600023830</v>
      </c>
      <c r="F68" s="115" t="s">
        <v>2901</v>
      </c>
      <c r="G68" s="52" t="s">
        <v>2902</v>
      </c>
      <c r="H68" s="114">
        <v>13728</v>
      </c>
      <c r="I68" s="114" t="s">
        <v>1193</v>
      </c>
      <c r="J68" s="165">
        <v>40198</v>
      </c>
      <c r="K68" s="32" t="s">
        <v>1972</v>
      </c>
      <c r="L68" s="43" t="s">
        <v>506</v>
      </c>
      <c r="M68" s="93">
        <v>40199</v>
      </c>
    </row>
    <row r="69" spans="1:13" s="31" customFormat="1" ht="102">
      <c r="A69" s="52" t="s">
        <v>515</v>
      </c>
      <c r="B69" s="113" t="s">
        <v>1350</v>
      </c>
      <c r="C69" s="115" t="s">
        <v>780</v>
      </c>
      <c r="D69" s="113" t="s">
        <v>2952</v>
      </c>
      <c r="E69" s="115">
        <v>4800002261</v>
      </c>
      <c r="F69" s="115" t="s">
        <v>1351</v>
      </c>
      <c r="G69" s="52">
        <v>4394648087</v>
      </c>
      <c r="H69" s="114">
        <v>20691.45</v>
      </c>
      <c r="I69" s="114" t="s">
        <v>1193</v>
      </c>
      <c r="J69" s="165">
        <v>40204</v>
      </c>
      <c r="K69" s="32" t="s">
        <v>2756</v>
      </c>
      <c r="L69" s="43" t="s">
        <v>506</v>
      </c>
      <c r="M69" s="93">
        <v>40205</v>
      </c>
    </row>
    <row r="70" spans="1:13" s="31" customFormat="1" ht="63.75">
      <c r="A70" s="52" t="s">
        <v>515</v>
      </c>
      <c r="B70" s="113" t="s">
        <v>1166</v>
      </c>
      <c r="C70" s="115" t="s">
        <v>524</v>
      </c>
      <c r="D70" s="113" t="s">
        <v>525</v>
      </c>
      <c r="E70" s="115">
        <v>4600022702</v>
      </c>
      <c r="F70" s="115">
        <v>40768343</v>
      </c>
      <c r="G70" s="52" t="s">
        <v>1167</v>
      </c>
      <c r="H70" s="114">
        <v>1476.3</v>
      </c>
      <c r="I70" s="114" t="s">
        <v>1193</v>
      </c>
      <c r="J70" s="165">
        <v>40196</v>
      </c>
      <c r="K70" s="32" t="s">
        <v>771</v>
      </c>
      <c r="L70" s="43" t="s">
        <v>506</v>
      </c>
      <c r="M70" s="93">
        <v>40199</v>
      </c>
    </row>
    <row r="71" spans="1:13" s="31" customFormat="1" ht="63.75">
      <c r="A71" s="52" t="s">
        <v>515</v>
      </c>
      <c r="B71" s="113" t="s">
        <v>2632</v>
      </c>
      <c r="C71" s="115" t="s">
        <v>524</v>
      </c>
      <c r="D71" s="113" t="s">
        <v>525</v>
      </c>
      <c r="E71" s="115">
        <v>4600023234</v>
      </c>
      <c r="F71" s="115">
        <v>40768372</v>
      </c>
      <c r="G71" s="52" t="s">
        <v>2633</v>
      </c>
      <c r="H71" s="114">
        <v>9597.6</v>
      </c>
      <c r="I71" s="114" t="s">
        <v>1193</v>
      </c>
      <c r="J71" s="165">
        <v>40196</v>
      </c>
      <c r="K71" s="32" t="s">
        <v>771</v>
      </c>
      <c r="L71" s="43" t="s">
        <v>506</v>
      </c>
      <c r="M71" s="93">
        <v>40199</v>
      </c>
    </row>
    <row r="72" spans="1:13" s="31" customFormat="1" ht="89.25">
      <c r="A72" s="52" t="s">
        <v>515</v>
      </c>
      <c r="B72" s="113" t="s">
        <v>2634</v>
      </c>
      <c r="C72" s="115" t="s">
        <v>524</v>
      </c>
      <c r="D72" s="113" t="s">
        <v>525</v>
      </c>
      <c r="E72" s="115">
        <v>4600022890</v>
      </c>
      <c r="F72" s="115">
        <v>40766751</v>
      </c>
      <c r="G72" s="52" t="s">
        <v>2635</v>
      </c>
      <c r="H72" s="114">
        <v>121.8</v>
      </c>
      <c r="I72" s="114" t="s">
        <v>1193</v>
      </c>
      <c r="J72" s="165">
        <v>40200</v>
      </c>
      <c r="K72" s="32" t="s">
        <v>671</v>
      </c>
      <c r="L72" s="43" t="s">
        <v>506</v>
      </c>
      <c r="M72" s="93">
        <v>40201</v>
      </c>
    </row>
    <row r="73" spans="1:13" s="31" customFormat="1" ht="63.75">
      <c r="A73" s="52" t="s">
        <v>515</v>
      </c>
      <c r="B73" s="113" t="s">
        <v>528</v>
      </c>
      <c r="C73" s="115" t="s">
        <v>413</v>
      </c>
      <c r="D73" s="113" t="s">
        <v>775</v>
      </c>
      <c r="E73" s="115"/>
      <c r="F73" s="115" t="s">
        <v>529</v>
      </c>
      <c r="G73" s="52">
        <v>4811749084</v>
      </c>
      <c r="H73" s="114">
        <v>193.8</v>
      </c>
      <c r="I73" s="114" t="s">
        <v>1193</v>
      </c>
      <c r="J73" s="165">
        <v>40203</v>
      </c>
      <c r="K73" s="32" t="s">
        <v>2509</v>
      </c>
      <c r="L73" s="43" t="s">
        <v>506</v>
      </c>
      <c r="M73" s="93">
        <v>40204</v>
      </c>
    </row>
    <row r="74" spans="1:13" s="31" customFormat="1" ht="89.25">
      <c r="A74" s="52" t="s">
        <v>515</v>
      </c>
      <c r="B74" s="113" t="s">
        <v>530</v>
      </c>
      <c r="C74" s="115" t="s">
        <v>531</v>
      </c>
      <c r="D74" s="113" t="s">
        <v>53</v>
      </c>
      <c r="E74" s="115">
        <v>4600023960</v>
      </c>
      <c r="F74" s="115">
        <v>229781</v>
      </c>
      <c r="G74" s="52">
        <v>4150185044</v>
      </c>
      <c r="H74" s="114">
        <v>41850</v>
      </c>
      <c r="I74" s="114" t="s">
        <v>1193</v>
      </c>
      <c r="J74" s="165">
        <v>40201</v>
      </c>
      <c r="K74" s="32" t="s">
        <v>90</v>
      </c>
      <c r="L74" s="43" t="s">
        <v>506</v>
      </c>
      <c r="M74" s="93">
        <v>40204</v>
      </c>
    </row>
    <row r="75" spans="1:13" s="31" customFormat="1" ht="140.25">
      <c r="A75" s="52" t="s">
        <v>515</v>
      </c>
      <c r="B75" s="113" t="s">
        <v>1525</v>
      </c>
      <c r="C75" s="115" t="s">
        <v>2266</v>
      </c>
      <c r="D75" s="113" t="s">
        <v>521</v>
      </c>
      <c r="E75" s="115">
        <v>4600023329</v>
      </c>
      <c r="F75" s="115">
        <v>8200037500</v>
      </c>
      <c r="G75" s="52" t="s">
        <v>1526</v>
      </c>
      <c r="H75" s="114">
        <v>192</v>
      </c>
      <c r="I75" s="114" t="s">
        <v>1193</v>
      </c>
      <c r="J75" s="165">
        <v>40201</v>
      </c>
      <c r="K75" s="32" t="s">
        <v>883</v>
      </c>
      <c r="L75" s="43" t="s">
        <v>506</v>
      </c>
      <c r="M75" s="93">
        <v>40205</v>
      </c>
    </row>
    <row r="76" spans="1:13" s="31" customFormat="1" ht="63.75">
      <c r="A76" s="52" t="s">
        <v>515</v>
      </c>
      <c r="B76" s="113" t="s">
        <v>2852</v>
      </c>
      <c r="C76" s="115" t="s">
        <v>1793</v>
      </c>
      <c r="D76" s="113" t="s">
        <v>1750</v>
      </c>
      <c r="E76" s="115">
        <v>4600024061</v>
      </c>
      <c r="F76" s="115" t="s">
        <v>2853</v>
      </c>
      <c r="G76" s="52">
        <v>5806</v>
      </c>
      <c r="H76" s="114">
        <v>7072</v>
      </c>
      <c r="I76" s="114" t="s">
        <v>1193</v>
      </c>
      <c r="J76" s="165">
        <v>40203</v>
      </c>
      <c r="K76" s="32" t="s">
        <v>2448</v>
      </c>
      <c r="L76" s="43" t="s">
        <v>506</v>
      </c>
      <c r="M76" s="93">
        <v>40205</v>
      </c>
    </row>
    <row r="77" spans="1:13" s="31" customFormat="1" ht="178.5">
      <c r="A77" s="52" t="s">
        <v>515</v>
      </c>
      <c r="B77" s="113" t="s">
        <v>1761</v>
      </c>
      <c r="C77" s="115" t="s">
        <v>215</v>
      </c>
      <c r="D77" s="113" t="s">
        <v>53</v>
      </c>
      <c r="E77" s="115">
        <v>4600023387</v>
      </c>
      <c r="F77" s="115">
        <v>23756</v>
      </c>
      <c r="G77" s="52">
        <v>4060405120</v>
      </c>
      <c r="H77" s="114">
        <v>15300</v>
      </c>
      <c r="I77" s="114" t="s">
        <v>1193</v>
      </c>
      <c r="J77" s="165">
        <v>40196</v>
      </c>
      <c r="K77" s="32" t="s">
        <v>2889</v>
      </c>
      <c r="L77" s="41" t="s">
        <v>1080</v>
      </c>
      <c r="M77" s="93">
        <v>40208</v>
      </c>
    </row>
    <row r="78" spans="1:13" s="31" customFormat="1" ht="102">
      <c r="A78" s="52" t="s">
        <v>515</v>
      </c>
      <c r="B78" s="113" t="s">
        <v>2854</v>
      </c>
      <c r="C78" s="115" t="s">
        <v>296</v>
      </c>
      <c r="D78" s="113" t="s">
        <v>775</v>
      </c>
      <c r="E78" s="115">
        <v>4600023575</v>
      </c>
      <c r="F78" s="115" t="s">
        <v>2855</v>
      </c>
      <c r="G78" s="52">
        <v>414608894</v>
      </c>
      <c r="H78" s="114">
        <v>3819.75</v>
      </c>
      <c r="I78" s="114" t="s">
        <v>1193</v>
      </c>
      <c r="J78" s="165">
        <v>40207</v>
      </c>
      <c r="K78" s="32" t="s">
        <v>630</v>
      </c>
      <c r="L78" s="43" t="s">
        <v>506</v>
      </c>
      <c r="M78" s="93">
        <v>40211</v>
      </c>
    </row>
    <row r="79" spans="1:13" s="31" customFormat="1" ht="89.25">
      <c r="A79" s="52" t="s">
        <v>515</v>
      </c>
      <c r="B79" s="113" t="s">
        <v>1940</v>
      </c>
      <c r="C79" s="115" t="s">
        <v>531</v>
      </c>
      <c r="D79" s="113" t="s">
        <v>53</v>
      </c>
      <c r="E79" s="115">
        <v>4600023960</v>
      </c>
      <c r="F79" s="115">
        <v>229824</v>
      </c>
      <c r="G79" s="52">
        <v>4150185295</v>
      </c>
      <c r="H79" s="114">
        <v>945</v>
      </c>
      <c r="I79" s="114" t="s">
        <v>1193</v>
      </c>
      <c r="J79" s="165">
        <v>40208</v>
      </c>
      <c r="K79" s="32" t="s">
        <v>2657</v>
      </c>
      <c r="L79" s="43" t="s">
        <v>506</v>
      </c>
      <c r="M79" s="93">
        <v>40211</v>
      </c>
    </row>
    <row r="80" spans="1:13" s="31" customFormat="1" ht="140.25">
      <c r="A80" s="52" t="s">
        <v>515</v>
      </c>
      <c r="B80" s="113" t="s">
        <v>1944</v>
      </c>
      <c r="C80" s="115" t="s">
        <v>1863</v>
      </c>
      <c r="D80" s="113" t="s">
        <v>1190</v>
      </c>
      <c r="E80" s="115">
        <v>4600023064</v>
      </c>
      <c r="F80" s="115" t="s">
        <v>1945</v>
      </c>
      <c r="G80" s="52" t="s">
        <v>1946</v>
      </c>
      <c r="H80" s="114">
        <v>51312</v>
      </c>
      <c r="I80" s="114" t="s">
        <v>1193</v>
      </c>
      <c r="J80" s="165">
        <v>40208</v>
      </c>
      <c r="K80" s="32" t="s">
        <v>2656</v>
      </c>
      <c r="L80" s="43" t="s">
        <v>506</v>
      </c>
      <c r="M80" s="93">
        <v>40211</v>
      </c>
    </row>
    <row r="81" spans="1:13" s="31" customFormat="1" ht="63.75">
      <c r="A81" s="52" t="s">
        <v>515</v>
      </c>
      <c r="B81" s="113" t="s">
        <v>1947</v>
      </c>
      <c r="C81" s="115" t="s">
        <v>524</v>
      </c>
      <c r="D81" s="113" t="s">
        <v>525</v>
      </c>
      <c r="E81" s="115">
        <v>4600023234</v>
      </c>
      <c r="F81" s="115">
        <v>40770033</v>
      </c>
      <c r="G81" s="52" t="s">
        <v>1948</v>
      </c>
      <c r="H81" s="114">
        <v>4788</v>
      </c>
      <c r="I81" s="114" t="s">
        <v>1193</v>
      </c>
      <c r="J81" s="165">
        <v>40207</v>
      </c>
      <c r="K81" s="32" t="s">
        <v>2366</v>
      </c>
      <c r="L81" s="43" t="s">
        <v>506</v>
      </c>
      <c r="M81" s="93">
        <v>40211</v>
      </c>
    </row>
    <row r="82" spans="1:13" s="31" customFormat="1" ht="76.5">
      <c r="A82" s="52" t="s">
        <v>515</v>
      </c>
      <c r="B82" s="113" t="s">
        <v>2367</v>
      </c>
      <c r="C82" s="115" t="s">
        <v>2266</v>
      </c>
      <c r="D82" s="113" t="s">
        <v>1190</v>
      </c>
      <c r="E82" s="115">
        <v>4600024121</v>
      </c>
      <c r="F82" s="115" t="s">
        <v>2368</v>
      </c>
      <c r="G82" s="52">
        <v>295711</v>
      </c>
      <c r="H82" s="114">
        <v>3792</v>
      </c>
      <c r="I82" s="114" t="s">
        <v>1193</v>
      </c>
      <c r="J82" s="165">
        <v>40209</v>
      </c>
      <c r="K82" s="32" t="s">
        <v>1214</v>
      </c>
      <c r="L82" s="43" t="s">
        <v>506</v>
      </c>
      <c r="M82" s="93">
        <v>40212</v>
      </c>
    </row>
    <row r="83" spans="1:13" s="31" customFormat="1" ht="63.75">
      <c r="A83" s="52" t="s">
        <v>515</v>
      </c>
      <c r="B83" s="113" t="s">
        <v>2372</v>
      </c>
      <c r="C83" s="115" t="s">
        <v>524</v>
      </c>
      <c r="D83" s="113" t="s">
        <v>525</v>
      </c>
      <c r="E83" s="115" t="s">
        <v>2373</v>
      </c>
      <c r="F83" s="115" t="s">
        <v>2374</v>
      </c>
      <c r="G83" s="52" t="s">
        <v>2375</v>
      </c>
      <c r="H83" s="114">
        <v>3804.3</v>
      </c>
      <c r="I83" s="114" t="s">
        <v>1193</v>
      </c>
      <c r="J83" s="165">
        <v>40210</v>
      </c>
      <c r="K83" s="32" t="s">
        <v>2577</v>
      </c>
      <c r="L83" s="43" t="s">
        <v>506</v>
      </c>
      <c r="M83" s="93">
        <v>40212</v>
      </c>
    </row>
    <row r="84" spans="1:13" s="31" customFormat="1" ht="127.5">
      <c r="A84" s="52" t="s">
        <v>515</v>
      </c>
      <c r="B84" s="113" t="s">
        <v>1941</v>
      </c>
      <c r="C84" s="115" t="s">
        <v>2266</v>
      </c>
      <c r="D84" s="113" t="s">
        <v>1197</v>
      </c>
      <c r="E84" s="115" t="s">
        <v>1942</v>
      </c>
      <c r="F84" s="115" t="s">
        <v>1943</v>
      </c>
      <c r="G84" s="52">
        <v>414608895</v>
      </c>
      <c r="H84" s="114">
        <v>214260.84</v>
      </c>
      <c r="I84" s="114" t="s">
        <v>1193</v>
      </c>
      <c r="J84" s="165">
        <v>40212</v>
      </c>
      <c r="K84" s="32" t="s">
        <v>1409</v>
      </c>
      <c r="L84" s="43" t="s">
        <v>506</v>
      </c>
      <c r="M84" s="93">
        <v>40214</v>
      </c>
    </row>
    <row r="85" spans="1:13" s="31" customFormat="1" ht="127.5">
      <c r="A85" s="52" t="s">
        <v>515</v>
      </c>
      <c r="B85" s="113" t="s">
        <v>83</v>
      </c>
      <c r="C85" s="115" t="s">
        <v>1863</v>
      </c>
      <c r="D85" s="113" t="s">
        <v>53</v>
      </c>
      <c r="E85" s="115">
        <v>4600023403</v>
      </c>
      <c r="F85" s="115" t="s">
        <v>84</v>
      </c>
      <c r="G85" s="52">
        <v>414608904</v>
      </c>
      <c r="H85" s="114">
        <v>162512.53</v>
      </c>
      <c r="I85" s="114" t="s">
        <v>1193</v>
      </c>
      <c r="J85" s="165">
        <v>40213</v>
      </c>
      <c r="K85" s="32" t="s">
        <v>1263</v>
      </c>
      <c r="L85" s="43" t="s">
        <v>506</v>
      </c>
      <c r="M85" s="93">
        <v>40214</v>
      </c>
    </row>
    <row r="86" spans="1:13" s="31" customFormat="1" ht="114.75">
      <c r="A86" s="52" t="s">
        <v>515</v>
      </c>
      <c r="B86" s="113" t="s">
        <v>2892</v>
      </c>
      <c r="C86" s="115" t="s">
        <v>1863</v>
      </c>
      <c r="D86" s="113" t="s">
        <v>53</v>
      </c>
      <c r="E86" s="115">
        <v>4600023396</v>
      </c>
      <c r="F86" s="115" t="s">
        <v>2893</v>
      </c>
      <c r="G86" s="52">
        <v>414608905</v>
      </c>
      <c r="H86" s="114">
        <v>491697.02</v>
      </c>
      <c r="I86" s="114" t="s">
        <v>1193</v>
      </c>
      <c r="J86" s="165">
        <v>40213</v>
      </c>
      <c r="K86" s="32" t="s">
        <v>2104</v>
      </c>
      <c r="L86" s="43" t="s">
        <v>506</v>
      </c>
      <c r="M86" s="93">
        <v>40217</v>
      </c>
    </row>
    <row r="87" spans="1:13" s="31" customFormat="1" ht="102">
      <c r="A87" s="52" t="s">
        <v>515</v>
      </c>
      <c r="B87" s="113" t="s">
        <v>2600</v>
      </c>
      <c r="C87" s="115" t="s">
        <v>1863</v>
      </c>
      <c r="D87" s="113" t="s">
        <v>1190</v>
      </c>
      <c r="E87" s="115">
        <v>4600023984</v>
      </c>
      <c r="F87" s="115" t="s">
        <v>2601</v>
      </c>
      <c r="G87" s="52">
        <v>414608889</v>
      </c>
      <c r="H87" s="114">
        <v>56152.800000000003</v>
      </c>
      <c r="I87" s="114" t="s">
        <v>1193</v>
      </c>
      <c r="J87" s="165">
        <v>40214</v>
      </c>
      <c r="K87" s="32" t="s">
        <v>1642</v>
      </c>
      <c r="L87" s="43" t="s">
        <v>506</v>
      </c>
      <c r="M87" s="93">
        <v>40215</v>
      </c>
    </row>
    <row r="88" spans="1:13" s="31" customFormat="1" ht="63.75">
      <c r="A88" s="52" t="s">
        <v>515</v>
      </c>
      <c r="B88" s="113" t="s">
        <v>1264</v>
      </c>
      <c r="C88" s="115" t="s">
        <v>524</v>
      </c>
      <c r="D88" s="113" t="s">
        <v>525</v>
      </c>
      <c r="E88" s="115">
        <v>4600023234</v>
      </c>
      <c r="F88" s="115" t="s">
        <v>1265</v>
      </c>
      <c r="G88" s="52" t="s">
        <v>1266</v>
      </c>
      <c r="H88" s="114">
        <v>5296.9</v>
      </c>
      <c r="I88" s="114" t="s">
        <v>1193</v>
      </c>
      <c r="J88" s="165">
        <v>40213</v>
      </c>
      <c r="K88" s="32" t="s">
        <v>1736</v>
      </c>
      <c r="L88" s="43" t="s">
        <v>506</v>
      </c>
      <c r="M88" s="93">
        <v>40215</v>
      </c>
    </row>
    <row r="89" spans="1:13" s="31" customFormat="1" ht="191.25">
      <c r="A89" s="52" t="s">
        <v>515</v>
      </c>
      <c r="B89" s="113" t="s">
        <v>1973</v>
      </c>
      <c r="C89" s="115" t="s">
        <v>1187</v>
      </c>
      <c r="D89" s="113" t="s">
        <v>521</v>
      </c>
      <c r="E89" s="115" t="s">
        <v>1974</v>
      </c>
      <c r="F89" s="115" t="s">
        <v>1975</v>
      </c>
      <c r="G89" s="52">
        <v>100024</v>
      </c>
      <c r="H89" s="114">
        <v>17090.560000000001</v>
      </c>
      <c r="I89" s="114" t="s">
        <v>1193</v>
      </c>
      <c r="J89" s="165">
        <v>40217</v>
      </c>
      <c r="K89" s="201" t="s">
        <v>798</v>
      </c>
      <c r="L89" s="41" t="s">
        <v>1080</v>
      </c>
      <c r="M89" s="93">
        <v>40226</v>
      </c>
    </row>
    <row r="90" spans="1:13" s="31" customFormat="1" ht="191.25">
      <c r="A90" s="52" t="s">
        <v>515</v>
      </c>
      <c r="B90" s="113" t="s">
        <v>2856</v>
      </c>
      <c r="C90" s="115" t="s">
        <v>1863</v>
      </c>
      <c r="D90" s="113" t="s">
        <v>521</v>
      </c>
      <c r="E90" s="115">
        <v>4600024175</v>
      </c>
      <c r="F90" s="115" t="s">
        <v>2857</v>
      </c>
      <c r="G90" s="52">
        <v>414608885</v>
      </c>
      <c r="H90" s="114">
        <v>43814.06</v>
      </c>
      <c r="I90" s="114" t="s">
        <v>1193</v>
      </c>
      <c r="J90" s="165">
        <v>40206</v>
      </c>
      <c r="K90" s="32" t="s">
        <v>1213</v>
      </c>
      <c r="L90" s="41" t="s">
        <v>1080</v>
      </c>
      <c r="M90" s="93">
        <v>40222</v>
      </c>
    </row>
    <row r="91" spans="1:13" s="31" customFormat="1" ht="204">
      <c r="A91" s="52" t="s">
        <v>515</v>
      </c>
      <c r="B91" s="113" t="s">
        <v>82</v>
      </c>
      <c r="C91" s="115" t="s">
        <v>2266</v>
      </c>
      <c r="D91" s="113" t="s">
        <v>525</v>
      </c>
      <c r="E91" s="115">
        <v>4600023868</v>
      </c>
      <c r="F91" s="115">
        <v>3000083416</v>
      </c>
      <c r="G91" s="52">
        <v>414608950</v>
      </c>
      <c r="H91" s="114">
        <v>51251.199999999997</v>
      </c>
      <c r="I91" s="114" t="s">
        <v>1193</v>
      </c>
      <c r="J91" s="165">
        <v>40217</v>
      </c>
      <c r="K91" s="32" t="s">
        <v>1429</v>
      </c>
      <c r="L91" s="43" t="s">
        <v>506</v>
      </c>
      <c r="M91" s="93">
        <v>40219</v>
      </c>
    </row>
    <row r="92" spans="1:13" s="31" customFormat="1" ht="178.5">
      <c r="A92" s="52" t="s">
        <v>515</v>
      </c>
      <c r="B92" s="113" t="s">
        <v>2890</v>
      </c>
      <c r="C92" s="115" t="s">
        <v>1187</v>
      </c>
      <c r="D92" s="113" t="s">
        <v>521</v>
      </c>
      <c r="E92" s="115">
        <v>4600023630</v>
      </c>
      <c r="F92" s="115">
        <v>94188435</v>
      </c>
      <c r="G92" s="52">
        <v>411654561</v>
      </c>
      <c r="H92" s="114">
        <v>11609.23</v>
      </c>
      <c r="I92" s="114" t="s">
        <v>1193</v>
      </c>
      <c r="J92" s="165">
        <v>40213</v>
      </c>
      <c r="K92" s="32" t="s">
        <v>15</v>
      </c>
      <c r="L92" s="43" t="s">
        <v>506</v>
      </c>
      <c r="M92" s="93">
        <v>40219</v>
      </c>
    </row>
    <row r="93" spans="1:13" s="31" customFormat="1" ht="140.25">
      <c r="A93" s="52" t="s">
        <v>515</v>
      </c>
      <c r="B93" s="113" t="s">
        <v>408</v>
      </c>
      <c r="C93" s="115" t="s">
        <v>531</v>
      </c>
      <c r="D93" s="113" t="s">
        <v>53</v>
      </c>
      <c r="E93" s="115">
        <v>4600023960</v>
      </c>
      <c r="F93" s="115">
        <v>230297</v>
      </c>
      <c r="G93" s="52">
        <v>4150185532</v>
      </c>
      <c r="H93" s="114">
        <v>4500</v>
      </c>
      <c r="I93" s="114" t="s">
        <v>1193</v>
      </c>
      <c r="J93" s="165">
        <v>40217</v>
      </c>
      <c r="K93" s="32" t="s">
        <v>1861</v>
      </c>
      <c r="L93" s="43" t="s">
        <v>506</v>
      </c>
      <c r="M93" s="93">
        <v>40220</v>
      </c>
    </row>
    <row r="94" spans="1:13" s="31" customFormat="1" ht="255">
      <c r="A94" s="52" t="s">
        <v>515</v>
      </c>
      <c r="B94" s="113" t="s">
        <v>1606</v>
      </c>
      <c r="C94" s="115" t="s">
        <v>2266</v>
      </c>
      <c r="D94" s="113" t="s">
        <v>2815</v>
      </c>
      <c r="E94" s="115">
        <v>4600023868</v>
      </c>
      <c r="F94" s="115">
        <v>3000083416</v>
      </c>
      <c r="G94" s="52">
        <v>414608949</v>
      </c>
      <c r="H94" s="114">
        <v>18170.88</v>
      </c>
      <c r="I94" s="114" t="s">
        <v>1193</v>
      </c>
      <c r="J94" s="165">
        <v>40225</v>
      </c>
      <c r="K94" s="32" t="s">
        <v>374</v>
      </c>
      <c r="L94" s="43" t="s">
        <v>506</v>
      </c>
      <c r="M94" s="93">
        <v>40229</v>
      </c>
    </row>
    <row r="95" spans="1:13" s="31" customFormat="1" ht="165.75">
      <c r="A95" s="52" t="s">
        <v>515</v>
      </c>
      <c r="B95" s="113" t="s">
        <v>1607</v>
      </c>
      <c r="C95" s="115" t="s">
        <v>2266</v>
      </c>
      <c r="D95" s="113" t="s">
        <v>2815</v>
      </c>
      <c r="E95" s="115">
        <v>4600023868</v>
      </c>
      <c r="F95" s="115">
        <v>3000083966</v>
      </c>
      <c r="G95" s="52">
        <v>414608900</v>
      </c>
      <c r="H95" s="114">
        <v>15375.36</v>
      </c>
      <c r="I95" s="114" t="s">
        <v>1193</v>
      </c>
      <c r="J95" s="165">
        <v>40218</v>
      </c>
      <c r="K95" s="32" t="s">
        <v>2181</v>
      </c>
      <c r="L95" s="43" t="s">
        <v>506</v>
      </c>
      <c r="M95" s="93">
        <v>40224</v>
      </c>
    </row>
    <row r="96" spans="1:13" s="31" customFormat="1" ht="63.75">
      <c r="A96" s="52" t="s">
        <v>515</v>
      </c>
      <c r="B96" s="113" t="s">
        <v>2530</v>
      </c>
      <c r="C96" s="115" t="s">
        <v>524</v>
      </c>
      <c r="D96" s="113" t="s">
        <v>525</v>
      </c>
      <c r="E96" s="115" t="s">
        <v>2531</v>
      </c>
      <c r="F96" s="115" t="s">
        <v>2842</v>
      </c>
      <c r="G96" s="52" t="s">
        <v>2843</v>
      </c>
      <c r="H96" s="114">
        <v>1681.3</v>
      </c>
      <c r="I96" s="114" t="s">
        <v>1193</v>
      </c>
      <c r="J96" s="165">
        <v>40216</v>
      </c>
      <c r="K96" s="32" t="s">
        <v>2107</v>
      </c>
      <c r="L96" s="43" t="s">
        <v>506</v>
      </c>
      <c r="M96" s="93">
        <v>40218</v>
      </c>
    </row>
    <row r="97" spans="1:13" s="31" customFormat="1" ht="89.25">
      <c r="A97" s="52" t="s">
        <v>515</v>
      </c>
      <c r="B97" s="113" t="s">
        <v>2328</v>
      </c>
      <c r="C97" s="115" t="s">
        <v>524</v>
      </c>
      <c r="D97" s="113" t="s">
        <v>525</v>
      </c>
      <c r="E97" s="115">
        <v>4600023234</v>
      </c>
      <c r="F97" s="115">
        <v>40771747</v>
      </c>
      <c r="G97" s="52" t="s">
        <v>2329</v>
      </c>
      <c r="H97" s="114">
        <v>3993</v>
      </c>
      <c r="I97" s="114" t="s">
        <v>1193</v>
      </c>
      <c r="J97" s="165">
        <v>40219</v>
      </c>
      <c r="K97" s="32" t="s">
        <v>27</v>
      </c>
      <c r="L97" s="43" t="s">
        <v>506</v>
      </c>
      <c r="M97" s="93">
        <v>40225</v>
      </c>
    </row>
    <row r="98" spans="1:13" s="31" customFormat="1" ht="114.75">
      <c r="A98" s="52" t="s">
        <v>515</v>
      </c>
      <c r="B98" s="113" t="s">
        <v>369</v>
      </c>
      <c r="C98" s="115" t="s">
        <v>2518</v>
      </c>
      <c r="D98" s="113" t="s">
        <v>2815</v>
      </c>
      <c r="E98" s="115">
        <v>4600024553</v>
      </c>
      <c r="F98" s="115" t="s">
        <v>370</v>
      </c>
      <c r="G98" s="52" t="s">
        <v>371</v>
      </c>
      <c r="H98" s="114">
        <v>28060.799999999999</v>
      </c>
      <c r="I98" s="114" t="s">
        <v>1193</v>
      </c>
      <c r="J98" s="165">
        <v>40223</v>
      </c>
      <c r="K98" s="32" t="s">
        <v>2687</v>
      </c>
      <c r="L98" s="43" t="s">
        <v>506</v>
      </c>
      <c r="M98" s="93">
        <v>40229</v>
      </c>
    </row>
    <row r="99" spans="1:13" s="31" customFormat="1" ht="102">
      <c r="A99" s="52" t="s">
        <v>515</v>
      </c>
      <c r="B99" s="113" t="s">
        <v>928</v>
      </c>
      <c r="C99" s="115" t="s">
        <v>1863</v>
      </c>
      <c r="D99" s="113" t="s">
        <v>1190</v>
      </c>
      <c r="E99" s="115">
        <v>4600023866</v>
      </c>
      <c r="F99" s="115" t="s">
        <v>1528</v>
      </c>
      <c r="G99" s="52" t="s">
        <v>1529</v>
      </c>
      <c r="H99" s="114">
        <v>51312</v>
      </c>
      <c r="I99" s="114" t="s">
        <v>1193</v>
      </c>
      <c r="J99" s="165">
        <v>40227</v>
      </c>
      <c r="K99" s="32" t="s">
        <v>962</v>
      </c>
      <c r="L99" s="43" t="s">
        <v>506</v>
      </c>
      <c r="M99" s="93">
        <v>40228</v>
      </c>
    </row>
    <row r="100" spans="1:13" s="31" customFormat="1" ht="102">
      <c r="A100" s="52" t="s">
        <v>515</v>
      </c>
      <c r="B100" s="113" t="s">
        <v>799</v>
      </c>
      <c r="C100" s="115" t="s">
        <v>780</v>
      </c>
      <c r="D100" s="113" t="s">
        <v>2952</v>
      </c>
      <c r="E100" s="115">
        <v>4800002341</v>
      </c>
      <c r="F100" s="115" t="s">
        <v>800</v>
      </c>
      <c r="G100" s="52">
        <v>4394656408</v>
      </c>
      <c r="H100" s="114">
        <v>3120</v>
      </c>
      <c r="I100" s="114" t="s">
        <v>1193</v>
      </c>
      <c r="J100" s="165">
        <v>40222</v>
      </c>
      <c r="K100" s="32" t="s">
        <v>1262</v>
      </c>
      <c r="L100" s="43" t="s">
        <v>506</v>
      </c>
      <c r="M100" s="93">
        <v>40228</v>
      </c>
    </row>
    <row r="101" spans="1:13" s="31" customFormat="1" ht="102">
      <c r="A101" s="52" t="s">
        <v>515</v>
      </c>
      <c r="B101" s="113" t="s">
        <v>1434</v>
      </c>
      <c r="C101" s="115" t="s">
        <v>1793</v>
      </c>
      <c r="D101" s="113" t="s">
        <v>2815</v>
      </c>
      <c r="E101" s="115">
        <v>4600024705</v>
      </c>
      <c r="F101" s="115" t="s">
        <v>327</v>
      </c>
      <c r="G101" s="52">
        <v>5984</v>
      </c>
      <c r="H101" s="114">
        <v>19801.599999999999</v>
      </c>
      <c r="I101" s="114" t="s">
        <v>1193</v>
      </c>
      <c r="J101" s="165">
        <v>40226</v>
      </c>
      <c r="K101" s="32" t="s">
        <v>1737</v>
      </c>
      <c r="L101" s="43" t="s">
        <v>506</v>
      </c>
      <c r="M101" s="93">
        <v>40228</v>
      </c>
    </row>
    <row r="102" spans="1:13" s="31" customFormat="1" ht="229.5">
      <c r="A102" s="52" t="s">
        <v>515</v>
      </c>
      <c r="B102" s="113" t="s">
        <v>1171</v>
      </c>
      <c r="C102" s="115" t="s">
        <v>2266</v>
      </c>
      <c r="D102" s="113" t="s">
        <v>521</v>
      </c>
      <c r="E102" s="115">
        <v>4600023347</v>
      </c>
      <c r="F102" s="115" t="s">
        <v>1172</v>
      </c>
      <c r="G102" s="52">
        <v>414608955</v>
      </c>
      <c r="H102" s="114">
        <v>21813.74</v>
      </c>
      <c r="I102" s="114" t="s">
        <v>1193</v>
      </c>
      <c r="J102" s="165">
        <v>40224</v>
      </c>
      <c r="K102" s="32" t="s">
        <v>309</v>
      </c>
      <c r="L102" s="41" t="s">
        <v>1080</v>
      </c>
      <c r="M102" s="93">
        <v>40232</v>
      </c>
    </row>
    <row r="103" spans="1:13" s="31" customFormat="1" ht="331.5">
      <c r="A103" s="52" t="s">
        <v>515</v>
      </c>
      <c r="B103" s="113" t="s">
        <v>1169</v>
      </c>
      <c r="C103" s="115" t="s">
        <v>2266</v>
      </c>
      <c r="D103" s="113" t="s">
        <v>521</v>
      </c>
      <c r="E103" s="115">
        <v>4600023347</v>
      </c>
      <c r="F103" s="115" t="s">
        <v>1170</v>
      </c>
      <c r="G103" s="52">
        <v>414608693</v>
      </c>
      <c r="H103" s="114">
        <v>21813.74</v>
      </c>
      <c r="I103" s="114" t="s">
        <v>1193</v>
      </c>
      <c r="J103" s="165">
        <v>40224</v>
      </c>
      <c r="K103" s="32" t="s">
        <v>0</v>
      </c>
      <c r="L103" s="41" t="s">
        <v>1080</v>
      </c>
      <c r="M103" s="93">
        <v>40235</v>
      </c>
    </row>
    <row r="104" spans="1:13" s="31" customFormat="1" ht="318.75">
      <c r="A104" s="52" t="s">
        <v>515</v>
      </c>
      <c r="B104" s="113" t="s">
        <v>1602</v>
      </c>
      <c r="C104" s="115" t="s">
        <v>2266</v>
      </c>
      <c r="D104" s="113" t="s">
        <v>521</v>
      </c>
      <c r="E104" s="115">
        <v>4600023348</v>
      </c>
      <c r="F104" s="115" t="s">
        <v>1603</v>
      </c>
      <c r="G104" s="52">
        <v>414608962</v>
      </c>
      <c r="H104" s="114">
        <v>21813.74</v>
      </c>
      <c r="I104" s="114" t="s">
        <v>1193</v>
      </c>
      <c r="J104" s="165">
        <v>40224</v>
      </c>
      <c r="K104" s="32" t="s">
        <v>363</v>
      </c>
      <c r="L104" s="41" t="s">
        <v>1080</v>
      </c>
      <c r="M104" s="93">
        <v>40233</v>
      </c>
    </row>
    <row r="105" spans="1:13" s="31" customFormat="1" ht="255">
      <c r="A105" s="52" t="s">
        <v>515</v>
      </c>
      <c r="B105" s="113" t="s">
        <v>1604</v>
      </c>
      <c r="C105" s="115" t="s">
        <v>2266</v>
      </c>
      <c r="D105" s="113" t="s">
        <v>521</v>
      </c>
      <c r="E105" s="115">
        <v>4600023348</v>
      </c>
      <c r="F105" s="115" t="s">
        <v>1605</v>
      </c>
      <c r="G105" s="52">
        <v>414608967</v>
      </c>
      <c r="H105" s="114">
        <v>21813.74</v>
      </c>
      <c r="I105" s="114" t="s">
        <v>1193</v>
      </c>
      <c r="J105" s="165">
        <v>40224</v>
      </c>
      <c r="K105" s="32" t="s">
        <v>2658</v>
      </c>
      <c r="L105" s="41" t="s">
        <v>1080</v>
      </c>
      <c r="M105" s="93">
        <v>40233</v>
      </c>
    </row>
    <row r="106" spans="1:13" s="31" customFormat="1" ht="153">
      <c r="A106" s="52" t="s">
        <v>515</v>
      </c>
      <c r="B106" s="113" t="s">
        <v>1459</v>
      </c>
      <c r="C106" s="115" t="s">
        <v>2266</v>
      </c>
      <c r="D106" s="113" t="s">
        <v>521</v>
      </c>
      <c r="E106" s="115">
        <v>4600024265</v>
      </c>
      <c r="F106" s="115">
        <v>1101557976</v>
      </c>
      <c r="G106" s="52">
        <v>414608975</v>
      </c>
      <c r="H106" s="114">
        <v>54812.160000000003</v>
      </c>
      <c r="I106" s="114" t="s">
        <v>1193</v>
      </c>
      <c r="J106" s="165">
        <v>40224</v>
      </c>
      <c r="K106" s="201" t="s">
        <v>812</v>
      </c>
      <c r="L106" s="43" t="s">
        <v>506</v>
      </c>
      <c r="M106" s="93">
        <v>40232</v>
      </c>
    </row>
    <row r="107" spans="1:13" s="31" customFormat="1" ht="165.75">
      <c r="A107" s="52" t="s">
        <v>515</v>
      </c>
      <c r="B107" s="113" t="s">
        <v>1530</v>
      </c>
      <c r="C107" s="115" t="s">
        <v>2266</v>
      </c>
      <c r="D107" s="113" t="s">
        <v>521</v>
      </c>
      <c r="E107" s="115">
        <v>4600024714</v>
      </c>
      <c r="F107" s="115">
        <v>1101564935</v>
      </c>
      <c r="G107" s="52">
        <v>414609070</v>
      </c>
      <c r="H107" s="114">
        <v>56246.400000000001</v>
      </c>
      <c r="I107" s="114" t="s">
        <v>1193</v>
      </c>
      <c r="J107" s="165">
        <v>40230</v>
      </c>
      <c r="K107" s="201" t="s">
        <v>1536</v>
      </c>
      <c r="L107" s="43" t="s">
        <v>506</v>
      </c>
      <c r="M107" s="93">
        <v>40232</v>
      </c>
    </row>
    <row r="108" spans="1:13" s="31" customFormat="1" ht="89.25">
      <c r="A108" s="52" t="s">
        <v>515</v>
      </c>
      <c r="B108" s="113" t="s">
        <v>1502</v>
      </c>
      <c r="C108" s="115" t="s">
        <v>524</v>
      </c>
      <c r="D108" s="113" t="s">
        <v>525</v>
      </c>
      <c r="E108" s="115" t="s">
        <v>1503</v>
      </c>
      <c r="F108" s="115" t="s">
        <v>987</v>
      </c>
      <c r="G108" s="52" t="s">
        <v>988</v>
      </c>
      <c r="H108" s="114">
        <v>1097.7</v>
      </c>
      <c r="I108" s="114" t="s">
        <v>1193</v>
      </c>
      <c r="J108" s="165">
        <v>40231</v>
      </c>
      <c r="K108" s="32" t="s">
        <v>2035</v>
      </c>
      <c r="L108" s="43" t="s">
        <v>506</v>
      </c>
      <c r="M108" s="93">
        <v>40234</v>
      </c>
    </row>
    <row r="109" spans="1:13" s="31" customFormat="1" ht="127.5">
      <c r="A109" s="52" t="s">
        <v>515</v>
      </c>
      <c r="B109" s="113" t="s">
        <v>1841</v>
      </c>
      <c r="C109" s="115" t="s">
        <v>524</v>
      </c>
      <c r="D109" s="113" t="s">
        <v>525</v>
      </c>
      <c r="E109" s="115">
        <v>4600023234</v>
      </c>
      <c r="F109" s="115">
        <v>40772985</v>
      </c>
      <c r="G109" s="52" t="s">
        <v>2330</v>
      </c>
      <c r="H109" s="114">
        <v>9118.1</v>
      </c>
      <c r="I109" s="114" t="s">
        <v>1193</v>
      </c>
      <c r="J109" s="165">
        <v>40225</v>
      </c>
      <c r="K109" s="201" t="s">
        <v>2030</v>
      </c>
      <c r="L109" s="43" t="s">
        <v>506</v>
      </c>
      <c r="M109" s="93">
        <v>40234</v>
      </c>
    </row>
    <row r="110" spans="1:13" s="31" customFormat="1" ht="63.75">
      <c r="A110" s="52" t="s">
        <v>515</v>
      </c>
      <c r="B110" s="113" t="s">
        <v>2804</v>
      </c>
      <c r="C110" s="115" t="s">
        <v>524</v>
      </c>
      <c r="D110" s="113" t="s">
        <v>525</v>
      </c>
      <c r="E110" s="115">
        <v>4600023932</v>
      </c>
      <c r="F110" s="115">
        <v>40775056</v>
      </c>
      <c r="G110" s="52" t="s">
        <v>2483</v>
      </c>
      <c r="H110" s="114">
        <v>411.4</v>
      </c>
      <c r="I110" s="114" t="s">
        <v>1193</v>
      </c>
      <c r="J110" s="165">
        <v>40236</v>
      </c>
      <c r="K110" s="32" t="s">
        <v>1236</v>
      </c>
      <c r="L110" s="43" t="s">
        <v>506</v>
      </c>
      <c r="M110" s="93">
        <v>40239</v>
      </c>
    </row>
    <row r="111" spans="1:13" s="31" customFormat="1" ht="165.75">
      <c r="A111" s="52" t="s">
        <v>515</v>
      </c>
      <c r="B111" s="113" t="s">
        <v>328</v>
      </c>
      <c r="C111" s="115" t="s">
        <v>2518</v>
      </c>
      <c r="D111" s="113" t="s">
        <v>2815</v>
      </c>
      <c r="E111" s="113">
        <v>4600024553</v>
      </c>
      <c r="F111" s="115">
        <v>2210004468</v>
      </c>
      <c r="G111" s="52" t="s">
        <v>329</v>
      </c>
      <c r="H111" s="114">
        <v>19095</v>
      </c>
      <c r="I111" s="114" t="s">
        <v>1193</v>
      </c>
      <c r="J111" s="165">
        <v>40235</v>
      </c>
      <c r="K111" s="32" t="s">
        <v>857</v>
      </c>
      <c r="L111" s="43" t="s">
        <v>506</v>
      </c>
      <c r="M111" s="93">
        <v>40241</v>
      </c>
    </row>
    <row r="112" spans="1:13" s="31" customFormat="1" ht="344.25">
      <c r="A112" s="52" t="s">
        <v>515</v>
      </c>
      <c r="B112" s="113" t="s">
        <v>2370</v>
      </c>
      <c r="C112" s="115" t="s">
        <v>1793</v>
      </c>
      <c r="D112" s="113" t="s">
        <v>1190</v>
      </c>
      <c r="E112" s="115">
        <v>4600024244</v>
      </c>
      <c r="F112" s="115" t="s">
        <v>2371</v>
      </c>
      <c r="G112" s="52">
        <v>5886</v>
      </c>
      <c r="H112" s="114">
        <v>13436.8</v>
      </c>
      <c r="I112" s="114" t="s">
        <v>1193</v>
      </c>
      <c r="J112" s="165">
        <v>40217</v>
      </c>
      <c r="K112" s="32" t="s">
        <v>258</v>
      </c>
      <c r="L112" s="40" t="s">
        <v>980</v>
      </c>
      <c r="M112" s="93">
        <v>40248</v>
      </c>
    </row>
    <row r="113" spans="1:13" s="31" customFormat="1" ht="371.25" customHeight="1">
      <c r="A113" s="52" t="s">
        <v>515</v>
      </c>
      <c r="B113" s="113" t="s">
        <v>372</v>
      </c>
      <c r="C113" s="115" t="s">
        <v>1335</v>
      </c>
      <c r="D113" s="113" t="s">
        <v>1336</v>
      </c>
      <c r="E113" s="115">
        <v>4800002265</v>
      </c>
      <c r="F113" s="115">
        <v>9383294899</v>
      </c>
      <c r="G113" s="52" t="s">
        <v>373</v>
      </c>
      <c r="H113" s="114">
        <v>121000</v>
      </c>
      <c r="I113" s="114" t="s">
        <v>1193</v>
      </c>
      <c r="J113" s="165">
        <v>40223</v>
      </c>
      <c r="K113" s="32" t="s">
        <v>615</v>
      </c>
      <c r="L113" s="40" t="s">
        <v>980</v>
      </c>
      <c r="M113" s="93">
        <v>40252</v>
      </c>
    </row>
  </sheetData>
  <autoFilter ref="B1:K113"/>
  <customSheetViews>
    <customSheetView guid="{3DC6DB2D-2732-413F-B168-80FED6A56EC0}" showPageBreaks="1" showAutoFilter="1" state="hidden">
      <pane xSplit="1" ySplit="1" topLeftCell="B2" activePane="bottomRight" state="frozen"/>
      <selection pane="bottomRight" activeCell="J2" sqref="J2"/>
      <pageMargins left="0.78740157499999996" right="0.78740157499999996" top="0.984251969" bottom="0.984251969" header="0.5" footer="0.5"/>
      <pageSetup orientation="portrait" r:id="rId1"/>
      <headerFooter alignWithMargins="0"/>
      <autoFilter ref="B1:K1"/>
    </customSheetView>
    <customSheetView guid="{B7B7C792-01A7-4AC6-B514-9B8806F4E6E0}" showAutoFilter="1" state="hidden">
      <pane xSplit="1" ySplit="1" topLeftCell="B2" activePane="bottomRight" state="frozen"/>
      <selection pane="bottomRight" activeCell="J2" sqref="J2"/>
      <pageMargins left="0.78740157499999996" right="0.78740157499999996" top="0.984251969" bottom="0.984251969" header="0.5" footer="0.5"/>
      <pageSetup orientation="portrait" r:id="rId2"/>
      <headerFooter alignWithMargins="0"/>
      <autoFilter ref="B1:K1"/>
    </customSheetView>
    <customSheetView guid="{269F1B10-4E07-42BC-BAEF-00343A929B24}" showAutoFilter="1" state="hidden">
      <pane xSplit="1" ySplit="1" topLeftCell="B2" activePane="bottomRight" state="frozen"/>
      <selection pane="bottomRight" activeCell="J2" sqref="J2"/>
      <pageMargins left="0.78740157499999996" right="0.78740157499999996" top="0.984251969" bottom="0.984251969" header="0.5" footer="0.5"/>
      <pageSetup orientation="portrait" r:id="rId3"/>
      <headerFooter alignWithMargins="0"/>
      <autoFilter ref="B1:K1"/>
    </customSheetView>
    <customSheetView guid="{2480A4FF-65AB-41EC-9340-4163653E8C2C}" showAutoFilter="1" state="hidden">
      <pane xSplit="1" ySplit="1" topLeftCell="B2" activePane="bottomRight" state="frozen"/>
      <selection pane="bottomRight" activeCell="J2" sqref="J2"/>
      <pageMargins left="0.78740157499999996" right="0.78740157499999996" top="0.984251969" bottom="0.984251969" header="0.5" footer="0.5"/>
      <pageSetup orientation="portrait" r:id="rId4"/>
      <headerFooter alignWithMargins="0"/>
      <autoFilter ref="B1:K1"/>
    </customSheetView>
    <customSheetView guid="{316BA082-4614-439F-9CB4-340D61BDC344}" showAutoFilter="1" state="hidden">
      <pane xSplit="1" ySplit="1" topLeftCell="B2" activePane="bottomRight" state="frozen"/>
      <selection pane="bottomRight" activeCell="J2" sqref="J2"/>
      <pageMargins left="0.78740157499999996" right="0.78740157499999996" top="0.984251969" bottom="0.984251969" header="0.5" footer="0.5"/>
      <pageSetup orientation="portrait" r:id="rId5"/>
      <headerFooter alignWithMargins="0"/>
      <autoFilter ref="B1:K1"/>
    </customSheetView>
    <customSheetView guid="{8FE2D47B-0E59-4D19-A2DA-A420176425F0}" showAutoFilter="1" showRuler="0">
      <pane xSplit="1" ySplit="1" topLeftCell="E56" activePane="bottomRight" state="frozen"/>
      <selection pane="bottomRight" activeCell="K59" sqref="K59"/>
      <pageMargins left="0.78740157499999996" right="0.78740157499999996" top="0.984251969" bottom="0.984251969" header="0.5" footer="0.5"/>
      <pageSetup orientation="portrait" r:id="rId6"/>
      <headerFooter alignWithMargins="0"/>
      <autoFilter ref="B1:K1"/>
    </customSheetView>
    <customSheetView guid="{471B9EAC-32FD-4AB4-B189-11C2ED8F5F72}" showAutoFilter="1">
      <pane xSplit="1" ySplit="1" topLeftCell="E56" activePane="bottomRight" state="frozen"/>
      <selection pane="bottomRight" activeCell="K58" sqref="K58"/>
      <pageMargins left="0.78740157499999996" right="0.78740157499999996" top="0.984251969" bottom="0.984251969" header="0.5" footer="0.5"/>
      <pageSetup orientation="portrait" r:id="rId7"/>
      <headerFooter alignWithMargins="0"/>
      <autoFilter ref="B1:K1"/>
    </customSheetView>
    <customSheetView guid="{737B1B74-A15D-4372-A92B-22C1B1EB3690}" showAutoFilter="1">
      <pane xSplit="1" ySplit="1" topLeftCell="E56" activePane="bottomRight" state="frozen"/>
      <selection pane="bottomRight" activeCell="K58" sqref="K58"/>
      <pageMargins left="0.78740157499999996" right="0.78740157499999996" top="0.984251969" bottom="0.984251969" header="0.5" footer="0.5"/>
      <pageSetup orientation="portrait" r:id="rId8"/>
      <headerFooter alignWithMargins="0"/>
      <autoFilter ref="B1:K1"/>
    </customSheetView>
    <customSheetView guid="{91008F47-B234-416A-9BC2-294844B4E685}" showAutoFilter="1" showRuler="0">
      <pane xSplit="1" ySplit="1" topLeftCell="E56" activePane="bottomRight" state="frozen"/>
      <selection pane="bottomRight" activeCell="K59" sqref="K59"/>
      <pageMargins left="0.78740157499999996" right="0.78740157499999996" top="0.984251969" bottom="0.984251969" header="0.5" footer="0.5"/>
      <pageSetup orientation="portrait" r:id="rId9"/>
      <headerFooter alignWithMargins="0"/>
      <autoFilter ref="B1:K1"/>
    </customSheetView>
    <customSheetView guid="{38CDF8B5-0F48-433A-A36F-EAD87AD19578}" showPageBreaks="1" showAutoFilter="1" state="hidden">
      <pane xSplit="1" ySplit="1" topLeftCell="B2" activePane="bottomRight" state="frozen"/>
      <selection pane="bottomRight" activeCell="J2" sqref="J2"/>
      <pageMargins left="0.78740157499999996" right="0.78740157499999996" top="0.984251969" bottom="0.984251969" header="0.5" footer="0.5"/>
      <pageSetup orientation="portrait" r:id="rId10"/>
      <headerFooter alignWithMargins="0"/>
      <autoFilter ref="B1:K1"/>
    </customSheetView>
    <customSheetView guid="{DEAD857C-E742-4582-892F-EFCA94380712}" showPageBreaks="1" showAutoFilter="1" state="hidden">
      <pane xSplit="1" ySplit="1" topLeftCell="B2" activePane="bottomRight" state="frozen"/>
      <selection pane="bottomRight" activeCell="J2" sqref="J2"/>
      <pageMargins left="0.78740157499999996" right="0.78740157499999996" top="0.984251969" bottom="0.984251969" header="0.5" footer="0.5"/>
      <pageSetup orientation="portrait" r:id="rId11"/>
      <headerFooter alignWithMargins="0"/>
      <autoFilter ref="B1:K1"/>
    </customSheetView>
  </customSheetViews>
  <phoneticPr fontId="3" type="noConversion"/>
  <pageMargins left="0.78740157499999996" right="0.78740157499999996" top="0.984251969" bottom="0.984251969" header="0.5" footer="0.5"/>
  <pageSetup orientation="portrait" r:id="rId12"/>
  <headerFooter alignWithMargins="0"/>
</worksheet>
</file>

<file path=xl/worksheets/sheet8.xml><?xml version="1.0" encoding="utf-8"?>
<worksheet xmlns="http://schemas.openxmlformats.org/spreadsheetml/2006/main" xmlns:r="http://schemas.openxmlformats.org/officeDocument/2006/relationships">
  <sheetPr>
    <tabColor rgb="FF00B050"/>
    <pageSetUpPr fitToPage="1"/>
  </sheetPr>
  <dimension ref="A1:AJ16"/>
  <sheetViews>
    <sheetView showGridLines="0" zoomScaleNormal="100" workbookViewId="0">
      <pane xSplit="1" ySplit="1" topLeftCell="B2" activePane="bottomRight" state="frozen"/>
      <selection pane="topRight" activeCell="B1" sqref="B1"/>
      <selection pane="bottomLeft" activeCell="A2" sqref="A2"/>
      <selection pane="bottomRight" activeCell="A5" sqref="A5"/>
    </sheetView>
  </sheetViews>
  <sheetFormatPr defaultColWidth="19.5703125" defaultRowHeight="11.25"/>
  <cols>
    <col min="1" max="1" width="16.140625" style="701" bestFit="1" customWidth="1"/>
    <col min="2" max="2" width="13.7109375" style="702" bestFit="1" customWidth="1"/>
    <col min="3" max="3" width="18.85546875" style="702" bestFit="1" customWidth="1"/>
    <col min="4" max="4" width="18" style="703" bestFit="1" customWidth="1"/>
    <col min="5" max="5" width="11.7109375" style="702" bestFit="1" customWidth="1"/>
    <col min="6" max="6" width="10.140625" style="702" bestFit="1" customWidth="1"/>
    <col min="7" max="7" width="15.7109375" style="702" bestFit="1" customWidth="1"/>
    <col min="8" max="8" width="22" style="702" bestFit="1" customWidth="1"/>
    <col min="9" max="9" width="9.5703125" style="704" bestFit="1" customWidth="1"/>
    <col min="10" max="10" width="11.28515625" style="705" bestFit="1" customWidth="1"/>
    <col min="11" max="11" width="19.5703125" style="705"/>
    <col min="12" max="12" width="21.42578125" style="702" bestFit="1" customWidth="1"/>
    <col min="13" max="13" width="15.5703125" style="706" bestFit="1" customWidth="1"/>
    <col min="14" max="14" width="37.140625" style="706" bestFit="1" customWidth="1"/>
    <col min="15" max="16" width="11.5703125" style="707" bestFit="1" customWidth="1"/>
    <col min="17" max="17" width="12.7109375" style="705" bestFit="1" customWidth="1"/>
    <col min="18" max="18" width="16.28515625" style="703" bestFit="1" customWidth="1"/>
    <col min="19" max="19" width="12.140625" style="705" bestFit="1" customWidth="1"/>
    <col min="20" max="20" width="13.140625" style="702" bestFit="1" customWidth="1"/>
    <col min="21" max="21" width="14.7109375" style="702" bestFit="1" customWidth="1"/>
    <col min="22" max="22" width="12.140625" style="702" bestFit="1" customWidth="1"/>
    <col min="23" max="23" width="16" style="702" bestFit="1" customWidth="1"/>
    <col min="24" max="24" width="13.42578125" style="702" bestFit="1" customWidth="1"/>
    <col min="25" max="25" width="13.7109375" style="708" bestFit="1" customWidth="1"/>
    <col min="26" max="26" width="17.85546875" style="702" bestFit="1" customWidth="1"/>
    <col min="27" max="27" width="11" style="708" bestFit="1" customWidth="1"/>
    <col min="28" max="28" width="12.5703125" style="708" bestFit="1" customWidth="1"/>
    <col min="29" max="29" width="13.85546875" style="702" bestFit="1" customWidth="1"/>
    <col min="30" max="30" width="21" style="706" bestFit="1" customWidth="1"/>
    <col min="31" max="34" width="19.5703125" style="706"/>
    <col min="35" max="35" width="19.5703125" style="705"/>
    <col min="36" max="36" width="19.5703125" style="708"/>
    <col min="37" max="16384" width="19.5703125" style="706"/>
  </cols>
  <sheetData>
    <row r="1" spans="1:30" s="709" customFormat="1">
      <c r="A1" s="710" t="s">
        <v>6429</v>
      </c>
      <c r="B1" s="710" t="s">
        <v>6363</v>
      </c>
      <c r="C1" s="710" t="s">
        <v>6430</v>
      </c>
      <c r="D1" s="710" t="s">
        <v>3162</v>
      </c>
      <c r="E1" s="711" t="s">
        <v>6364</v>
      </c>
      <c r="F1" s="711" t="s">
        <v>1470</v>
      </c>
      <c r="G1" s="711" t="s">
        <v>6365</v>
      </c>
      <c r="H1" s="711" t="s">
        <v>6366</v>
      </c>
      <c r="I1" s="711" t="s">
        <v>1471</v>
      </c>
      <c r="J1" s="711" t="s">
        <v>59</v>
      </c>
      <c r="K1" s="711" t="s">
        <v>423</v>
      </c>
      <c r="L1" s="712" t="s">
        <v>6367</v>
      </c>
      <c r="M1" s="711" t="s">
        <v>6431</v>
      </c>
      <c r="N1" s="711" t="s">
        <v>1205</v>
      </c>
      <c r="O1" s="669" t="s">
        <v>3114</v>
      </c>
      <c r="P1" s="669" t="s">
        <v>3115</v>
      </c>
      <c r="Q1" s="670" t="s">
        <v>6435</v>
      </c>
      <c r="R1" s="670" t="s">
        <v>4707</v>
      </c>
      <c r="S1" s="713" t="s">
        <v>3116</v>
      </c>
      <c r="T1" s="713" t="s">
        <v>3117</v>
      </c>
      <c r="U1" s="713" t="s">
        <v>3118</v>
      </c>
      <c r="V1" s="713" t="s">
        <v>3119</v>
      </c>
      <c r="W1" s="714" t="s">
        <v>6432</v>
      </c>
      <c r="X1" s="713" t="s">
        <v>3121</v>
      </c>
      <c r="Y1" s="711" t="s">
        <v>6433</v>
      </c>
      <c r="Z1" s="712" t="s">
        <v>3028</v>
      </c>
      <c r="AA1" s="711" t="s">
        <v>6434</v>
      </c>
      <c r="AB1" s="670" t="s">
        <v>6368</v>
      </c>
      <c r="AC1" s="715" t="s">
        <v>3039</v>
      </c>
      <c r="AD1" s="660" t="s">
        <v>6385</v>
      </c>
    </row>
    <row r="2" spans="1:30" s="687" customFormat="1" ht="135">
      <c r="A2" s="677" t="s">
        <v>6273</v>
      </c>
      <c r="B2" s="678" t="str">
        <f>"00"&amp;RIGHT(A2,8)</f>
        <v>0040487I23</v>
      </c>
      <c r="C2" s="678"/>
      <c r="D2" s="678" t="s">
        <v>6323</v>
      </c>
      <c r="E2" s="678" t="s">
        <v>3042</v>
      </c>
      <c r="F2" s="678" t="s">
        <v>5694</v>
      </c>
      <c r="G2" s="679" t="s">
        <v>6276</v>
      </c>
      <c r="H2" s="679" t="s">
        <v>6275</v>
      </c>
      <c r="I2" s="680">
        <v>4800018296</v>
      </c>
      <c r="J2" s="680">
        <v>224962072</v>
      </c>
      <c r="K2" s="678" t="s">
        <v>6282</v>
      </c>
      <c r="L2" s="700">
        <v>44997</v>
      </c>
      <c r="M2" s="700">
        <v>45000</v>
      </c>
      <c r="N2" s="688" t="s">
        <v>6373</v>
      </c>
      <c r="O2" s="720">
        <v>1</v>
      </c>
      <c r="P2" s="720" t="s">
        <v>1771</v>
      </c>
      <c r="Q2" s="678">
        <f>5</f>
        <v>5</v>
      </c>
      <c r="R2" s="678">
        <f>930</f>
        <v>930</v>
      </c>
      <c r="S2" s="661">
        <v>19116.7</v>
      </c>
      <c r="T2" s="661">
        <v>1104.94</v>
      </c>
      <c r="U2" s="661">
        <v>1</v>
      </c>
      <c r="V2" s="662">
        <f t="shared" ref="V2:V3" si="0">SUM(S2:U2)</f>
        <v>20222.64</v>
      </c>
      <c r="W2" s="663">
        <v>5.1821999999999999</v>
      </c>
      <c r="X2" s="664"/>
      <c r="Y2" s="683" t="s">
        <v>6371</v>
      </c>
      <c r="Z2" s="665">
        <v>44998</v>
      </c>
      <c r="AA2" s="684" t="s">
        <v>2146</v>
      </c>
      <c r="AB2" s="685" t="s">
        <v>3147</v>
      </c>
      <c r="AC2" s="665">
        <v>44995</v>
      </c>
      <c r="AD2" s="716" t="str">
        <f>VLOOKUP(A2,[1]Analise!$A:$L,12,0)</f>
        <v>OK</v>
      </c>
    </row>
    <row r="3" spans="1:30" s="687" customFormat="1" ht="135">
      <c r="A3" s="677" t="s">
        <v>6274</v>
      </c>
      <c r="B3" s="678" t="str">
        <f t="shared" ref="B3:B16" si="1">"00"&amp;RIGHT(A3,8)</f>
        <v>0040488I23</v>
      </c>
      <c r="C3" s="678"/>
      <c r="D3" s="678" t="s">
        <v>6323</v>
      </c>
      <c r="E3" s="678" t="s">
        <v>3042</v>
      </c>
      <c r="F3" s="678" t="s">
        <v>5694</v>
      </c>
      <c r="G3" s="679" t="s">
        <v>6277</v>
      </c>
      <c r="H3" s="679" t="s">
        <v>6278</v>
      </c>
      <c r="I3" s="680" t="s">
        <v>6279</v>
      </c>
      <c r="J3" s="680">
        <v>224623996</v>
      </c>
      <c r="K3" s="678" t="s">
        <v>6282</v>
      </c>
      <c r="L3" s="700">
        <v>44997</v>
      </c>
      <c r="M3" s="700">
        <v>45000</v>
      </c>
      <c r="N3" s="688" t="s">
        <v>6374</v>
      </c>
      <c r="O3" s="721"/>
      <c r="P3" s="721"/>
      <c r="Q3" s="678">
        <f>1+16+1+1+1+4</f>
        <v>24</v>
      </c>
      <c r="R3" s="678">
        <f>60.2+625.8+59.4+61.2+60.8+85.55</f>
        <v>952.94999999999993</v>
      </c>
      <c r="S3" s="661">
        <v>119905.04</v>
      </c>
      <c r="T3" s="661">
        <v>1649.06</v>
      </c>
      <c r="U3" s="661">
        <v>1</v>
      </c>
      <c r="V3" s="662">
        <f t="shared" si="0"/>
        <v>121555.09999999999</v>
      </c>
      <c r="W3" s="663">
        <v>5.1821999999999999</v>
      </c>
      <c r="X3" s="664"/>
      <c r="Y3" s="683" t="s">
        <v>6372</v>
      </c>
      <c r="Z3" s="665">
        <v>44998</v>
      </c>
      <c r="AA3" s="684" t="s">
        <v>2146</v>
      </c>
      <c r="AB3" s="685" t="s">
        <v>3147</v>
      </c>
      <c r="AC3" s="665">
        <v>44995</v>
      </c>
      <c r="AD3" s="716" t="str">
        <f>VLOOKUP(A3,[1]Analise!$A:$L,12,0)</f>
        <v>OK</v>
      </c>
    </row>
    <row r="4" spans="1:30" s="687" customFormat="1" ht="146.25">
      <c r="A4" s="677" t="s">
        <v>6285</v>
      </c>
      <c r="B4" s="678" t="str">
        <f t="shared" si="1"/>
        <v>0040687I23</v>
      </c>
      <c r="C4" s="678"/>
      <c r="D4" s="678" t="s">
        <v>6323</v>
      </c>
      <c r="E4" s="678" t="s">
        <v>3042</v>
      </c>
      <c r="F4" s="678" t="s">
        <v>3774</v>
      </c>
      <c r="G4" s="679" t="s">
        <v>6290</v>
      </c>
      <c r="H4" s="679" t="s">
        <v>6287</v>
      </c>
      <c r="I4" s="680" t="s">
        <v>6292</v>
      </c>
      <c r="J4" s="681">
        <v>149300487771</v>
      </c>
      <c r="K4" s="678" t="s">
        <v>6291</v>
      </c>
      <c r="L4" s="700">
        <v>45003</v>
      </c>
      <c r="M4" s="700">
        <v>45007</v>
      </c>
      <c r="N4" s="688" t="s">
        <v>6383</v>
      </c>
      <c r="O4" s="720" t="s">
        <v>1771</v>
      </c>
      <c r="P4" s="720">
        <v>1</v>
      </c>
      <c r="Q4" s="678">
        <f>1+1+5+8+7+1+2+1+1+1+1+1+1</f>
        <v>31</v>
      </c>
      <c r="R4" s="678">
        <f>177+69.5+864.4+925.5+1085+70+2.62+0.98+68.5+0.46+2.22+2.88+1</f>
        <v>3270.06</v>
      </c>
      <c r="S4" s="661">
        <v>66722.399999999994</v>
      </c>
      <c r="T4" s="661">
        <v>1577.07</v>
      </c>
      <c r="U4" s="661">
        <v>1</v>
      </c>
      <c r="V4" s="662">
        <f t="shared" ref="V4:V5" si="2">SUM(S4:U4)</f>
        <v>68300.47</v>
      </c>
      <c r="W4" s="663">
        <v>5.2466999999999997</v>
      </c>
      <c r="X4" s="664"/>
      <c r="Y4" s="683" t="s">
        <v>6381</v>
      </c>
      <c r="Z4" s="665">
        <v>45006</v>
      </c>
      <c r="AA4" s="684" t="s">
        <v>2146</v>
      </c>
      <c r="AB4" s="685" t="s">
        <v>3147</v>
      </c>
      <c r="AC4" s="665">
        <v>44999</v>
      </c>
      <c r="AD4" s="716" t="str">
        <f>VLOOKUP(A4,[1]Analise!$A:$L,12,0)</f>
        <v>OK</v>
      </c>
    </row>
    <row r="5" spans="1:30" s="687" customFormat="1" ht="258.75">
      <c r="A5" s="677" t="s">
        <v>6286</v>
      </c>
      <c r="B5" s="678" t="str">
        <f t="shared" si="1"/>
        <v>0040688I23</v>
      </c>
      <c r="C5" s="678"/>
      <c r="D5" s="678" t="s">
        <v>6323</v>
      </c>
      <c r="E5" s="678" t="s">
        <v>3042</v>
      </c>
      <c r="F5" s="678" t="s">
        <v>3774</v>
      </c>
      <c r="G5" s="679" t="s">
        <v>6289</v>
      </c>
      <c r="H5" s="679" t="s">
        <v>6288</v>
      </c>
      <c r="I5" s="680" t="s">
        <v>6293</v>
      </c>
      <c r="J5" s="681">
        <v>149300409788</v>
      </c>
      <c r="K5" s="678" t="s">
        <v>6291</v>
      </c>
      <c r="L5" s="700">
        <v>45003</v>
      </c>
      <c r="M5" s="700">
        <v>45007</v>
      </c>
      <c r="N5" s="688" t="s">
        <v>6384</v>
      </c>
      <c r="O5" s="721"/>
      <c r="P5" s="721"/>
      <c r="Q5" s="678">
        <f>16+16+1+1+1+1+1+2+1+1+2+1+1+1+6+1+2+1+1+1+2+1+1</f>
        <v>62</v>
      </c>
      <c r="R5" s="678">
        <f>623.4+629.4+61.4+61.4+60.8+61.6+60.6+68.6+6.29+3.74+67.4+4.3+5.08+3.79+20.27+14.32+74+4.87+2.14+3.59+78.52+2.05+2.06</f>
        <v>1919.6199999999994</v>
      </c>
      <c r="S5" s="661">
        <v>268766.36</v>
      </c>
      <c r="T5" s="661">
        <v>1095.93</v>
      </c>
      <c r="U5" s="661">
        <v>1</v>
      </c>
      <c r="V5" s="662">
        <f t="shared" si="2"/>
        <v>269863.28999999998</v>
      </c>
      <c r="W5" s="663">
        <v>5.2466999999999997</v>
      </c>
      <c r="X5" s="664"/>
      <c r="Y5" s="683" t="s">
        <v>6382</v>
      </c>
      <c r="Z5" s="665">
        <v>45006</v>
      </c>
      <c r="AA5" s="684" t="s">
        <v>2146</v>
      </c>
      <c r="AB5" s="685" t="s">
        <v>3147</v>
      </c>
      <c r="AC5" s="665">
        <v>44999</v>
      </c>
      <c r="AD5" s="716" t="str">
        <f>VLOOKUP(A5,[1]Analise!$A:$L,12,0)</f>
        <v>OK</v>
      </c>
    </row>
    <row r="6" spans="1:30" s="687" customFormat="1" ht="213.75">
      <c r="A6" s="677" t="s">
        <v>6294</v>
      </c>
      <c r="B6" s="678" t="str">
        <f t="shared" si="1"/>
        <v>0040707I23</v>
      </c>
      <c r="C6" s="678"/>
      <c r="D6" s="678" t="s">
        <v>6323</v>
      </c>
      <c r="E6" s="678" t="s">
        <v>3042</v>
      </c>
      <c r="F6" s="678" t="s">
        <v>3774</v>
      </c>
      <c r="G6" s="679" t="s">
        <v>6297</v>
      </c>
      <c r="H6" s="679" t="s">
        <v>6296</v>
      </c>
      <c r="I6" s="680" t="s">
        <v>6300</v>
      </c>
      <c r="J6" s="681">
        <v>149300610904</v>
      </c>
      <c r="K6" s="678" t="s">
        <v>6321</v>
      </c>
      <c r="L6" s="700">
        <v>45012</v>
      </c>
      <c r="M6" s="700">
        <v>45015</v>
      </c>
      <c r="N6" s="688" t="s">
        <v>6407</v>
      </c>
      <c r="O6" s="720" t="s">
        <v>1771</v>
      </c>
      <c r="P6" s="720">
        <v>1</v>
      </c>
      <c r="Q6" s="678">
        <f>1+2+9+2+2+1+2+1+1+1+1+1+1+1+1+3+5+8+10</f>
        <v>53</v>
      </c>
      <c r="R6" s="678">
        <f>86+133.5+1588.5+134+122.5+6.22+55.06+69.5+6.22+131+6.21+0.5+0.44+0.56+0.8+92.26+797.4+921+1741.5</f>
        <v>5893.17</v>
      </c>
      <c r="S6" s="661">
        <v>91279.28</v>
      </c>
      <c r="T6" s="661">
        <v>2539.35</v>
      </c>
      <c r="U6" s="661">
        <v>1</v>
      </c>
      <c r="V6" s="662">
        <f t="shared" ref="V6:V9" si="3">SUM(S6:U6)</f>
        <v>93819.63</v>
      </c>
      <c r="W6" s="663">
        <v>5.2920999999999996</v>
      </c>
      <c r="X6" s="664"/>
      <c r="Y6" s="683" t="s">
        <v>6403</v>
      </c>
      <c r="Z6" s="665">
        <v>45013</v>
      </c>
      <c r="AA6" s="684" t="s">
        <v>2146</v>
      </c>
      <c r="AB6" s="685" t="s">
        <v>3337</v>
      </c>
      <c r="AC6" s="665" t="s">
        <v>1771</v>
      </c>
      <c r="AD6" s="716" t="str">
        <f>VLOOKUP(A6,[1]Analise!$A:$L,12,0)</f>
        <v>OK</v>
      </c>
    </row>
    <row r="7" spans="1:30" s="687" customFormat="1" ht="123.75">
      <c r="A7" s="677" t="s">
        <v>6295</v>
      </c>
      <c r="B7" s="678" t="str">
        <f t="shared" si="1"/>
        <v>0040706I23</v>
      </c>
      <c r="C7" s="678"/>
      <c r="D7" s="678" t="s">
        <v>6323</v>
      </c>
      <c r="E7" s="678" t="s">
        <v>3042</v>
      </c>
      <c r="F7" s="678" t="s">
        <v>3774</v>
      </c>
      <c r="G7" s="679" t="s">
        <v>6298</v>
      </c>
      <c r="H7" s="679" t="s">
        <v>6299</v>
      </c>
      <c r="I7" s="680" t="s">
        <v>6301</v>
      </c>
      <c r="J7" s="681">
        <v>149300259522</v>
      </c>
      <c r="K7" s="678" t="s">
        <v>6321</v>
      </c>
      <c r="L7" s="700">
        <v>45012</v>
      </c>
      <c r="M7" s="700">
        <v>45015</v>
      </c>
      <c r="N7" s="688" t="s">
        <v>6408</v>
      </c>
      <c r="O7" s="721"/>
      <c r="P7" s="721"/>
      <c r="Q7" s="678">
        <f>6+1+1+2+1+1+1+1</f>
        <v>14</v>
      </c>
      <c r="R7" s="678">
        <v>294.92</v>
      </c>
      <c r="S7" s="661">
        <v>19704.29</v>
      </c>
      <c r="T7" s="661">
        <v>133.65</v>
      </c>
      <c r="U7" s="661">
        <v>1</v>
      </c>
      <c r="V7" s="662">
        <f>SUM(S7:U7)</f>
        <v>19838.940000000002</v>
      </c>
      <c r="W7" s="663">
        <v>5.2920999999999996</v>
      </c>
      <c r="X7" s="664"/>
      <c r="Y7" s="683" t="s">
        <v>6404</v>
      </c>
      <c r="Z7" s="665">
        <v>45013</v>
      </c>
      <c r="AA7" s="684" t="s">
        <v>2146</v>
      </c>
      <c r="AB7" s="685" t="s">
        <v>3337</v>
      </c>
      <c r="AC7" s="665" t="s">
        <v>1771</v>
      </c>
      <c r="AD7" s="716" t="str">
        <f>VLOOKUP(A7,[1]Analise!$A:$L,12,0)</f>
        <v>OK</v>
      </c>
    </row>
    <row r="8" spans="1:30" s="687" customFormat="1" ht="123.75">
      <c r="A8" s="677" t="s">
        <v>6306</v>
      </c>
      <c r="B8" s="678" t="str">
        <f t="shared" si="1"/>
        <v>0040726I23</v>
      </c>
      <c r="C8" s="678"/>
      <c r="D8" s="678" t="s">
        <v>6323</v>
      </c>
      <c r="E8" s="678" t="s">
        <v>3042</v>
      </c>
      <c r="F8" s="678" t="s">
        <v>3774</v>
      </c>
      <c r="G8" s="679" t="s">
        <v>6309</v>
      </c>
      <c r="H8" s="679" t="s">
        <v>6308</v>
      </c>
      <c r="I8" s="680" t="s">
        <v>6318</v>
      </c>
      <c r="J8" s="681">
        <v>149300611439</v>
      </c>
      <c r="K8" s="678" t="s">
        <v>6321</v>
      </c>
      <c r="L8" s="700">
        <v>45012</v>
      </c>
      <c r="M8" s="700">
        <v>45015</v>
      </c>
      <c r="N8" s="688" t="s">
        <v>6409</v>
      </c>
      <c r="O8" s="720" t="s">
        <v>1771</v>
      </c>
      <c r="P8" s="720">
        <v>1</v>
      </c>
      <c r="Q8" s="678">
        <v>35</v>
      </c>
      <c r="R8" s="682">
        <v>4194.78</v>
      </c>
      <c r="S8" s="661">
        <v>51267.96</v>
      </c>
      <c r="T8" s="661">
        <v>2619.54</v>
      </c>
      <c r="U8" s="661">
        <v>1</v>
      </c>
      <c r="V8" s="662">
        <f t="shared" si="3"/>
        <v>53888.5</v>
      </c>
      <c r="W8" s="663">
        <v>5.2920999999999996</v>
      </c>
      <c r="X8" s="664"/>
      <c r="Y8" s="683" t="s">
        <v>6405</v>
      </c>
      <c r="Z8" s="665">
        <v>45013</v>
      </c>
      <c r="AA8" s="684" t="s">
        <v>2146</v>
      </c>
      <c r="AB8" s="685" t="s">
        <v>3337</v>
      </c>
      <c r="AC8" s="665">
        <v>45006</v>
      </c>
      <c r="AD8" s="716" t="str">
        <f>VLOOKUP(A8,[1]Analise!$A:$L,12,0)</f>
        <v>OK</v>
      </c>
    </row>
    <row r="9" spans="1:30" s="687" customFormat="1" ht="123.75">
      <c r="A9" s="677" t="s">
        <v>6307</v>
      </c>
      <c r="B9" s="678" t="str">
        <f t="shared" si="1"/>
        <v>0040727I23</v>
      </c>
      <c r="C9" s="678"/>
      <c r="D9" s="678" t="s">
        <v>6323</v>
      </c>
      <c r="E9" s="678" t="s">
        <v>3042</v>
      </c>
      <c r="F9" s="678" t="s">
        <v>3774</v>
      </c>
      <c r="G9" s="679" t="s">
        <v>6311</v>
      </c>
      <c r="H9" s="679" t="s">
        <v>6310</v>
      </c>
      <c r="I9" s="680">
        <v>4800018528</v>
      </c>
      <c r="J9" s="681">
        <v>149300611412</v>
      </c>
      <c r="K9" s="678" t="s">
        <v>6321</v>
      </c>
      <c r="L9" s="700">
        <v>45012</v>
      </c>
      <c r="M9" s="700">
        <v>45015</v>
      </c>
      <c r="N9" s="688" t="s">
        <v>6410</v>
      </c>
      <c r="O9" s="721"/>
      <c r="P9" s="721"/>
      <c r="Q9" s="678">
        <v>13</v>
      </c>
      <c r="R9" s="678">
        <v>102.63</v>
      </c>
      <c r="S9" s="661">
        <v>1756.74</v>
      </c>
      <c r="T9" s="661">
        <v>53.46</v>
      </c>
      <c r="U9" s="661">
        <v>1</v>
      </c>
      <c r="V9" s="662">
        <f t="shared" si="3"/>
        <v>1811.2</v>
      </c>
      <c r="W9" s="663">
        <v>5.2920999999999996</v>
      </c>
      <c r="X9" s="664"/>
      <c r="Y9" s="683" t="s">
        <v>6406</v>
      </c>
      <c r="Z9" s="665">
        <v>45013</v>
      </c>
      <c r="AA9" s="684" t="s">
        <v>2146</v>
      </c>
      <c r="AB9" s="685" t="s">
        <v>3337</v>
      </c>
      <c r="AC9" s="665">
        <v>45006</v>
      </c>
      <c r="AD9" s="716" t="str">
        <f>VLOOKUP(A9,[1]Analise!$A:$L,12,0)</f>
        <v>OK</v>
      </c>
    </row>
    <row r="10" spans="1:30" s="687" customFormat="1" ht="146.25">
      <c r="A10" s="677" t="s">
        <v>6312</v>
      </c>
      <c r="B10" s="677" t="str">
        <f t="shared" si="1"/>
        <v>0040728I23</v>
      </c>
      <c r="C10" s="678"/>
      <c r="D10" s="678" t="s">
        <v>6323</v>
      </c>
      <c r="E10" s="678" t="s">
        <v>3042</v>
      </c>
      <c r="F10" s="678" t="s">
        <v>3774</v>
      </c>
      <c r="G10" s="679" t="s">
        <v>6316</v>
      </c>
      <c r="H10" s="679" t="s">
        <v>6314</v>
      </c>
      <c r="I10" s="680" t="s">
        <v>6319</v>
      </c>
      <c r="J10" s="681">
        <v>149300704437</v>
      </c>
      <c r="K10" s="678" t="s">
        <v>6352</v>
      </c>
      <c r="L10" s="665">
        <v>45016</v>
      </c>
      <c r="M10" s="665">
        <f t="shared" ref="M10:M13" si="4">L10+5</f>
        <v>45021</v>
      </c>
      <c r="N10" s="688" t="s">
        <v>6419</v>
      </c>
      <c r="O10" s="720" t="s">
        <v>1771</v>
      </c>
      <c r="P10" s="720">
        <v>1</v>
      </c>
      <c r="Q10" s="678">
        <v>25</v>
      </c>
      <c r="R10" s="682">
        <v>2409.15</v>
      </c>
      <c r="S10" s="661">
        <v>60207.59</v>
      </c>
      <c r="T10" s="661">
        <v>2592.81</v>
      </c>
      <c r="U10" s="661">
        <v>1</v>
      </c>
      <c r="V10" s="662">
        <f t="shared" ref="V10:V15" si="5">SUM(S10:U10)</f>
        <v>62801.399999999994</v>
      </c>
      <c r="W10" s="663">
        <v>5.0636999999999999</v>
      </c>
      <c r="X10" s="664">
        <f>V10*W10</f>
        <v>318007.44917999994</v>
      </c>
      <c r="Y10" s="683" t="s">
        <v>6421</v>
      </c>
      <c r="Z10" s="665">
        <v>45020</v>
      </c>
      <c r="AA10" s="684" t="s">
        <v>2146</v>
      </c>
      <c r="AB10" s="685" t="s">
        <v>3147</v>
      </c>
      <c r="AC10" s="124">
        <v>45013</v>
      </c>
      <c r="AD10" s="716" t="str">
        <f>VLOOKUP(A10,[1]Analise!$A:$L,12,0)</f>
        <v>OK</v>
      </c>
    </row>
    <row r="11" spans="1:30" s="687" customFormat="1" ht="157.5">
      <c r="A11" s="677" t="s">
        <v>6313</v>
      </c>
      <c r="B11" s="677" t="str">
        <f t="shared" si="1"/>
        <v>0040729I23</v>
      </c>
      <c r="C11" s="678"/>
      <c r="D11" s="678" t="s">
        <v>6323</v>
      </c>
      <c r="E11" s="678" t="s">
        <v>3042</v>
      </c>
      <c r="F11" s="678" t="s">
        <v>3774</v>
      </c>
      <c r="G11" s="679" t="s">
        <v>6317</v>
      </c>
      <c r="H11" s="679" t="s">
        <v>6315</v>
      </c>
      <c r="I11" s="680" t="s">
        <v>6320</v>
      </c>
      <c r="J11" s="681">
        <v>149300259514</v>
      </c>
      <c r="K11" s="678" t="s">
        <v>6352</v>
      </c>
      <c r="L11" s="665">
        <v>45016</v>
      </c>
      <c r="M11" s="665">
        <f t="shared" si="4"/>
        <v>45021</v>
      </c>
      <c r="N11" s="688" t="s">
        <v>6418</v>
      </c>
      <c r="O11" s="721"/>
      <c r="P11" s="721"/>
      <c r="Q11" s="678">
        <v>2</v>
      </c>
      <c r="R11" s="678">
        <v>122.2</v>
      </c>
      <c r="S11" s="661">
        <v>2647.19</v>
      </c>
      <c r="T11" s="661">
        <v>80.19</v>
      </c>
      <c r="U11" s="661">
        <v>1</v>
      </c>
      <c r="V11" s="662">
        <f t="shared" si="5"/>
        <v>2728.38</v>
      </c>
      <c r="W11" s="663">
        <v>5.0636999999999999</v>
      </c>
      <c r="X11" s="664">
        <f t="shared" ref="X11:X16" si="6">V11*W11</f>
        <v>13815.697806</v>
      </c>
      <c r="Y11" s="683" t="s">
        <v>6420</v>
      </c>
      <c r="Z11" s="665">
        <v>45020</v>
      </c>
      <c r="AA11" s="684" t="s">
        <v>2146</v>
      </c>
      <c r="AB11" s="685" t="s">
        <v>3147</v>
      </c>
      <c r="AC11" s="124">
        <v>45013</v>
      </c>
      <c r="AD11" s="716" t="str">
        <f>VLOOKUP(A11,[1]Analise!$A:$L,12,0)</f>
        <v>OK</v>
      </c>
    </row>
    <row r="12" spans="1:30" s="687" customFormat="1" ht="157.5">
      <c r="A12" s="677" t="s">
        <v>6338</v>
      </c>
      <c r="B12" s="677" t="str">
        <f t="shared" si="1"/>
        <v>0040840I23</v>
      </c>
      <c r="C12" s="678"/>
      <c r="D12" s="678" t="s">
        <v>6323</v>
      </c>
      <c r="E12" s="678" t="s">
        <v>3042</v>
      </c>
      <c r="F12" s="678" t="s">
        <v>3774</v>
      </c>
      <c r="G12" s="679" t="s">
        <v>6340</v>
      </c>
      <c r="H12" s="679" t="s">
        <v>6343</v>
      </c>
      <c r="I12" s="680" t="s">
        <v>6344</v>
      </c>
      <c r="J12" s="681">
        <v>149300818122</v>
      </c>
      <c r="K12" s="678" t="s">
        <v>6352</v>
      </c>
      <c r="L12" s="665">
        <v>45016</v>
      </c>
      <c r="M12" s="665">
        <f t="shared" si="4"/>
        <v>45021</v>
      </c>
      <c r="N12" s="688" t="s">
        <v>6427</v>
      </c>
      <c r="O12" s="722">
        <v>1</v>
      </c>
      <c r="P12" s="678">
        <v>1</v>
      </c>
      <c r="Q12" s="678">
        <f>12+6+3+4+1+3+5+8+8+8+4+1+1+13</f>
        <v>77</v>
      </c>
      <c r="R12" s="678">
        <f>580+657.42+487.5+414+6.31+290.28+963.5+1087.5+1056+1079+354+6.03+1.38+1570.5</f>
        <v>8553.42</v>
      </c>
      <c r="S12" s="661">
        <f>149426.35</f>
        <v>149426.35</v>
      </c>
      <c r="T12" s="661">
        <f>5187.69</f>
        <v>5187.6899999999996</v>
      </c>
      <c r="U12" s="661">
        <v>1</v>
      </c>
      <c r="V12" s="662">
        <f t="shared" si="5"/>
        <v>154615.04000000001</v>
      </c>
      <c r="W12" s="663">
        <v>5.0636999999999999</v>
      </c>
      <c r="X12" s="664">
        <f t="shared" si="6"/>
        <v>782924.17804799997</v>
      </c>
      <c r="Y12" s="683"/>
      <c r="Z12" s="665">
        <v>45020</v>
      </c>
      <c r="AA12" s="684" t="s">
        <v>2146</v>
      </c>
      <c r="AB12" s="685" t="s">
        <v>3147</v>
      </c>
      <c r="AC12" s="124">
        <v>45013</v>
      </c>
      <c r="AD12" s="716" t="str">
        <f>VLOOKUP(A12,[1]Analise!$A:$L,12,0)</f>
        <v>OK</v>
      </c>
    </row>
    <row r="13" spans="1:30" s="687" customFormat="1" ht="146.25">
      <c r="A13" s="677" t="s">
        <v>6339</v>
      </c>
      <c r="B13" s="677" t="str">
        <f t="shared" si="1"/>
        <v>0040841I23</v>
      </c>
      <c r="C13" s="678"/>
      <c r="D13" s="678" t="s">
        <v>6323</v>
      </c>
      <c r="E13" s="678" t="s">
        <v>3042</v>
      </c>
      <c r="F13" s="678" t="s">
        <v>3774</v>
      </c>
      <c r="G13" s="679" t="s">
        <v>6342</v>
      </c>
      <c r="H13" s="679" t="s">
        <v>6341</v>
      </c>
      <c r="I13" s="680">
        <v>4800018620</v>
      </c>
      <c r="J13" s="681">
        <v>149300817941</v>
      </c>
      <c r="K13" s="678" t="s">
        <v>6352</v>
      </c>
      <c r="L13" s="665">
        <v>45016</v>
      </c>
      <c r="M13" s="665">
        <f t="shared" si="4"/>
        <v>45021</v>
      </c>
      <c r="N13" s="688" t="s">
        <v>6426</v>
      </c>
      <c r="O13" s="723"/>
      <c r="P13" s="699" t="s">
        <v>1771</v>
      </c>
      <c r="Q13" s="678">
        <v>4</v>
      </c>
      <c r="R13" s="678">
        <v>133.19999999999999</v>
      </c>
      <c r="S13" s="661">
        <v>22532.37</v>
      </c>
      <c r="T13" s="661">
        <v>358.96</v>
      </c>
      <c r="U13" s="661">
        <v>1</v>
      </c>
      <c r="V13" s="662">
        <f t="shared" si="5"/>
        <v>22892.329999999998</v>
      </c>
      <c r="W13" s="663">
        <v>5.0636999999999999</v>
      </c>
      <c r="X13" s="664">
        <f t="shared" si="6"/>
        <v>115919.89142099999</v>
      </c>
      <c r="Y13" s="683" t="s">
        <v>6428</v>
      </c>
      <c r="Z13" s="665">
        <v>45020</v>
      </c>
      <c r="AA13" s="684" t="s">
        <v>2146</v>
      </c>
      <c r="AB13" s="685" t="s">
        <v>3147</v>
      </c>
      <c r="AC13" s="124">
        <v>45013</v>
      </c>
      <c r="AD13" s="716" t="str">
        <f>VLOOKUP(A13,[1]Analise!$A:$L,12,0)</f>
        <v>OK</v>
      </c>
    </row>
    <row r="14" spans="1:30" s="687" customFormat="1" ht="157.5">
      <c r="A14" s="677" t="s">
        <v>6345</v>
      </c>
      <c r="B14" s="677" t="str">
        <f t="shared" si="1"/>
        <v>0040843I23</v>
      </c>
      <c r="C14" s="678"/>
      <c r="D14" s="678" t="s">
        <v>6323</v>
      </c>
      <c r="E14" s="678" t="s">
        <v>3042</v>
      </c>
      <c r="F14" s="678" t="s">
        <v>3774</v>
      </c>
      <c r="G14" s="679" t="s">
        <v>6348</v>
      </c>
      <c r="H14" s="679" t="s">
        <v>6349</v>
      </c>
      <c r="I14" s="680" t="s">
        <v>6353</v>
      </c>
      <c r="J14" s="681">
        <v>149300761384</v>
      </c>
      <c r="K14" s="678" t="s">
        <v>6352</v>
      </c>
      <c r="L14" s="665">
        <v>45016</v>
      </c>
      <c r="M14" s="665">
        <v>45020</v>
      </c>
      <c r="N14" s="688" t="s">
        <v>6422</v>
      </c>
      <c r="O14" s="722" t="s">
        <v>1771</v>
      </c>
      <c r="P14" s="722">
        <v>1</v>
      </c>
      <c r="Q14" s="678">
        <f>1+2+27+10+10+1</f>
        <v>51</v>
      </c>
      <c r="R14" s="682">
        <v>7589.74</v>
      </c>
      <c r="S14" s="661">
        <v>116195.72</v>
      </c>
      <c r="T14" s="661">
        <v>2405.6999999999998</v>
      </c>
      <c r="U14" s="661">
        <v>1</v>
      </c>
      <c r="V14" s="662">
        <f t="shared" si="5"/>
        <v>118602.42</v>
      </c>
      <c r="W14" s="663">
        <v>5.0804</v>
      </c>
      <c r="X14" s="664">
        <f t="shared" si="6"/>
        <v>602547.73456799996</v>
      </c>
      <c r="Y14" s="683" t="s">
        <v>6424</v>
      </c>
      <c r="Z14" s="665">
        <v>45019</v>
      </c>
      <c r="AA14" s="684" t="s">
        <v>2146</v>
      </c>
      <c r="AB14" s="685" t="s">
        <v>3147</v>
      </c>
      <c r="AC14" s="124"/>
      <c r="AD14" s="716" t="str">
        <f>VLOOKUP(A14,[1]Analise!$A:$L,12,0)</f>
        <v>OK</v>
      </c>
    </row>
    <row r="15" spans="1:30" s="687" customFormat="1" ht="180">
      <c r="A15" s="677" t="s">
        <v>6346</v>
      </c>
      <c r="B15" s="677" t="str">
        <f t="shared" si="1"/>
        <v>0040844I23</v>
      </c>
      <c r="C15" s="678"/>
      <c r="D15" s="678" t="s">
        <v>6323</v>
      </c>
      <c r="E15" s="678" t="s">
        <v>3042</v>
      </c>
      <c r="F15" s="678" t="s">
        <v>3774</v>
      </c>
      <c r="G15" s="679" t="s">
        <v>6347</v>
      </c>
      <c r="H15" s="679" t="s">
        <v>6350</v>
      </c>
      <c r="I15" s="680" t="s">
        <v>6351</v>
      </c>
      <c r="J15" s="681">
        <v>149300761350</v>
      </c>
      <c r="K15" s="678" t="s">
        <v>6352</v>
      </c>
      <c r="L15" s="665">
        <v>45016</v>
      </c>
      <c r="M15" s="665">
        <v>45020</v>
      </c>
      <c r="N15" s="688" t="s">
        <v>6423</v>
      </c>
      <c r="O15" s="723"/>
      <c r="P15" s="723"/>
      <c r="Q15" s="678">
        <v>29</v>
      </c>
      <c r="R15" s="678">
        <v>542.64</v>
      </c>
      <c r="S15" s="661">
        <f>233347.48</f>
        <v>233347.48</v>
      </c>
      <c r="T15" s="661">
        <f>1019.81</f>
        <v>1019.81</v>
      </c>
      <c r="U15" s="661">
        <v>1</v>
      </c>
      <c r="V15" s="662">
        <f t="shared" si="5"/>
        <v>234368.29</v>
      </c>
      <c r="W15" s="663">
        <v>5.0804</v>
      </c>
      <c r="X15" s="664">
        <f t="shared" si="6"/>
        <v>1190684.6605160001</v>
      </c>
      <c r="Y15" s="683" t="s">
        <v>6425</v>
      </c>
      <c r="Z15" s="665">
        <v>45019</v>
      </c>
      <c r="AA15" s="684" t="s">
        <v>2146</v>
      </c>
      <c r="AB15" s="685" t="s">
        <v>3147</v>
      </c>
      <c r="AC15" s="124"/>
      <c r="AD15" s="716" t="str">
        <f>VLOOKUP(A15,[1]Analise!$A:$L,12,0)</f>
        <v>OK</v>
      </c>
    </row>
    <row r="16" spans="1:30" s="687" customFormat="1" ht="180">
      <c r="A16" s="677" t="s">
        <v>6356</v>
      </c>
      <c r="B16" s="677" t="str">
        <f t="shared" si="1"/>
        <v>0040924I23</v>
      </c>
      <c r="C16" s="678" t="s">
        <v>3752</v>
      </c>
      <c r="D16" s="678" t="s">
        <v>6323</v>
      </c>
      <c r="E16" s="678" t="s">
        <v>3042</v>
      </c>
      <c r="F16" s="678" t="s">
        <v>3774</v>
      </c>
      <c r="G16" s="679" t="s">
        <v>6359</v>
      </c>
      <c r="H16" s="679" t="s">
        <v>6358</v>
      </c>
      <c r="I16" s="680" t="s">
        <v>6361</v>
      </c>
      <c r="J16" s="681">
        <v>149300641877</v>
      </c>
      <c r="K16" s="678" t="s">
        <v>6360</v>
      </c>
      <c r="L16" s="665">
        <v>45022</v>
      </c>
      <c r="M16" s="665">
        <v>45028</v>
      </c>
      <c r="N16" s="688" t="s">
        <v>6463</v>
      </c>
      <c r="O16" s="685" t="s">
        <v>1771</v>
      </c>
      <c r="P16" s="685">
        <v>1</v>
      </c>
      <c r="Q16" s="678">
        <v>67</v>
      </c>
      <c r="R16" s="682">
        <v>5577.38</v>
      </c>
      <c r="S16" s="661">
        <v>91933.7</v>
      </c>
      <c r="T16" s="661">
        <v>2673</v>
      </c>
      <c r="U16" s="661">
        <v>1</v>
      </c>
      <c r="V16" s="662">
        <f t="shared" ref="V16" si="7">SUM(S16:U16)</f>
        <v>94607.7</v>
      </c>
      <c r="W16" s="663">
        <v>5.0682999999999998</v>
      </c>
      <c r="X16" s="664">
        <f t="shared" si="6"/>
        <v>479500.20590999996</v>
      </c>
      <c r="Y16" s="683" t="s">
        <v>6462</v>
      </c>
      <c r="Z16" s="665">
        <v>45026</v>
      </c>
      <c r="AA16" s="684" t="s">
        <v>2146</v>
      </c>
      <c r="AB16" s="685" t="s">
        <v>3337</v>
      </c>
      <c r="AC16" s="665">
        <v>45013</v>
      </c>
      <c r="AD16" s="716" t="str">
        <f>VLOOKUP(A16,[1]Analise!$A:$L,12,0)</f>
        <v>OK</v>
      </c>
    </row>
  </sheetData>
  <sheetProtection selectLockedCells="1" autoFilter="0" selectUnlockedCells="1"/>
  <autoFilter ref="A1:AD1">
    <filterColumn colId="2"/>
    <filterColumn colId="3"/>
    <filterColumn colId="9"/>
    <filterColumn colId="10"/>
    <filterColumn colId="18"/>
    <filterColumn colId="19"/>
    <filterColumn colId="20"/>
    <filterColumn colId="21"/>
    <filterColumn colId="22"/>
    <filterColumn colId="23"/>
    <filterColumn colId="24"/>
    <filterColumn colId="25"/>
    <filterColumn colId="26"/>
  </autoFilter>
  <mergeCells count="13">
    <mergeCell ref="O10:O11"/>
    <mergeCell ref="P10:P11"/>
    <mergeCell ref="O12:O13"/>
    <mergeCell ref="O14:O15"/>
    <mergeCell ref="P14:P15"/>
    <mergeCell ref="O8:O9"/>
    <mergeCell ref="P8:P9"/>
    <mergeCell ref="O2:O3"/>
    <mergeCell ref="P2:P3"/>
    <mergeCell ref="O4:O5"/>
    <mergeCell ref="P4:P5"/>
    <mergeCell ref="O6:O7"/>
    <mergeCell ref="P6:P7"/>
  </mergeCells>
  <conditionalFormatting sqref="AD1">
    <cfRule type="containsText" dxfId="380" priority="12" operator="containsText" text="ok">
      <formula>NOT(ISERROR(SEARCH("ok",AD1)))</formula>
    </cfRule>
  </conditionalFormatting>
  <conditionalFormatting sqref="A1:B1">
    <cfRule type="duplicateValues" dxfId="379" priority="10"/>
  </conditionalFormatting>
  <conditionalFormatting sqref="AA2:AA9">
    <cfRule type="containsText" dxfId="378" priority="8" operator="containsText" text="Vermelho">
      <formula>NOT(ISERROR(SEARCH("Vermelho",AA2)))</formula>
    </cfRule>
    <cfRule type="containsText" dxfId="377" priority="9" operator="containsText" text="Verde">
      <formula>NOT(ISERROR(SEARCH("Verde",AA2)))</formula>
    </cfRule>
  </conditionalFormatting>
  <conditionalFormatting sqref="AC10:AC15">
    <cfRule type="cellIs" dxfId="376" priority="7" stopIfTrue="1" operator="equal">
      <formula>0</formula>
    </cfRule>
  </conditionalFormatting>
  <conditionalFormatting sqref="AA10:AA15">
    <cfRule type="containsText" dxfId="375" priority="5" operator="containsText" text="Vermelho">
      <formula>NOT(ISERROR(SEARCH("Vermelho",AA10)))</formula>
    </cfRule>
    <cfRule type="containsText" dxfId="374" priority="6" operator="containsText" text="Verde">
      <formula>NOT(ISERROR(SEARCH("Verde",AA10)))</formula>
    </cfRule>
  </conditionalFormatting>
  <conditionalFormatting sqref="AA16">
    <cfRule type="containsText" dxfId="373" priority="3" operator="containsText" text="Vermelho">
      <formula>NOT(ISERROR(SEARCH("Vermelho",AA16)))</formula>
    </cfRule>
    <cfRule type="containsText" dxfId="372" priority="4" operator="containsText" text="Verde">
      <formula>NOT(ISERROR(SEARCH("Verde",AA16)))</formula>
    </cfRule>
  </conditionalFormatting>
  <conditionalFormatting sqref="AC16">
    <cfRule type="cellIs" dxfId="371" priority="2" operator="equal">
      <formula>0</formula>
    </cfRule>
  </conditionalFormatting>
  <conditionalFormatting sqref="AD2:AD16">
    <cfRule type="containsText" dxfId="370" priority="1" operator="containsText" text="ok">
      <formula>NOT(ISERROR(SEARCH("ok",AD2)))</formula>
    </cfRule>
  </conditionalFormatting>
  <pageMargins left="0.78740157480314965" right="0.78740157480314965" top="0.98425196850393704" bottom="0.98425196850393704" header="0.51181102362204722" footer="0.51181102362204722"/>
  <pageSetup paperSize="9" scale="18" fitToHeight="4" orientation="portrait" r:id="rId1"/>
  <headerFooter alignWithMargins="0"/>
</worksheet>
</file>

<file path=xl/worksheets/sheet9.xml><?xml version="1.0" encoding="utf-8"?>
<worksheet xmlns="http://schemas.openxmlformats.org/spreadsheetml/2006/main" xmlns:r="http://schemas.openxmlformats.org/officeDocument/2006/relationships">
  <sheetPr>
    <tabColor theme="0" tint="-0.499984740745262"/>
    <pageSetUpPr fitToPage="1"/>
  </sheetPr>
  <dimension ref="A1:BI26"/>
  <sheetViews>
    <sheetView showGridLines="0" zoomScale="90" zoomScaleNormal="90" workbookViewId="0">
      <pane xSplit="1" ySplit="1" topLeftCell="B2" activePane="bottomRight" state="frozen"/>
      <selection pane="topRight" activeCell="B1" sqref="B1"/>
      <selection pane="bottomLeft" activeCell="A2" sqref="A2"/>
      <selection pane="bottomRight"/>
    </sheetView>
  </sheetViews>
  <sheetFormatPr defaultColWidth="36.140625" defaultRowHeight="12"/>
  <cols>
    <col min="1" max="1" width="13.42578125" style="368" bestFit="1" customWidth="1"/>
    <col min="2" max="2" width="12.42578125" style="369" customWidth="1"/>
    <col min="3" max="3" width="11.140625" style="369" customWidth="1"/>
    <col min="4" max="4" width="11.28515625" style="369" customWidth="1"/>
    <col min="5" max="5" width="18.42578125" style="369" customWidth="1"/>
    <col min="6" max="6" width="26.7109375" style="369" customWidth="1"/>
    <col min="7" max="7" width="19.140625" style="370" customWidth="1"/>
    <col min="8" max="8" width="20.85546875" style="369" customWidth="1"/>
    <col min="9" max="10" width="11.85546875" style="377" customWidth="1"/>
    <col min="11" max="11" width="15.5703125" style="371" customWidth="1"/>
    <col min="12" max="12" width="15.7109375" style="371" customWidth="1"/>
    <col min="13" max="14" width="14.140625" style="374" customWidth="1"/>
    <col min="15" max="15" width="14.140625" style="371" customWidth="1"/>
    <col min="16" max="17" width="14.140625" style="372" customWidth="1"/>
    <col min="18" max="18" width="78.85546875" style="373" customWidth="1"/>
    <col min="19" max="19" width="11.140625" style="373" customWidth="1"/>
    <col min="20" max="20" width="20.85546875" style="373" customWidth="1"/>
    <col min="21" max="21" width="10.85546875" style="369" customWidth="1"/>
    <col min="22" max="22" width="14.140625" style="369" customWidth="1"/>
    <col min="23" max="23" width="20.5703125" style="369" customWidth="1"/>
    <col min="24" max="24" width="19.85546875" style="371" customWidth="1"/>
    <col min="25" max="25" width="19.5703125" style="369" customWidth="1"/>
    <col min="26" max="26" width="10.7109375" style="369" customWidth="1"/>
    <col min="27" max="27" width="17.7109375" style="369" customWidth="1"/>
    <col min="28" max="28" width="12.28515625" style="369" customWidth="1"/>
    <col min="29" max="29" width="11.85546875" style="375" customWidth="1"/>
    <col min="30" max="30" width="17.85546875" style="375" customWidth="1"/>
    <col min="31" max="31" width="9.28515625" style="376" customWidth="1"/>
    <col min="32" max="32" width="12.85546875" style="377" customWidth="1"/>
    <col min="33" max="33" width="12.7109375" style="377" customWidth="1"/>
    <col min="34" max="34" width="12.28515625" style="377" customWidth="1"/>
    <col min="35" max="35" width="13.42578125" style="377" customWidth="1"/>
    <col min="36" max="36" width="14.5703125" style="377" customWidth="1"/>
    <col min="37" max="37" width="11.85546875" style="377" customWidth="1"/>
    <col min="38" max="38" width="11.7109375" style="377" customWidth="1"/>
    <col min="39" max="39" width="15.28515625" style="377" customWidth="1"/>
    <col min="40" max="40" width="10.140625" style="377" customWidth="1"/>
    <col min="41" max="41" width="11.5703125" style="377" customWidth="1"/>
    <col min="42" max="43" width="13.85546875" style="377" customWidth="1"/>
    <col min="44" max="44" width="12.7109375" style="377" customWidth="1"/>
    <col min="45" max="45" width="13.85546875" style="377" customWidth="1"/>
    <col min="46" max="46" width="15" style="377" customWidth="1"/>
    <col min="47" max="47" width="17.140625" style="377" customWidth="1"/>
    <col min="48" max="48" width="14.42578125" style="377" customWidth="1"/>
    <col min="49" max="49" width="19.85546875" style="377" customWidth="1"/>
    <col min="50" max="50" width="15.42578125" style="377" customWidth="1"/>
    <col min="51" max="51" width="16.85546875" style="377" customWidth="1"/>
    <col min="52" max="52" width="15.28515625" style="377" customWidth="1"/>
    <col min="53" max="53" width="13.28515625" style="377" customWidth="1"/>
    <col min="54" max="54" width="15.28515625" style="377" customWidth="1"/>
    <col min="55" max="57" width="13" style="377" customWidth="1"/>
    <col min="58" max="58" width="16.85546875" style="371" customWidth="1"/>
    <col min="59" max="59" width="15.42578125" style="378" customWidth="1"/>
    <col min="60" max="60" width="13.5703125" style="377" customWidth="1"/>
    <col min="61" max="61" width="12.85546875" style="377" customWidth="1"/>
    <col min="62" max="16384" width="36.140625" style="377"/>
  </cols>
  <sheetData>
    <row r="1" spans="1:61" s="506" customFormat="1" ht="24">
      <c r="A1" s="525" t="s">
        <v>3291</v>
      </c>
      <c r="B1" s="525" t="s">
        <v>3022</v>
      </c>
      <c r="C1" s="525" t="s">
        <v>1470</v>
      </c>
      <c r="D1" s="525" t="s">
        <v>508</v>
      </c>
      <c r="E1" s="525" t="s">
        <v>1577</v>
      </c>
      <c r="F1" s="525" t="s">
        <v>3961</v>
      </c>
      <c r="G1" s="526" t="s">
        <v>59</v>
      </c>
      <c r="H1" s="526" t="s">
        <v>423</v>
      </c>
      <c r="I1" s="526" t="s">
        <v>3114</v>
      </c>
      <c r="J1" s="526" t="s">
        <v>3115</v>
      </c>
      <c r="K1" s="525" t="s">
        <v>3034</v>
      </c>
      <c r="L1" s="525" t="s">
        <v>3025</v>
      </c>
      <c r="M1" s="525" t="s">
        <v>3026</v>
      </c>
      <c r="N1" s="525" t="s">
        <v>4082</v>
      </c>
      <c r="O1" s="527" t="s">
        <v>2969</v>
      </c>
      <c r="P1" s="527" t="s">
        <v>4083</v>
      </c>
      <c r="Q1" s="528" t="s">
        <v>2974</v>
      </c>
      <c r="R1" s="528" t="s">
        <v>1205</v>
      </c>
      <c r="S1" s="530" t="s">
        <v>2928</v>
      </c>
      <c r="T1" s="530" t="s">
        <v>3024</v>
      </c>
      <c r="U1" s="530" t="s">
        <v>1185</v>
      </c>
      <c r="V1" s="530" t="s">
        <v>3039</v>
      </c>
      <c r="W1" s="530" t="s">
        <v>3035</v>
      </c>
      <c r="X1" s="530" t="s">
        <v>3137</v>
      </c>
      <c r="Y1" s="530" t="s">
        <v>3032</v>
      </c>
      <c r="Z1" s="530" t="s">
        <v>3033</v>
      </c>
      <c r="AA1" s="530" t="s">
        <v>3162</v>
      </c>
      <c r="AB1" s="531" t="s">
        <v>2970</v>
      </c>
      <c r="AC1" s="531" t="s">
        <v>2930</v>
      </c>
      <c r="AD1" s="531" t="s">
        <v>3028</v>
      </c>
      <c r="AE1" s="531" t="s">
        <v>3080</v>
      </c>
      <c r="AF1" s="532" t="s">
        <v>3113</v>
      </c>
      <c r="AG1" s="532" t="s">
        <v>3023</v>
      </c>
      <c r="AH1" s="533" t="s">
        <v>3116</v>
      </c>
      <c r="AI1" s="533" t="s">
        <v>3117</v>
      </c>
      <c r="AJ1" s="533" t="s">
        <v>3118</v>
      </c>
      <c r="AK1" s="533" t="s">
        <v>3119</v>
      </c>
      <c r="AL1" s="534" t="s">
        <v>3120</v>
      </c>
      <c r="AM1" s="533" t="s">
        <v>3121</v>
      </c>
      <c r="AN1" s="533" t="s">
        <v>3190</v>
      </c>
      <c r="AO1" s="535" t="s">
        <v>3029</v>
      </c>
      <c r="AP1" s="533" t="s">
        <v>3156</v>
      </c>
      <c r="AQ1" s="533" t="s">
        <v>3187</v>
      </c>
      <c r="AR1" s="533" t="s">
        <v>3188</v>
      </c>
      <c r="AS1" s="533" t="s">
        <v>3189</v>
      </c>
      <c r="AT1" s="533" t="s">
        <v>3191</v>
      </c>
      <c r="AU1" s="533" t="s">
        <v>3127</v>
      </c>
      <c r="AV1" s="533" t="s">
        <v>3122</v>
      </c>
      <c r="AW1" s="536" t="s">
        <v>3157</v>
      </c>
      <c r="AX1" s="532" t="s">
        <v>3123</v>
      </c>
      <c r="AY1" s="533" t="s">
        <v>3186</v>
      </c>
      <c r="AZ1" s="533" t="s">
        <v>3125</v>
      </c>
      <c r="BA1" s="537" t="s">
        <v>3126</v>
      </c>
      <c r="BB1" s="537" t="s">
        <v>3185</v>
      </c>
      <c r="BC1" s="622" t="s">
        <v>3182</v>
      </c>
      <c r="BD1" s="533" t="s">
        <v>3183</v>
      </c>
      <c r="BE1" s="533" t="s">
        <v>3184</v>
      </c>
      <c r="BF1" s="529" t="s">
        <v>747</v>
      </c>
      <c r="BG1" s="529" t="s">
        <v>3041</v>
      </c>
      <c r="BH1" s="532" t="s">
        <v>3124</v>
      </c>
    </row>
    <row r="2" spans="1:61" s="523" customFormat="1" ht="168">
      <c r="A2" s="538" t="s">
        <v>5980</v>
      </c>
      <c r="B2" s="655" t="s">
        <v>3042</v>
      </c>
      <c r="C2" s="655" t="s">
        <v>5694</v>
      </c>
      <c r="D2" s="508" t="s">
        <v>5986</v>
      </c>
      <c r="E2" s="505" t="s">
        <v>5983</v>
      </c>
      <c r="F2" s="505" t="s">
        <v>5982</v>
      </c>
      <c r="G2" s="509">
        <v>223116659</v>
      </c>
      <c r="H2" s="655" t="s">
        <v>5988</v>
      </c>
      <c r="I2" s="724" t="s">
        <v>1771</v>
      </c>
      <c r="J2" s="724">
        <v>1</v>
      </c>
      <c r="K2" s="655">
        <f>2+1+1+1+1+1+3+1+1+2+8+1+8+31</f>
        <v>62</v>
      </c>
      <c r="L2" s="655">
        <f>223.5+30.5+8.3+32.5+68+93.5+498+37.76+187.5+182.5+1102.5+160+1100+3982.94</f>
        <v>7707.5</v>
      </c>
      <c r="M2" s="511">
        <v>44882</v>
      </c>
      <c r="N2" s="511">
        <v>44880</v>
      </c>
      <c r="O2" s="511">
        <v>44880</v>
      </c>
      <c r="P2" s="511">
        <v>44920</v>
      </c>
      <c r="Q2" s="511">
        <v>44931</v>
      </c>
      <c r="R2" s="512" t="s">
        <v>6188</v>
      </c>
      <c r="S2" s="515" t="s">
        <v>3752</v>
      </c>
      <c r="T2" s="510" t="s">
        <v>5804</v>
      </c>
      <c r="U2" s="516" t="s">
        <v>3031</v>
      </c>
      <c r="V2" s="359">
        <v>44918</v>
      </c>
      <c r="W2" s="510" t="s">
        <v>3147</v>
      </c>
      <c r="X2" s="510" t="s">
        <v>3147</v>
      </c>
      <c r="Y2" s="511">
        <v>44921</v>
      </c>
      <c r="Z2" s="510" t="s">
        <v>3252</v>
      </c>
      <c r="AA2" s="510" t="s">
        <v>3982</v>
      </c>
      <c r="AB2" s="510" t="s">
        <v>6198</v>
      </c>
      <c r="AC2" s="510" t="s">
        <v>2146</v>
      </c>
      <c r="AD2" s="511">
        <v>44929</v>
      </c>
      <c r="AE2" s="515">
        <v>6174.4904999999999</v>
      </c>
      <c r="AF2" s="655" t="s">
        <v>5987</v>
      </c>
      <c r="AG2" s="510" t="s">
        <v>3108</v>
      </c>
      <c r="AH2" s="517">
        <f>155249.03</f>
        <v>155249.03</v>
      </c>
      <c r="AI2" s="517">
        <f>9116.94</f>
        <v>9116.94</v>
      </c>
      <c r="AJ2" s="517">
        <v>1</v>
      </c>
      <c r="AK2" s="517">
        <f t="shared" ref="AK2:AK3" si="0">SUM(AH2:AJ2)</f>
        <v>164366.97</v>
      </c>
      <c r="AL2" s="518">
        <f>5.3436</f>
        <v>5.3436000000000003</v>
      </c>
      <c r="AM2" s="519">
        <f t="shared" ref="AM2:AM26" si="1">AK2*AL2</f>
        <v>878311.34089200001</v>
      </c>
      <c r="AN2" s="519">
        <v>0</v>
      </c>
      <c r="AO2" s="510">
        <v>10</v>
      </c>
      <c r="AP2" s="519">
        <f>71409.49</f>
        <v>71409.490000000005</v>
      </c>
      <c r="AQ2" s="519">
        <f>62283.72</f>
        <v>62283.72</v>
      </c>
      <c r="AR2" s="519">
        <f>17421.35</f>
        <v>17421.349999999999</v>
      </c>
      <c r="AS2" s="519">
        <v>80055.320000000007</v>
      </c>
      <c r="AT2" s="519">
        <v>220097.7</v>
      </c>
      <c r="AU2" s="519">
        <v>3791.3</v>
      </c>
      <c r="AV2" s="519">
        <v>401.04</v>
      </c>
      <c r="AW2" s="510" t="s">
        <v>3139</v>
      </c>
      <c r="AX2" s="520">
        <f t="shared" ref="AX2:AX26" si="2">Q2</f>
        <v>44931</v>
      </c>
      <c r="AY2" s="510">
        <v>3197.71</v>
      </c>
      <c r="AZ2" s="519">
        <f t="shared" ref="AZ2:AZ26" si="3">(AM2*50%)+AM2</f>
        <v>1317467.011338</v>
      </c>
      <c r="BA2" s="521">
        <f t="shared" ref="BA2:BA4" si="4">SUM(I2:J2)</f>
        <v>1</v>
      </c>
      <c r="BB2" s="519">
        <f t="shared" ref="BB2:BB26" si="5">AZ2/BA2</f>
        <v>1317467.011338</v>
      </c>
      <c r="BC2" s="519"/>
      <c r="BD2" s="519">
        <f t="shared" ref="BD2:BD26" si="6">(AO2-10)*10</f>
        <v>0</v>
      </c>
      <c r="BE2" s="519">
        <f t="shared" ref="BE2:BE5" si="7">SUM(BC2:BD2)</f>
        <v>0</v>
      </c>
      <c r="BF2" s="513" t="s">
        <v>1771</v>
      </c>
      <c r="BG2" s="514" t="s">
        <v>1771</v>
      </c>
      <c r="BH2" s="510" t="s">
        <v>1771</v>
      </c>
      <c r="BI2" s="522" t="str">
        <f>VLOOKUP(A2,[1]Analise!$A:$L,12,0)</f>
        <v>OK</v>
      </c>
    </row>
    <row r="3" spans="1:61" s="523" customFormat="1" ht="144">
      <c r="A3" s="538" t="s">
        <v>5981</v>
      </c>
      <c r="B3" s="655" t="s">
        <v>3042</v>
      </c>
      <c r="C3" s="655" t="s">
        <v>5694</v>
      </c>
      <c r="D3" s="508">
        <v>4800018090</v>
      </c>
      <c r="E3" s="505" t="s">
        <v>5985</v>
      </c>
      <c r="F3" s="505" t="s">
        <v>5984</v>
      </c>
      <c r="G3" s="509">
        <v>914666271</v>
      </c>
      <c r="H3" s="655" t="s">
        <v>5988</v>
      </c>
      <c r="I3" s="725"/>
      <c r="J3" s="725"/>
      <c r="K3" s="655">
        <f>1</f>
        <v>1</v>
      </c>
      <c r="L3" s="655">
        <f>72.8</f>
        <v>72.8</v>
      </c>
      <c r="M3" s="511">
        <v>44882</v>
      </c>
      <c r="N3" s="511">
        <v>44880</v>
      </c>
      <c r="O3" s="511">
        <v>44880</v>
      </c>
      <c r="P3" s="511">
        <v>44920</v>
      </c>
      <c r="Q3" s="511">
        <v>44931</v>
      </c>
      <c r="R3" s="512" t="s">
        <v>6189</v>
      </c>
      <c r="S3" s="515" t="s">
        <v>3752</v>
      </c>
      <c r="T3" s="510" t="s">
        <v>5804</v>
      </c>
      <c r="U3" s="516" t="s">
        <v>3031</v>
      </c>
      <c r="V3" s="359">
        <v>44918</v>
      </c>
      <c r="W3" s="510" t="s">
        <v>3147</v>
      </c>
      <c r="X3" s="510" t="s">
        <v>3147</v>
      </c>
      <c r="Y3" s="511">
        <v>44921</v>
      </c>
      <c r="Z3" s="510" t="s">
        <v>3252</v>
      </c>
      <c r="AA3" s="510" t="s">
        <v>3982</v>
      </c>
      <c r="AB3" s="510" t="s">
        <v>6199</v>
      </c>
      <c r="AC3" s="510" t="s">
        <v>2146</v>
      </c>
      <c r="AD3" s="511">
        <v>44929</v>
      </c>
      <c r="AE3" s="510">
        <v>58.8</v>
      </c>
      <c r="AF3" s="655" t="s">
        <v>5889</v>
      </c>
      <c r="AG3" s="510" t="s">
        <v>3108</v>
      </c>
      <c r="AH3" s="517">
        <f>387.26</f>
        <v>387.26</v>
      </c>
      <c r="AI3" s="517">
        <f>122.06</f>
        <v>122.06</v>
      </c>
      <c r="AJ3" s="517">
        <v>1</v>
      </c>
      <c r="AK3" s="517">
        <f t="shared" si="0"/>
        <v>510.32</v>
      </c>
      <c r="AL3" s="518">
        <f>5.3436</f>
        <v>5.3436000000000003</v>
      </c>
      <c r="AM3" s="519">
        <f t="shared" si="1"/>
        <v>2726.945952</v>
      </c>
      <c r="AN3" s="519">
        <v>0</v>
      </c>
      <c r="AO3" s="510">
        <v>1</v>
      </c>
      <c r="AP3" s="519">
        <v>165.55</v>
      </c>
      <c r="AQ3" s="519">
        <v>111.74</v>
      </c>
      <c r="AR3" s="519">
        <v>43.46</v>
      </c>
      <c r="AS3" s="519">
        <v>199.69</v>
      </c>
      <c r="AT3" s="519">
        <v>411.64</v>
      </c>
      <c r="AU3" s="519">
        <v>51.09</v>
      </c>
      <c r="AV3" s="519">
        <v>154.22999999999999</v>
      </c>
      <c r="AW3" s="510" t="s">
        <v>3139</v>
      </c>
      <c r="AX3" s="520">
        <f t="shared" si="2"/>
        <v>44931</v>
      </c>
      <c r="AY3" s="510">
        <v>302.58999999999997</v>
      </c>
      <c r="AZ3" s="519">
        <f t="shared" si="3"/>
        <v>4090.4189280000001</v>
      </c>
      <c r="BA3" s="521">
        <v>1</v>
      </c>
      <c r="BB3" s="519">
        <f t="shared" si="5"/>
        <v>4090.4189280000001</v>
      </c>
      <c r="BC3" s="519"/>
      <c r="BD3" s="519">
        <f t="shared" si="6"/>
        <v>-90</v>
      </c>
      <c r="BE3" s="519">
        <f t="shared" si="7"/>
        <v>-90</v>
      </c>
      <c r="BF3" s="513" t="s">
        <v>1771</v>
      </c>
      <c r="BG3" s="514" t="s">
        <v>1771</v>
      </c>
      <c r="BH3" s="510" t="s">
        <v>1771</v>
      </c>
      <c r="BI3" s="522" t="str">
        <f>VLOOKUP(A3,[1]Analise!$A:$L,12,0)</f>
        <v>OK</v>
      </c>
    </row>
    <row r="4" spans="1:61" s="523" customFormat="1" ht="144">
      <c r="A4" s="538" t="s">
        <v>5989</v>
      </c>
      <c r="B4" s="655" t="s">
        <v>3042</v>
      </c>
      <c r="C4" s="655" t="s">
        <v>5694</v>
      </c>
      <c r="D4" s="508" t="s">
        <v>5995</v>
      </c>
      <c r="E4" s="505" t="s">
        <v>5992</v>
      </c>
      <c r="F4" s="505" t="s">
        <v>5991</v>
      </c>
      <c r="G4" s="509">
        <v>223408590</v>
      </c>
      <c r="H4" s="655" t="s">
        <v>6016</v>
      </c>
      <c r="I4" s="724" t="s">
        <v>1771</v>
      </c>
      <c r="J4" s="724">
        <v>1</v>
      </c>
      <c r="K4" s="655">
        <f>1+1+1+1+4+8+5+5+5+1+5+1</f>
        <v>38</v>
      </c>
      <c r="L4" s="655">
        <f>144.5+71+1.9+22.8+580.5+1116.5+948.5+945+949.5+6.51+953.5+3.16</f>
        <v>5743.37</v>
      </c>
      <c r="M4" s="511">
        <v>44890</v>
      </c>
      <c r="N4" s="511">
        <v>44891</v>
      </c>
      <c r="O4" s="511">
        <v>44895</v>
      </c>
      <c r="P4" s="511">
        <v>44927</v>
      </c>
      <c r="Q4" s="511">
        <v>44935</v>
      </c>
      <c r="R4" s="512" t="s">
        <v>6196</v>
      </c>
      <c r="S4" s="515" t="s">
        <v>3752</v>
      </c>
      <c r="T4" s="510" t="s">
        <v>5804</v>
      </c>
      <c r="U4" s="516" t="s">
        <v>3031</v>
      </c>
      <c r="V4" s="359">
        <v>44932</v>
      </c>
      <c r="W4" s="510" t="s">
        <v>3147</v>
      </c>
      <c r="X4" s="510" t="s">
        <v>3147</v>
      </c>
      <c r="Y4" s="511">
        <v>44928</v>
      </c>
      <c r="Z4" s="510" t="s">
        <v>3252</v>
      </c>
      <c r="AA4" s="510" t="s">
        <v>3982</v>
      </c>
      <c r="AB4" s="510" t="s">
        <v>6200</v>
      </c>
      <c r="AC4" s="510" t="s">
        <v>2146</v>
      </c>
      <c r="AD4" s="511">
        <v>44929</v>
      </c>
      <c r="AE4" s="515">
        <v>4952.6059999999998</v>
      </c>
      <c r="AF4" s="655" t="s">
        <v>5987</v>
      </c>
      <c r="AG4" s="510" t="s">
        <v>3108</v>
      </c>
      <c r="AH4" s="517">
        <f>135374.88</f>
        <v>135374.88</v>
      </c>
      <c r="AI4" s="517">
        <f>9056.22</f>
        <v>9056.2199999999993</v>
      </c>
      <c r="AJ4" s="517">
        <v>1</v>
      </c>
      <c r="AK4" s="517">
        <f t="shared" ref="AK4:AK5" si="8">SUM(AH4:AJ4)</f>
        <v>144432.1</v>
      </c>
      <c r="AL4" s="518">
        <f>5.3436</f>
        <v>5.3436000000000003</v>
      </c>
      <c r="AM4" s="519">
        <f t="shared" si="1"/>
        <v>771787.36956000014</v>
      </c>
      <c r="AN4" s="519">
        <v>0</v>
      </c>
      <c r="AO4" s="510">
        <v>11</v>
      </c>
      <c r="AP4" s="519">
        <v>57619.64</v>
      </c>
      <c r="AQ4" s="519">
        <v>56349.46</v>
      </c>
      <c r="AR4" s="519">
        <v>15191.17</v>
      </c>
      <c r="AS4" s="519">
        <v>69807.09</v>
      </c>
      <c r="AT4" s="519">
        <v>191045.61</v>
      </c>
      <c r="AU4" s="519">
        <v>3895.25</v>
      </c>
      <c r="AV4" s="519">
        <v>416.46</v>
      </c>
      <c r="AW4" s="510" t="s">
        <v>3139</v>
      </c>
      <c r="AX4" s="520">
        <f t="shared" si="2"/>
        <v>44935</v>
      </c>
      <c r="AY4" s="510">
        <v>3181.81</v>
      </c>
      <c r="AZ4" s="519">
        <f t="shared" si="3"/>
        <v>1157681.0543400003</v>
      </c>
      <c r="BA4" s="521">
        <f t="shared" si="4"/>
        <v>1</v>
      </c>
      <c r="BB4" s="519">
        <f t="shared" si="5"/>
        <v>1157681.0543400003</v>
      </c>
      <c r="BC4" s="519"/>
      <c r="BD4" s="519">
        <f t="shared" si="6"/>
        <v>10</v>
      </c>
      <c r="BE4" s="519">
        <f t="shared" si="7"/>
        <v>10</v>
      </c>
      <c r="BF4" s="513" t="s">
        <v>1771</v>
      </c>
      <c r="BG4" s="514" t="s">
        <v>1771</v>
      </c>
      <c r="BH4" s="510" t="s">
        <v>1771</v>
      </c>
      <c r="BI4" s="522" t="str">
        <f>VLOOKUP(A4,[1]Analise!$A:$L,12,0)</f>
        <v>OK</v>
      </c>
    </row>
    <row r="5" spans="1:61" s="523" customFormat="1" ht="144">
      <c r="A5" s="538" t="s">
        <v>5990</v>
      </c>
      <c r="B5" s="655" t="s">
        <v>3042</v>
      </c>
      <c r="C5" s="655" t="s">
        <v>5694</v>
      </c>
      <c r="D5" s="508">
        <v>4800018004</v>
      </c>
      <c r="E5" s="505" t="s">
        <v>5994</v>
      </c>
      <c r="F5" s="505" t="s">
        <v>5993</v>
      </c>
      <c r="G5" s="509">
        <v>914666810</v>
      </c>
      <c r="H5" s="655" t="s">
        <v>6016</v>
      </c>
      <c r="I5" s="725"/>
      <c r="J5" s="725"/>
      <c r="K5" s="655">
        <v>2</v>
      </c>
      <c r="L5" s="655">
        <f>68.2</f>
        <v>68.2</v>
      </c>
      <c r="M5" s="511">
        <v>44890</v>
      </c>
      <c r="N5" s="511">
        <v>44891</v>
      </c>
      <c r="O5" s="511">
        <v>44895</v>
      </c>
      <c r="P5" s="511">
        <v>44927</v>
      </c>
      <c r="Q5" s="511">
        <v>44935</v>
      </c>
      <c r="R5" s="512" t="s">
        <v>6197</v>
      </c>
      <c r="S5" s="515" t="s">
        <v>3752</v>
      </c>
      <c r="T5" s="510" t="s">
        <v>5804</v>
      </c>
      <c r="U5" s="516" t="s">
        <v>3031</v>
      </c>
      <c r="V5" s="359">
        <v>44932</v>
      </c>
      <c r="W5" s="510" t="s">
        <v>3147</v>
      </c>
      <c r="X5" s="510" t="s">
        <v>3147</v>
      </c>
      <c r="Y5" s="511">
        <v>44928</v>
      </c>
      <c r="Z5" s="510" t="s">
        <v>3298</v>
      </c>
      <c r="AA5" s="510" t="s">
        <v>3982</v>
      </c>
      <c r="AB5" s="510" t="s">
        <v>6201</v>
      </c>
      <c r="AC5" s="510" t="s">
        <v>2146</v>
      </c>
      <c r="AD5" s="511">
        <v>44929</v>
      </c>
      <c r="AE5" s="510">
        <v>42.7</v>
      </c>
      <c r="AF5" s="655" t="s">
        <v>3460</v>
      </c>
      <c r="AG5" s="510" t="s">
        <v>3108</v>
      </c>
      <c r="AH5" s="517">
        <f>11446.16</f>
        <v>11446.16</v>
      </c>
      <c r="AI5" s="517">
        <f>182.78</f>
        <v>182.78</v>
      </c>
      <c r="AJ5" s="517">
        <v>1</v>
      </c>
      <c r="AK5" s="517">
        <f t="shared" si="8"/>
        <v>11629.94</v>
      </c>
      <c r="AL5" s="518">
        <f>5.3436</f>
        <v>5.3436000000000003</v>
      </c>
      <c r="AM5" s="519">
        <f t="shared" si="1"/>
        <v>62145.747384000009</v>
      </c>
      <c r="AN5" s="519">
        <v>0</v>
      </c>
      <c r="AO5" s="510">
        <v>1</v>
      </c>
      <c r="AP5" s="519">
        <v>5871.72</v>
      </c>
      <c r="AQ5" s="519">
        <v>10055.31</v>
      </c>
      <c r="AR5" s="519">
        <v>1284.44</v>
      </c>
      <c r="AS5" s="519">
        <v>5902.3</v>
      </c>
      <c r="AT5" s="519">
        <v>11423.99</v>
      </c>
      <c r="AU5" s="519">
        <v>94.3</v>
      </c>
      <c r="AV5" s="519">
        <v>154.22999999999999</v>
      </c>
      <c r="AW5" s="510" t="s">
        <v>3139</v>
      </c>
      <c r="AX5" s="520">
        <f t="shared" si="2"/>
        <v>44935</v>
      </c>
      <c r="AY5" s="510">
        <v>864.98</v>
      </c>
      <c r="AZ5" s="519">
        <f t="shared" si="3"/>
        <v>93218.62107600001</v>
      </c>
      <c r="BA5" s="521">
        <v>1</v>
      </c>
      <c r="BB5" s="519">
        <f t="shared" si="5"/>
        <v>93218.62107600001</v>
      </c>
      <c r="BC5" s="519"/>
      <c r="BD5" s="519">
        <f t="shared" si="6"/>
        <v>-90</v>
      </c>
      <c r="BE5" s="519">
        <f t="shared" si="7"/>
        <v>-90</v>
      </c>
      <c r="BF5" s="513" t="s">
        <v>1771</v>
      </c>
      <c r="BG5" s="514" t="s">
        <v>1771</v>
      </c>
      <c r="BH5" s="510" t="s">
        <v>1771</v>
      </c>
      <c r="BI5" s="522" t="str">
        <f>VLOOKUP(A5,[1]Analise!$A:$L,12,0)</f>
        <v>OK</v>
      </c>
    </row>
    <row r="6" spans="1:61" s="523" customFormat="1" ht="180">
      <c r="A6" s="538" t="s">
        <v>6023</v>
      </c>
      <c r="B6" s="655" t="s">
        <v>3042</v>
      </c>
      <c r="C6" s="655" t="s">
        <v>5694</v>
      </c>
      <c r="D6" s="508" t="s">
        <v>6029</v>
      </c>
      <c r="E6" s="505" t="s">
        <v>6027</v>
      </c>
      <c r="F6" s="505" t="s">
        <v>6026</v>
      </c>
      <c r="G6" s="509">
        <v>223758039</v>
      </c>
      <c r="H6" s="655" t="s">
        <v>6019</v>
      </c>
      <c r="I6" s="724">
        <v>1</v>
      </c>
      <c r="J6" s="724">
        <v>2</v>
      </c>
      <c r="K6" s="655">
        <f>4+3+15+15+3+8+2+5+20+2</f>
        <v>77</v>
      </c>
      <c r="L6" s="655">
        <f>374.5+192.5+1081+1096+257.5+1103+138.5+562.85+3065.66+12.54</f>
        <v>7884.05</v>
      </c>
      <c r="M6" s="511">
        <v>44907</v>
      </c>
      <c r="N6" s="511">
        <v>44908</v>
      </c>
      <c r="O6" s="511">
        <v>44908</v>
      </c>
      <c r="P6" s="511">
        <v>44941</v>
      </c>
      <c r="Q6" s="511">
        <v>44945</v>
      </c>
      <c r="R6" s="512" t="s">
        <v>6257</v>
      </c>
      <c r="S6" s="515" t="s">
        <v>3752</v>
      </c>
      <c r="T6" s="510" t="s">
        <v>5804</v>
      </c>
      <c r="U6" s="516" t="s">
        <v>3031</v>
      </c>
      <c r="V6" s="359">
        <v>44571</v>
      </c>
      <c r="W6" s="510" t="s">
        <v>3147</v>
      </c>
      <c r="X6" s="510" t="s">
        <v>3147</v>
      </c>
      <c r="Y6" s="511">
        <v>44942</v>
      </c>
      <c r="Z6" s="510" t="s">
        <v>3252</v>
      </c>
      <c r="AA6" s="510" t="s">
        <v>3982</v>
      </c>
      <c r="AB6" s="510" t="s">
        <v>6245</v>
      </c>
      <c r="AC6" s="510" t="s">
        <v>2146</v>
      </c>
      <c r="AD6" s="511">
        <v>44943</v>
      </c>
      <c r="AE6" s="515">
        <v>5802.3121099999998</v>
      </c>
      <c r="AF6" s="655" t="s">
        <v>6030</v>
      </c>
      <c r="AG6" s="510" t="s">
        <v>3108</v>
      </c>
      <c r="AH6" s="517">
        <v>24196.79</v>
      </c>
      <c r="AI6" s="517">
        <v>27025.26</v>
      </c>
      <c r="AJ6" s="517">
        <v>1</v>
      </c>
      <c r="AK6" s="517">
        <f t="shared" ref="AK6:AK7" si="9">SUM(AH6:AJ6)</f>
        <v>51223.05</v>
      </c>
      <c r="AL6" s="518">
        <v>5.1115000000000004</v>
      </c>
      <c r="AM6" s="519">
        <f t="shared" si="1"/>
        <v>261826.62007500004</v>
      </c>
      <c r="AN6" s="519">
        <v>0</v>
      </c>
      <c r="AO6" s="510">
        <v>2</v>
      </c>
      <c r="AP6" s="519">
        <v>20882.41</v>
      </c>
      <c r="AQ6" s="519">
        <v>24271.26</v>
      </c>
      <c r="AR6" s="519">
        <v>5498.36</v>
      </c>
      <c r="AS6" s="519">
        <v>25266.28</v>
      </c>
      <c r="AT6" s="519">
        <v>71285.36</v>
      </c>
      <c r="AU6" s="519">
        <v>11077.87</v>
      </c>
      <c r="AV6" s="519">
        <v>192.79</v>
      </c>
      <c r="AW6" s="510" t="s">
        <v>3139</v>
      </c>
      <c r="AX6" s="520">
        <f t="shared" si="2"/>
        <v>44945</v>
      </c>
      <c r="AY6" s="510"/>
      <c r="AZ6" s="519">
        <f t="shared" si="3"/>
        <v>392739.93011250009</v>
      </c>
      <c r="BA6" s="521">
        <f t="shared" ref="BA6:BA8" si="10">SUM(I6:J6)</f>
        <v>3</v>
      </c>
      <c r="BB6" s="519">
        <f t="shared" si="5"/>
        <v>130913.31003750004</v>
      </c>
      <c r="BC6" s="519"/>
      <c r="BD6" s="519">
        <f t="shared" si="6"/>
        <v>-80</v>
      </c>
      <c r="BE6" s="519"/>
      <c r="BF6" s="513" t="s">
        <v>1771</v>
      </c>
      <c r="BG6" s="514" t="s">
        <v>1771</v>
      </c>
      <c r="BH6" s="510" t="s">
        <v>1771</v>
      </c>
      <c r="BI6" s="522" t="str">
        <f>VLOOKUP(A6,[1]Analise!$A:$L,12,0)</f>
        <v>OK</v>
      </c>
    </row>
    <row r="7" spans="1:61" s="523" customFormat="1" ht="156">
      <c r="A7" s="538" t="s">
        <v>6024</v>
      </c>
      <c r="B7" s="655" t="s">
        <v>3042</v>
      </c>
      <c r="C7" s="655" t="s">
        <v>5694</v>
      </c>
      <c r="D7" s="508">
        <v>4800018219</v>
      </c>
      <c r="E7" s="505" t="s">
        <v>6028</v>
      </c>
      <c r="F7" s="505" t="s">
        <v>6025</v>
      </c>
      <c r="G7" s="509">
        <v>223758194</v>
      </c>
      <c r="H7" s="655" t="s">
        <v>6019</v>
      </c>
      <c r="I7" s="725"/>
      <c r="J7" s="725"/>
      <c r="K7" s="655">
        <v>6</v>
      </c>
      <c r="L7" s="655">
        <f>246.16</f>
        <v>246.16</v>
      </c>
      <c r="M7" s="511">
        <v>44907</v>
      </c>
      <c r="N7" s="511">
        <v>44908</v>
      </c>
      <c r="O7" s="511">
        <v>44908</v>
      </c>
      <c r="P7" s="511">
        <v>44941</v>
      </c>
      <c r="Q7" s="511">
        <v>44945</v>
      </c>
      <c r="R7" s="512" t="s">
        <v>6258</v>
      </c>
      <c r="S7" s="515" t="s">
        <v>3752</v>
      </c>
      <c r="T7" s="510" t="s">
        <v>5804</v>
      </c>
      <c r="U7" s="516" t="s">
        <v>3031</v>
      </c>
      <c r="V7" s="359">
        <v>44571</v>
      </c>
      <c r="W7" s="510" t="s">
        <v>3147</v>
      </c>
      <c r="X7" s="510" t="s">
        <v>3147</v>
      </c>
      <c r="Y7" s="511">
        <v>44942</v>
      </c>
      <c r="Z7" s="510" t="s">
        <v>3252</v>
      </c>
      <c r="AA7" s="510" t="s">
        <v>3982</v>
      </c>
      <c r="AB7" s="510" t="s">
        <v>6246</v>
      </c>
      <c r="AC7" s="510" t="s">
        <v>2146</v>
      </c>
      <c r="AD7" s="511">
        <v>44943</v>
      </c>
      <c r="AE7" s="510">
        <v>171.364</v>
      </c>
      <c r="AF7" s="655" t="s">
        <v>3460</v>
      </c>
      <c r="AG7" s="510" t="s">
        <v>3108</v>
      </c>
      <c r="AH7" s="517">
        <v>1742.15</v>
      </c>
      <c r="AI7" s="517">
        <v>361.74</v>
      </c>
      <c r="AJ7" s="517">
        <v>1</v>
      </c>
      <c r="AK7" s="517">
        <f t="shared" si="9"/>
        <v>2104.8900000000003</v>
      </c>
      <c r="AL7" s="518">
        <v>5.1115000000000004</v>
      </c>
      <c r="AM7" s="519">
        <f t="shared" si="1"/>
        <v>10759.145235000002</v>
      </c>
      <c r="AN7" s="519">
        <v>0</v>
      </c>
      <c r="AO7" s="510">
        <v>3</v>
      </c>
      <c r="AP7" s="519">
        <v>765.95</v>
      </c>
      <c r="AQ7" s="519">
        <v>698.53</v>
      </c>
      <c r="AR7" s="519">
        <v>225.94</v>
      </c>
      <c r="AS7" s="519">
        <v>1038.25</v>
      </c>
      <c r="AT7" s="519">
        <v>2523.91</v>
      </c>
      <c r="AU7" s="519">
        <v>168.01</v>
      </c>
      <c r="AV7" s="519">
        <v>223.64</v>
      </c>
      <c r="AW7" s="510" t="s">
        <v>3139</v>
      </c>
      <c r="AX7" s="520">
        <f t="shared" si="2"/>
        <v>44945</v>
      </c>
      <c r="AY7" s="510"/>
      <c r="AZ7" s="519">
        <f t="shared" si="3"/>
        <v>16138.717852500002</v>
      </c>
      <c r="BA7" s="521">
        <f t="shared" si="10"/>
        <v>0</v>
      </c>
      <c r="BB7" s="519" t="e">
        <f t="shared" si="5"/>
        <v>#DIV/0!</v>
      </c>
      <c r="BC7" s="519"/>
      <c r="BD7" s="519">
        <f t="shared" si="6"/>
        <v>-70</v>
      </c>
      <c r="BE7" s="519"/>
      <c r="BF7" s="513" t="s">
        <v>1771</v>
      </c>
      <c r="BG7" s="514" t="s">
        <v>1771</v>
      </c>
      <c r="BH7" s="510" t="s">
        <v>1771</v>
      </c>
      <c r="BI7" s="522" t="str">
        <f>VLOOKUP(A7,[1]Analise!$A:$L,12,0)</f>
        <v>OK</v>
      </c>
    </row>
    <row r="8" spans="1:61" s="523" customFormat="1" ht="156">
      <c r="A8" s="538" t="s">
        <v>6017</v>
      </c>
      <c r="B8" s="655" t="s">
        <v>3042</v>
      </c>
      <c r="C8" s="655" t="s">
        <v>5694</v>
      </c>
      <c r="D8" s="508" t="s">
        <v>6021</v>
      </c>
      <c r="E8" s="505" t="s">
        <v>6020</v>
      </c>
      <c r="F8" s="505" t="s">
        <v>6018</v>
      </c>
      <c r="G8" s="509">
        <v>914683378</v>
      </c>
      <c r="H8" s="655" t="s">
        <v>6019</v>
      </c>
      <c r="I8" s="510" t="s">
        <v>1771</v>
      </c>
      <c r="J8" s="510">
        <v>1</v>
      </c>
      <c r="K8" s="655">
        <f>1+1+2+8+1+1+8+10+48+1</f>
        <v>81</v>
      </c>
      <c r="L8" s="655">
        <f>5.95+21.14+258.5+1420.5+6.1+0.62+971.58+1118.5+6987.58+6.08</f>
        <v>10796.55</v>
      </c>
      <c r="M8" s="511">
        <v>44902</v>
      </c>
      <c r="N8" s="511">
        <v>44903</v>
      </c>
      <c r="O8" s="511">
        <v>44908</v>
      </c>
      <c r="P8" s="511">
        <v>44941</v>
      </c>
      <c r="Q8" s="511">
        <v>44949</v>
      </c>
      <c r="R8" s="512" t="s">
        <v>6268</v>
      </c>
      <c r="S8" s="515" t="s">
        <v>3752</v>
      </c>
      <c r="T8" s="510" t="s">
        <v>5804</v>
      </c>
      <c r="U8" s="516" t="s">
        <v>3031</v>
      </c>
      <c r="V8" s="359">
        <v>44936</v>
      </c>
      <c r="W8" s="510" t="s">
        <v>3147</v>
      </c>
      <c r="X8" s="510" t="s">
        <v>3147</v>
      </c>
      <c r="Y8" s="511">
        <v>44942</v>
      </c>
      <c r="Z8" s="510" t="s">
        <v>3252</v>
      </c>
      <c r="AA8" s="510" t="s">
        <v>3982</v>
      </c>
      <c r="AB8" s="510" t="s">
        <v>6256</v>
      </c>
      <c r="AC8" s="510" t="s">
        <v>2146</v>
      </c>
      <c r="AD8" s="511">
        <v>44945</v>
      </c>
      <c r="AE8" s="515">
        <v>9257.0684299999994</v>
      </c>
      <c r="AF8" s="655" t="s">
        <v>6022</v>
      </c>
      <c r="AG8" s="510" t="s">
        <v>3108</v>
      </c>
      <c r="AH8" s="517">
        <v>172494.47</v>
      </c>
      <c r="AI8" s="517">
        <v>9239</v>
      </c>
      <c r="AJ8" s="517">
        <v>1</v>
      </c>
      <c r="AK8" s="517">
        <f t="shared" ref="AK8" si="11">SUM(AH8:AJ8)</f>
        <v>181734.47</v>
      </c>
      <c r="AL8" s="518">
        <v>5.0909000000000004</v>
      </c>
      <c r="AM8" s="519">
        <f t="shared" si="1"/>
        <v>925192.01332300005</v>
      </c>
      <c r="AN8" s="519">
        <v>0</v>
      </c>
      <c r="AO8" s="510">
        <v>13</v>
      </c>
      <c r="AP8" s="519">
        <v>80832.55</v>
      </c>
      <c r="AQ8" s="519">
        <v>69051.31</v>
      </c>
      <c r="AR8" s="519">
        <v>19429.03</v>
      </c>
      <c r="AS8" s="519">
        <v>89281.04</v>
      </c>
      <c r="AT8" s="519">
        <v>245630.29</v>
      </c>
      <c r="AU8" s="519">
        <v>3800.3</v>
      </c>
      <c r="AV8" s="519">
        <v>447.3</v>
      </c>
      <c r="AW8" s="510" t="s">
        <v>3139</v>
      </c>
      <c r="AX8" s="520">
        <f t="shared" si="2"/>
        <v>44949</v>
      </c>
      <c r="AY8" s="510"/>
      <c r="AZ8" s="519">
        <f t="shared" si="3"/>
        <v>1387788.0199845</v>
      </c>
      <c r="BA8" s="521">
        <f t="shared" si="10"/>
        <v>1</v>
      </c>
      <c r="BB8" s="519">
        <f t="shared" si="5"/>
        <v>1387788.0199845</v>
      </c>
      <c r="BC8" s="519"/>
      <c r="BD8" s="519">
        <f t="shared" si="6"/>
        <v>30</v>
      </c>
      <c r="BE8" s="519"/>
      <c r="BF8" s="513" t="s">
        <v>1771</v>
      </c>
      <c r="BG8" s="514" t="s">
        <v>1771</v>
      </c>
      <c r="BH8" s="510" t="s">
        <v>1771</v>
      </c>
      <c r="BI8" s="522" t="str">
        <f>VLOOKUP(A8,[1]Analise!$A:$L,12,0)</f>
        <v>OK</v>
      </c>
    </row>
    <row r="9" spans="1:61" s="523" customFormat="1" ht="180">
      <c r="A9" s="538" t="s">
        <v>6035</v>
      </c>
      <c r="B9" s="655" t="s">
        <v>3042</v>
      </c>
      <c r="C9" s="655" t="s">
        <v>5694</v>
      </c>
      <c r="D9" s="508" t="s">
        <v>6041</v>
      </c>
      <c r="E9" s="505" t="s">
        <v>6037</v>
      </c>
      <c r="F9" s="505" t="s">
        <v>6036</v>
      </c>
      <c r="G9" s="509">
        <v>914683382</v>
      </c>
      <c r="H9" s="655" t="s">
        <v>6038</v>
      </c>
      <c r="I9" s="510">
        <v>1</v>
      </c>
      <c r="J9" s="510">
        <v>1</v>
      </c>
      <c r="K9" s="655">
        <f>11+3+22+8+15+50+1+1+1</f>
        <v>112</v>
      </c>
      <c r="L9" s="655">
        <f>1481+274.04+3180+1112.5+1198.5+2131+0.58+20.78+0.86</f>
        <v>9399.260000000002</v>
      </c>
      <c r="M9" s="511">
        <v>44911</v>
      </c>
      <c r="N9" s="511">
        <v>44911</v>
      </c>
      <c r="O9" s="511">
        <v>44911</v>
      </c>
      <c r="P9" s="511">
        <v>44948</v>
      </c>
      <c r="Q9" s="511">
        <v>44958</v>
      </c>
      <c r="R9" s="512" t="s">
        <v>6271</v>
      </c>
      <c r="S9" s="515" t="s">
        <v>3752</v>
      </c>
      <c r="T9" s="510" t="s">
        <v>5804</v>
      </c>
      <c r="U9" s="516" t="s">
        <v>3031</v>
      </c>
      <c r="V9" s="359">
        <v>44943</v>
      </c>
      <c r="W9" s="510" t="s">
        <v>3147</v>
      </c>
      <c r="X9" s="510" t="s">
        <v>3147</v>
      </c>
      <c r="Y9" s="511">
        <v>44949</v>
      </c>
      <c r="Z9" s="510" t="s">
        <v>3252</v>
      </c>
      <c r="AA9" s="510" t="s">
        <v>3982</v>
      </c>
      <c r="AB9" s="510" t="s">
        <v>6269</v>
      </c>
      <c r="AC9" s="510" t="s">
        <v>2146</v>
      </c>
      <c r="AD9" s="511">
        <v>44956</v>
      </c>
      <c r="AE9" s="515">
        <v>6773.9500200000002</v>
      </c>
      <c r="AF9" s="655" t="s">
        <v>6042</v>
      </c>
      <c r="AG9" s="510" t="s">
        <v>3108</v>
      </c>
      <c r="AH9" s="517">
        <v>78168.39</v>
      </c>
      <c r="AI9" s="517">
        <v>18148</v>
      </c>
      <c r="AJ9" s="517">
        <v>1</v>
      </c>
      <c r="AK9" s="517">
        <f t="shared" ref="AK9:AK12" si="12">SUM(AH9:AJ9)</f>
        <v>96317.39</v>
      </c>
      <c r="AL9" s="517">
        <v>5.0766999999999998</v>
      </c>
      <c r="AM9" s="519">
        <f t="shared" si="1"/>
        <v>488974.49381299998</v>
      </c>
      <c r="AN9" s="519">
        <v>0</v>
      </c>
      <c r="AO9" s="510">
        <v>6</v>
      </c>
      <c r="AP9" s="519">
        <v>38066.15</v>
      </c>
      <c r="AQ9" s="519">
        <v>38715.72</v>
      </c>
      <c r="AR9" s="519">
        <v>10268.469999999999</v>
      </c>
      <c r="AS9" s="519">
        <v>47186.05</v>
      </c>
      <c r="AT9" s="519">
        <v>130032.73</v>
      </c>
      <c r="AU9" s="519">
        <v>7567.53</v>
      </c>
      <c r="AV9" s="519">
        <v>308.48</v>
      </c>
      <c r="AW9" s="510" t="s">
        <v>3139</v>
      </c>
      <c r="AX9" s="520">
        <f t="shared" si="2"/>
        <v>44958</v>
      </c>
      <c r="AY9" s="510"/>
      <c r="AZ9" s="519">
        <f t="shared" si="3"/>
        <v>733461.7407195</v>
      </c>
      <c r="BA9" s="521">
        <f t="shared" ref="BA9:BA10" si="13">SUM(I9:J9)</f>
        <v>2</v>
      </c>
      <c r="BB9" s="519">
        <f t="shared" si="5"/>
        <v>366730.87035975</v>
      </c>
      <c r="BC9" s="519"/>
      <c r="BD9" s="519">
        <f t="shared" si="6"/>
        <v>-40</v>
      </c>
      <c r="BE9" s="519"/>
      <c r="BF9" s="513" t="s">
        <v>1771</v>
      </c>
      <c r="BG9" s="514" t="s">
        <v>1771</v>
      </c>
      <c r="BH9" s="510" t="s">
        <v>1771</v>
      </c>
      <c r="BI9" s="522" t="str">
        <f>VLOOKUP(A9,[1]Analise!$A:$L,12,0)</f>
        <v>OK</v>
      </c>
    </row>
    <row r="10" spans="1:61" s="523" customFormat="1" ht="216">
      <c r="A10" s="538" t="s">
        <v>6183</v>
      </c>
      <c r="B10" s="655" t="s">
        <v>3042</v>
      </c>
      <c r="C10" s="655" t="s">
        <v>5694</v>
      </c>
      <c r="D10" s="508" t="s">
        <v>6043</v>
      </c>
      <c r="E10" s="505" t="s">
        <v>6040</v>
      </c>
      <c r="F10" s="505" t="s">
        <v>6039</v>
      </c>
      <c r="G10" s="509">
        <v>223930109</v>
      </c>
      <c r="H10" s="655" t="s">
        <v>6038</v>
      </c>
      <c r="I10" s="510" t="s">
        <v>1771</v>
      </c>
      <c r="J10" s="510">
        <v>2</v>
      </c>
      <c r="K10" s="655">
        <f>15+10+10+2+2+2+6+2+2+4+2+2+2+4+5+2+2+2</f>
        <v>76</v>
      </c>
      <c r="L10" s="655">
        <f>2082+1813.5+1821+134+133.5+134+919.17+11.94+134+734.5+134+137.5+134+552+1038+140+138+136</f>
        <v>10327.11</v>
      </c>
      <c r="M10" s="511">
        <v>44915</v>
      </c>
      <c r="N10" s="511">
        <v>44915</v>
      </c>
      <c r="O10" s="511">
        <v>44918</v>
      </c>
      <c r="P10" s="511">
        <v>44948</v>
      </c>
      <c r="Q10" s="511">
        <v>44959</v>
      </c>
      <c r="R10" s="512" t="s">
        <v>6272</v>
      </c>
      <c r="S10" s="515" t="s">
        <v>3752</v>
      </c>
      <c r="T10" s="510" t="s">
        <v>5804</v>
      </c>
      <c r="U10" s="516" t="s">
        <v>3031</v>
      </c>
      <c r="V10" s="359">
        <v>44943</v>
      </c>
      <c r="W10" s="510" t="s">
        <v>3147</v>
      </c>
      <c r="X10" s="510" t="s">
        <v>3147</v>
      </c>
      <c r="Y10" s="511">
        <v>44949</v>
      </c>
      <c r="Z10" s="510" t="s">
        <v>3252</v>
      </c>
      <c r="AA10" s="510" t="s">
        <v>3982</v>
      </c>
      <c r="AB10" s="510" t="s">
        <v>6270</v>
      </c>
      <c r="AC10" s="510" t="s">
        <v>2146</v>
      </c>
      <c r="AD10" s="511">
        <v>44956</v>
      </c>
      <c r="AE10" s="515">
        <v>8694.5420200000008</v>
      </c>
      <c r="AF10" s="655" t="s">
        <v>4279</v>
      </c>
      <c r="AG10" s="510" t="s">
        <v>3108</v>
      </c>
      <c r="AH10" s="517">
        <v>146306.95000000001</v>
      </c>
      <c r="AI10" s="517">
        <v>18478</v>
      </c>
      <c r="AJ10" s="517">
        <v>1</v>
      </c>
      <c r="AK10" s="517">
        <f t="shared" si="12"/>
        <v>164785.95000000001</v>
      </c>
      <c r="AL10" s="517">
        <v>5.0766999999999998</v>
      </c>
      <c r="AM10" s="519">
        <f t="shared" si="1"/>
        <v>836568.83236500004</v>
      </c>
      <c r="AN10" s="519">
        <v>0</v>
      </c>
      <c r="AO10" s="510">
        <v>8</v>
      </c>
      <c r="AP10" s="519">
        <v>21809.64</v>
      </c>
      <c r="AQ10" s="519">
        <v>42744.57</v>
      </c>
      <c r="AR10" s="519">
        <v>17567.939999999999</v>
      </c>
      <c r="AS10" s="519">
        <v>80728.88</v>
      </c>
      <c r="AT10" s="519">
        <v>160056.85</v>
      </c>
      <c r="AU10" s="519">
        <v>7704.77</v>
      </c>
      <c r="AV10" s="519">
        <v>354.76</v>
      </c>
      <c r="AW10" s="510" t="s">
        <v>3139</v>
      </c>
      <c r="AX10" s="520">
        <f t="shared" si="2"/>
        <v>44959</v>
      </c>
      <c r="AY10" s="510"/>
      <c r="AZ10" s="519">
        <f t="shared" si="3"/>
        <v>1254853.2485475</v>
      </c>
      <c r="BA10" s="521">
        <f t="shared" si="13"/>
        <v>2</v>
      </c>
      <c r="BB10" s="519">
        <f t="shared" si="5"/>
        <v>627426.62427375</v>
      </c>
      <c r="BC10" s="519"/>
      <c r="BD10" s="519">
        <f t="shared" si="6"/>
        <v>-20</v>
      </c>
      <c r="BE10" s="519"/>
      <c r="BF10" s="513" t="s">
        <v>1771</v>
      </c>
      <c r="BG10" s="514" t="s">
        <v>1771</v>
      </c>
      <c r="BH10" s="510" t="s">
        <v>1771</v>
      </c>
      <c r="BI10" s="522" t="str">
        <f>VLOOKUP(A10,[1]Analise!$A:$L,12,0)</f>
        <v>OK</v>
      </c>
    </row>
    <row r="11" spans="1:61" s="523" customFormat="1" ht="144">
      <c r="A11" s="538" t="s">
        <v>6180</v>
      </c>
      <c r="B11" s="655" t="s">
        <v>3042</v>
      </c>
      <c r="C11" s="655" t="s">
        <v>5694</v>
      </c>
      <c r="D11" s="508" t="s">
        <v>6181</v>
      </c>
      <c r="E11" s="505" t="s">
        <v>6179</v>
      </c>
      <c r="F11" s="505" t="s">
        <v>6178</v>
      </c>
      <c r="G11" s="509">
        <v>914711951</v>
      </c>
      <c r="H11" s="655" t="s">
        <v>6190</v>
      </c>
      <c r="I11" s="510" t="s">
        <v>1771</v>
      </c>
      <c r="J11" s="510">
        <v>1</v>
      </c>
      <c r="K11" s="655">
        <f>5+5+8+8+8+8+2+1+3+2+1+2</f>
        <v>53</v>
      </c>
      <c r="L11" s="655">
        <f>1090.5+919+1100+1092.5+1099+1089+5.98+319.08+5.84+97+48.68+103.42</f>
        <v>6970</v>
      </c>
      <c r="M11" s="511">
        <v>44918</v>
      </c>
      <c r="N11" s="511">
        <v>44918</v>
      </c>
      <c r="O11" s="511">
        <v>44925</v>
      </c>
      <c r="P11" s="511">
        <v>44956</v>
      </c>
      <c r="Q11" s="511">
        <v>44964</v>
      </c>
      <c r="R11" s="512" t="s">
        <v>6283</v>
      </c>
      <c r="S11" s="515" t="s">
        <v>3752</v>
      </c>
      <c r="T11" s="510" t="s">
        <v>5804</v>
      </c>
      <c r="U11" s="516" t="s">
        <v>3031</v>
      </c>
      <c r="V11" s="359">
        <v>44950</v>
      </c>
      <c r="W11" s="510" t="s">
        <v>3147</v>
      </c>
      <c r="X11" s="510" t="s">
        <v>3147</v>
      </c>
      <c r="Y11" s="511">
        <v>44956</v>
      </c>
      <c r="Z11" s="510" t="s">
        <v>3252</v>
      </c>
      <c r="AA11" s="510" t="s">
        <v>3982</v>
      </c>
      <c r="AB11" s="510" t="s">
        <v>6280</v>
      </c>
      <c r="AC11" s="510" t="s">
        <v>2146</v>
      </c>
      <c r="AD11" s="511">
        <v>44960</v>
      </c>
      <c r="AE11" s="515">
        <v>5911.1012300000002</v>
      </c>
      <c r="AF11" s="655" t="s">
        <v>6182</v>
      </c>
      <c r="AG11" s="510" t="s">
        <v>3108</v>
      </c>
      <c r="AH11" s="517">
        <v>90360.92</v>
      </c>
      <c r="AI11" s="517">
        <v>9239</v>
      </c>
      <c r="AJ11" s="517">
        <v>1</v>
      </c>
      <c r="AK11" s="517">
        <f t="shared" si="12"/>
        <v>99600.92</v>
      </c>
      <c r="AL11" s="518">
        <v>4.9901</v>
      </c>
      <c r="AM11" s="519">
        <f t="shared" si="1"/>
        <v>497018.55089199997</v>
      </c>
      <c r="AN11" s="519">
        <v>0</v>
      </c>
      <c r="AO11" s="510">
        <v>12</v>
      </c>
      <c r="AP11" s="519">
        <v>19179.47</v>
      </c>
      <c r="AQ11" s="519">
        <v>37885.410000000003</v>
      </c>
      <c r="AR11" s="519">
        <v>10437.379999999999</v>
      </c>
      <c r="AS11" s="519">
        <v>47962.28</v>
      </c>
      <c r="AT11" s="519">
        <v>127057.15</v>
      </c>
      <c r="AU11" s="519">
        <v>3786.48</v>
      </c>
      <c r="AV11" s="519">
        <v>431.88</v>
      </c>
      <c r="AW11" s="510" t="s">
        <v>3139</v>
      </c>
      <c r="AX11" s="520">
        <f t="shared" si="2"/>
        <v>44964</v>
      </c>
      <c r="AY11" s="510"/>
      <c r="AZ11" s="519">
        <f t="shared" si="3"/>
        <v>745527.8263379999</v>
      </c>
      <c r="BA11" s="521">
        <f t="shared" ref="BA11:BA12" si="14">SUM(I11:J11)</f>
        <v>1</v>
      </c>
      <c r="BB11" s="519">
        <f t="shared" si="5"/>
        <v>745527.8263379999</v>
      </c>
      <c r="BC11" s="519"/>
      <c r="BD11" s="519">
        <f t="shared" si="6"/>
        <v>20</v>
      </c>
      <c r="BE11" s="519"/>
      <c r="BF11" s="513" t="s">
        <v>1771</v>
      </c>
      <c r="BG11" s="514" t="s">
        <v>1771</v>
      </c>
      <c r="BH11" s="510" t="s">
        <v>1771</v>
      </c>
      <c r="BI11" s="522" t="str">
        <f>VLOOKUP(A11,[1]Analise!$A:$L,12,0)</f>
        <v>OK</v>
      </c>
    </row>
    <row r="12" spans="1:61" s="523" customFormat="1" ht="168">
      <c r="A12" s="538" t="s">
        <v>6191</v>
      </c>
      <c r="B12" s="655" t="s">
        <v>3042</v>
      </c>
      <c r="C12" s="655" t="s">
        <v>5694</v>
      </c>
      <c r="D12" s="508" t="s">
        <v>6194</v>
      </c>
      <c r="E12" s="505" t="s">
        <v>6193</v>
      </c>
      <c r="F12" s="505" t="s">
        <v>6192</v>
      </c>
      <c r="G12" s="509">
        <v>224083201</v>
      </c>
      <c r="H12" s="655" t="s">
        <v>6190</v>
      </c>
      <c r="I12" s="510">
        <v>1</v>
      </c>
      <c r="J12" s="510">
        <v>1</v>
      </c>
      <c r="K12" s="655">
        <f>1+1+8+5+5+5+8+10+8+2+4+5+2+1</f>
        <v>65</v>
      </c>
      <c r="L12" s="655">
        <f>76+172.5+1096.5+917.5+915.5+1104+1089+1685.5+1086.5+131.46+275+396.14+137+51.5</f>
        <v>9134.0999999999985</v>
      </c>
      <c r="M12" s="511">
        <v>44930</v>
      </c>
      <c r="N12" s="511">
        <v>44922</v>
      </c>
      <c r="O12" s="511">
        <v>44925</v>
      </c>
      <c r="P12" s="511">
        <v>44956</v>
      </c>
      <c r="Q12" s="511">
        <v>44964</v>
      </c>
      <c r="R12" s="512" t="s">
        <v>6284</v>
      </c>
      <c r="S12" s="515" t="s">
        <v>3752</v>
      </c>
      <c r="T12" s="510" t="s">
        <v>5804</v>
      </c>
      <c r="U12" s="516" t="s">
        <v>3031</v>
      </c>
      <c r="V12" s="359">
        <v>44953</v>
      </c>
      <c r="W12" s="510" t="s">
        <v>3147</v>
      </c>
      <c r="X12" s="510" t="s">
        <v>3147</v>
      </c>
      <c r="Y12" s="511">
        <v>44956</v>
      </c>
      <c r="Z12" s="510" t="s">
        <v>3252</v>
      </c>
      <c r="AA12" s="510" t="s">
        <v>3982</v>
      </c>
      <c r="AB12" s="510" t="s">
        <v>6281</v>
      </c>
      <c r="AC12" s="510" t="s">
        <v>2146</v>
      </c>
      <c r="AD12" s="511">
        <v>44960</v>
      </c>
      <c r="AE12" s="515">
        <v>7711.5565999999999</v>
      </c>
      <c r="AF12" s="655" t="s">
        <v>6195</v>
      </c>
      <c r="AG12" s="510" t="s">
        <v>3108</v>
      </c>
      <c r="AH12" s="517">
        <v>142143.22</v>
      </c>
      <c r="AI12" s="517">
        <v>18148</v>
      </c>
      <c r="AJ12" s="517">
        <v>1</v>
      </c>
      <c r="AK12" s="517">
        <f t="shared" si="12"/>
        <v>160292.22</v>
      </c>
      <c r="AL12" s="518">
        <v>4.9901</v>
      </c>
      <c r="AM12" s="519">
        <f t="shared" si="1"/>
        <v>799874.20702199999</v>
      </c>
      <c r="AN12" s="519">
        <v>0</v>
      </c>
      <c r="AO12" s="510">
        <v>10</v>
      </c>
      <c r="AP12" s="519">
        <v>37368.22</v>
      </c>
      <c r="AQ12" s="519">
        <v>60940.7</v>
      </c>
      <c r="AR12" s="519">
        <v>16797.349999999999</v>
      </c>
      <c r="AS12" s="519">
        <v>77187.839999999997</v>
      </c>
      <c r="AT12" s="519">
        <v>206132.26</v>
      </c>
      <c r="AU12" s="519">
        <v>7418.43</v>
      </c>
      <c r="AV12" s="519">
        <v>401.04</v>
      </c>
      <c r="AW12" s="510" t="s">
        <v>3139</v>
      </c>
      <c r="AX12" s="520">
        <f t="shared" si="2"/>
        <v>44964</v>
      </c>
      <c r="AY12" s="510"/>
      <c r="AZ12" s="519">
        <f t="shared" si="3"/>
        <v>1199811.3105329999</v>
      </c>
      <c r="BA12" s="521">
        <f t="shared" si="14"/>
        <v>2</v>
      </c>
      <c r="BB12" s="519">
        <f t="shared" si="5"/>
        <v>599905.65526649996</v>
      </c>
      <c r="BC12" s="519"/>
      <c r="BD12" s="519">
        <f t="shared" si="6"/>
        <v>0</v>
      </c>
      <c r="BE12" s="519"/>
      <c r="BF12" s="513" t="s">
        <v>1771</v>
      </c>
      <c r="BG12" s="514" t="s">
        <v>1771</v>
      </c>
      <c r="BH12" s="510" t="s">
        <v>1771</v>
      </c>
      <c r="BI12" s="522" t="str">
        <f>VLOOKUP(A12,[1]Analise!$A:$L,12,0)</f>
        <v>OK</v>
      </c>
    </row>
    <row r="13" spans="1:61" s="523" customFormat="1" ht="384">
      <c r="A13" s="538" t="s">
        <v>6202</v>
      </c>
      <c r="B13" s="655" t="s">
        <v>3042</v>
      </c>
      <c r="C13" s="655" t="s">
        <v>5694</v>
      </c>
      <c r="D13" s="508" t="s">
        <v>6206</v>
      </c>
      <c r="E13" s="505" t="s">
        <v>6204</v>
      </c>
      <c r="F13" s="505" t="s">
        <v>6205</v>
      </c>
      <c r="G13" s="509">
        <v>914709544</v>
      </c>
      <c r="H13" s="655" t="s">
        <v>6217</v>
      </c>
      <c r="I13" s="724">
        <v>1</v>
      </c>
      <c r="J13" s="724">
        <v>3</v>
      </c>
      <c r="K13" s="655">
        <f>1+7+5+15+11+1+7+5+3+3+5+5+5+1+1+4+1+5+3+41+1+2+3+1+1+8+8+8+21+1+1+1</f>
        <v>185</v>
      </c>
      <c r="L13" s="655">
        <f>87+620.37+350+1905+1375.5+5.98+1103+900.5+570.5+460.5+899+896.5+896.5+112.5+1.28+495+106.5+311+204.5+4343.5+6.03+139+255.52+87.5+121+1100.5+1097.5+1091.5+2123.5+113+34.5+0.26</f>
        <v>21814.44</v>
      </c>
      <c r="M13" s="511">
        <v>44939</v>
      </c>
      <c r="N13" s="511">
        <v>44937</v>
      </c>
      <c r="O13" s="511">
        <v>44946</v>
      </c>
      <c r="P13" s="511">
        <v>44976</v>
      </c>
      <c r="Q13" s="511">
        <v>44985</v>
      </c>
      <c r="R13" s="512" t="s">
        <v>6305</v>
      </c>
      <c r="S13" s="515" t="s">
        <v>3752</v>
      </c>
      <c r="T13" s="510" t="s">
        <v>5804</v>
      </c>
      <c r="U13" s="516" t="s">
        <v>3031</v>
      </c>
      <c r="V13" s="359">
        <v>44971</v>
      </c>
      <c r="W13" s="511"/>
      <c r="X13" s="510"/>
      <c r="Y13" s="511">
        <v>44977</v>
      </c>
      <c r="Z13" s="510" t="s">
        <v>3252</v>
      </c>
      <c r="AA13" s="510"/>
      <c r="AB13" s="510" t="s">
        <v>6324</v>
      </c>
      <c r="AC13" s="510" t="s">
        <v>6325</v>
      </c>
      <c r="AD13" s="511">
        <v>44980</v>
      </c>
      <c r="AE13" s="510">
        <v>21814.41</v>
      </c>
      <c r="AF13" s="655" t="s">
        <v>6207</v>
      </c>
      <c r="AG13" s="510" t="s">
        <v>3108</v>
      </c>
      <c r="AH13" s="517">
        <f>350517.11</f>
        <v>350517.11</v>
      </c>
      <c r="AI13" s="517">
        <f>10907.09</f>
        <v>10907.09</v>
      </c>
      <c r="AJ13" s="517">
        <v>1</v>
      </c>
      <c r="AK13" s="517">
        <f t="shared" ref="AK13:AK26" si="15">SUM(AH13:AJ13)</f>
        <v>361425.2</v>
      </c>
      <c r="AL13" s="518">
        <f>5.173</f>
        <v>5.173</v>
      </c>
      <c r="AM13" s="519">
        <f t="shared" si="1"/>
        <v>1869652.5596</v>
      </c>
      <c r="AN13" s="519">
        <v>0</v>
      </c>
      <c r="AO13" s="510">
        <v>15</v>
      </c>
      <c r="AP13" s="519">
        <f>82348.81</f>
        <v>82348.81</v>
      </c>
      <c r="AQ13" s="519">
        <f>138588.95</f>
        <v>138588.95000000001</v>
      </c>
      <c r="AR13" s="519">
        <f>38077.73</f>
        <v>38077.730000000003</v>
      </c>
      <c r="AS13" s="519">
        <f>174976.24</f>
        <v>174976.24</v>
      </c>
      <c r="AT13" s="519">
        <f>463955.81</f>
        <v>463955.81</v>
      </c>
      <c r="AU13" s="519">
        <f>4470.36</f>
        <v>4470.3599999999997</v>
      </c>
      <c r="AV13" s="519">
        <f>478.14</f>
        <v>478.14</v>
      </c>
      <c r="AW13" s="510" t="s">
        <v>3139</v>
      </c>
      <c r="AX13" s="520">
        <f t="shared" si="2"/>
        <v>44985</v>
      </c>
      <c r="AY13" s="510"/>
      <c r="AZ13" s="519">
        <f t="shared" si="3"/>
        <v>2804478.8393999999</v>
      </c>
      <c r="BA13" s="521">
        <f t="shared" ref="BA13:BA16" si="16">SUM(I13:J13)</f>
        <v>4</v>
      </c>
      <c r="BB13" s="519">
        <f t="shared" si="5"/>
        <v>701119.70984999998</v>
      </c>
      <c r="BC13" s="519"/>
      <c r="BD13" s="519">
        <f t="shared" si="6"/>
        <v>50</v>
      </c>
      <c r="BE13" s="519"/>
      <c r="BF13" s="513" t="s">
        <v>1771</v>
      </c>
      <c r="BG13" s="514" t="s">
        <v>1771</v>
      </c>
      <c r="BH13" s="510" t="s">
        <v>1771</v>
      </c>
      <c r="BI13" s="522" t="str">
        <f>VLOOKUP(A13,[1]Analise!$A:$L,12,0)</f>
        <v>OK</v>
      </c>
    </row>
    <row r="14" spans="1:61" s="523" customFormat="1" ht="168">
      <c r="A14" s="538" t="s">
        <v>6203</v>
      </c>
      <c r="B14" s="655" t="s">
        <v>3042</v>
      </c>
      <c r="C14" s="655" t="s">
        <v>5694</v>
      </c>
      <c r="D14" s="508" t="s">
        <v>6210</v>
      </c>
      <c r="E14" s="505" t="s">
        <v>6208</v>
      </c>
      <c r="F14" s="505" t="s">
        <v>6209</v>
      </c>
      <c r="G14" s="509">
        <v>224425586</v>
      </c>
      <c r="H14" s="655" t="s">
        <v>6217</v>
      </c>
      <c r="I14" s="725"/>
      <c r="J14" s="725"/>
      <c r="K14" s="655">
        <f>1+1+1+1+1+1+1+1+4+1+1+1+2+4</f>
        <v>21</v>
      </c>
      <c r="L14" s="655">
        <f>62+2.11+2.13+2.12+2.11+2.12+2.07+2.1+232.4+2.08+2.07+2.11+113.4+228.6</f>
        <v>657.42</v>
      </c>
      <c r="M14" s="511">
        <v>44939</v>
      </c>
      <c r="N14" s="511">
        <v>44937</v>
      </c>
      <c r="O14" s="511">
        <v>44946</v>
      </c>
      <c r="P14" s="511">
        <v>44976</v>
      </c>
      <c r="Q14" s="511">
        <v>44985</v>
      </c>
      <c r="R14" s="512" t="s">
        <v>6304</v>
      </c>
      <c r="S14" s="515" t="s">
        <v>3752</v>
      </c>
      <c r="T14" s="510" t="s">
        <v>5804</v>
      </c>
      <c r="U14" s="516" t="s">
        <v>3031</v>
      </c>
      <c r="V14" s="359">
        <v>44971</v>
      </c>
      <c r="W14" s="511"/>
      <c r="X14" s="510"/>
      <c r="Y14" s="511">
        <v>44977</v>
      </c>
      <c r="Z14" s="510" t="s">
        <v>3252</v>
      </c>
      <c r="AA14" s="510"/>
      <c r="AB14" s="510" t="s">
        <v>6326</v>
      </c>
      <c r="AC14" s="510" t="s">
        <v>6325</v>
      </c>
      <c r="AD14" s="511">
        <v>44980</v>
      </c>
      <c r="AE14" s="510">
        <f>657.42</f>
        <v>657.42</v>
      </c>
      <c r="AF14" s="655" t="s">
        <v>3460</v>
      </c>
      <c r="AG14" s="510" t="s">
        <v>3108</v>
      </c>
      <c r="AH14" s="517">
        <f>12252.77</f>
        <v>12252.77</v>
      </c>
      <c r="AI14" s="517">
        <f>231.91</f>
        <v>231.91</v>
      </c>
      <c r="AJ14" s="517">
        <v>1</v>
      </c>
      <c r="AK14" s="517">
        <f t="shared" si="15"/>
        <v>12485.68</v>
      </c>
      <c r="AL14" s="518">
        <f>5.173</f>
        <v>5.173</v>
      </c>
      <c r="AM14" s="519">
        <f t="shared" si="1"/>
        <v>64588.422640000004</v>
      </c>
      <c r="AN14" s="519">
        <v>0</v>
      </c>
      <c r="AO14" s="510">
        <v>3</v>
      </c>
      <c r="AP14" s="519">
        <v>5626.29</v>
      </c>
      <c r="AQ14" s="519">
        <v>5843.74</v>
      </c>
      <c r="AR14" s="519">
        <v>1331.05</v>
      </c>
      <c r="AS14" s="519">
        <v>6241.5</v>
      </c>
      <c r="AT14" s="519">
        <f>14622.48</f>
        <v>14622.48</v>
      </c>
      <c r="AU14" s="519">
        <f>204.53</f>
        <v>204.53</v>
      </c>
      <c r="AV14" s="519">
        <f>223.64</f>
        <v>223.64</v>
      </c>
      <c r="AW14" s="510" t="s">
        <v>3139</v>
      </c>
      <c r="AX14" s="520">
        <f t="shared" si="2"/>
        <v>44985</v>
      </c>
      <c r="AY14" s="510"/>
      <c r="AZ14" s="519">
        <f t="shared" si="3"/>
        <v>96882.633960000006</v>
      </c>
      <c r="BA14" s="521">
        <f t="shared" si="16"/>
        <v>0</v>
      </c>
      <c r="BB14" s="519" t="e">
        <f t="shared" si="5"/>
        <v>#DIV/0!</v>
      </c>
      <c r="BC14" s="519"/>
      <c r="BD14" s="519">
        <f t="shared" si="6"/>
        <v>-70</v>
      </c>
      <c r="BE14" s="519"/>
      <c r="BF14" s="513" t="s">
        <v>1771</v>
      </c>
      <c r="BG14" s="514" t="s">
        <v>1771</v>
      </c>
      <c r="BH14" s="510" t="s">
        <v>1771</v>
      </c>
      <c r="BI14" s="522" t="str">
        <f>VLOOKUP(A14,[1]Analise!$A:$L,12,0)</f>
        <v>OK</v>
      </c>
    </row>
    <row r="15" spans="1:61" s="523" customFormat="1" ht="228">
      <c r="A15" s="538" t="s">
        <v>6211</v>
      </c>
      <c r="B15" s="655" t="s">
        <v>3042</v>
      </c>
      <c r="C15" s="655" t="s">
        <v>5694</v>
      </c>
      <c r="D15" s="508" t="s">
        <v>6218</v>
      </c>
      <c r="E15" s="505" t="s">
        <v>6214</v>
      </c>
      <c r="F15" s="505" t="s">
        <v>6213</v>
      </c>
      <c r="G15" s="509">
        <v>224500608</v>
      </c>
      <c r="H15" s="655" t="s">
        <v>6217</v>
      </c>
      <c r="I15" s="724">
        <v>1</v>
      </c>
      <c r="J15" s="724">
        <v>1</v>
      </c>
      <c r="K15" s="655">
        <f>4+15+8+4+8+9+2+4+1+1+1+1+4+1+1+1+1+1+1</f>
        <v>68</v>
      </c>
      <c r="L15" s="655">
        <f>403.96+2050.5+1097.5+529+985.18+1512+135.7+303.5+6.02+5.3+109+67.5+195.5+1.08+0.9+0.6+2.94+3.26+6.02</f>
        <v>7415.4600000000009</v>
      </c>
      <c r="M15" s="511">
        <v>44939</v>
      </c>
      <c r="N15" s="511">
        <v>44940</v>
      </c>
      <c r="O15" s="511">
        <v>44946</v>
      </c>
      <c r="P15" s="511">
        <v>44976</v>
      </c>
      <c r="Q15" s="511">
        <v>44985</v>
      </c>
      <c r="R15" s="512" t="s">
        <v>6303</v>
      </c>
      <c r="S15" s="515" t="s">
        <v>3752</v>
      </c>
      <c r="T15" s="510" t="s">
        <v>5804</v>
      </c>
      <c r="U15" s="516" t="s">
        <v>3031</v>
      </c>
      <c r="V15" s="359">
        <v>44974</v>
      </c>
      <c r="W15" s="510"/>
      <c r="X15" s="510"/>
      <c r="Y15" s="511"/>
      <c r="Z15" s="510"/>
      <c r="AA15" s="510"/>
      <c r="AB15" s="510" t="s">
        <v>6327</v>
      </c>
      <c r="AC15" s="510" t="s">
        <v>6325</v>
      </c>
      <c r="AD15" s="511">
        <v>44981</v>
      </c>
      <c r="AE15" s="510">
        <v>7415.46</v>
      </c>
      <c r="AF15" s="655" t="s">
        <v>6030</v>
      </c>
      <c r="AG15" s="510" t="s">
        <v>3108</v>
      </c>
      <c r="AH15" s="517">
        <f>88842.43</f>
        <v>88842.43</v>
      </c>
      <c r="AI15" s="517">
        <f>4804.49</f>
        <v>4804.49</v>
      </c>
      <c r="AJ15" s="517">
        <v>1</v>
      </c>
      <c r="AK15" s="517">
        <f t="shared" si="15"/>
        <v>93647.92</v>
      </c>
      <c r="AL15" s="518">
        <f>5.133</f>
        <v>5.133</v>
      </c>
      <c r="AM15" s="519">
        <f t="shared" si="1"/>
        <v>480694.77335999999</v>
      </c>
      <c r="AN15" s="519">
        <v>0</v>
      </c>
      <c r="AO15" s="510">
        <v>12</v>
      </c>
      <c r="AP15" s="519">
        <v>21111.9</v>
      </c>
      <c r="AQ15" s="519">
        <v>27778.34</v>
      </c>
      <c r="AR15" s="519">
        <v>9576.58</v>
      </c>
      <c r="AS15" s="519">
        <v>44006.74</v>
      </c>
      <c r="AT15" s="519">
        <f>99692.33</f>
        <v>99692.33</v>
      </c>
      <c r="AU15" s="519">
        <v>1916.99</v>
      </c>
      <c r="AV15" s="519">
        <f>431.88</f>
        <v>431.88</v>
      </c>
      <c r="AW15" s="510" t="s">
        <v>3139</v>
      </c>
      <c r="AX15" s="520">
        <f t="shared" si="2"/>
        <v>44985</v>
      </c>
      <c r="AY15" s="510"/>
      <c r="AZ15" s="519">
        <f t="shared" si="3"/>
        <v>721042.16003999999</v>
      </c>
      <c r="BA15" s="521">
        <f t="shared" si="16"/>
        <v>2</v>
      </c>
      <c r="BB15" s="519">
        <f t="shared" si="5"/>
        <v>360521.08001999999</v>
      </c>
      <c r="BC15" s="519"/>
      <c r="BD15" s="519">
        <f t="shared" si="6"/>
        <v>20</v>
      </c>
      <c r="BE15" s="519"/>
      <c r="BF15" s="513" t="s">
        <v>1771</v>
      </c>
      <c r="BG15" s="514" t="s">
        <v>1771</v>
      </c>
      <c r="BH15" s="510" t="s">
        <v>1771</v>
      </c>
      <c r="BI15" s="522" t="str">
        <f>VLOOKUP(A15,[1]Analise!$A:$L,12,0)</f>
        <v>OK</v>
      </c>
    </row>
    <row r="16" spans="1:61" s="523" customFormat="1" ht="228">
      <c r="A16" s="538" t="s">
        <v>6212</v>
      </c>
      <c r="B16" s="655" t="s">
        <v>3042</v>
      </c>
      <c r="C16" s="655" t="s">
        <v>5694</v>
      </c>
      <c r="D16" s="508" t="s">
        <v>6219</v>
      </c>
      <c r="E16" s="505" t="s">
        <v>6216</v>
      </c>
      <c r="F16" s="505" t="s">
        <v>6215</v>
      </c>
      <c r="G16" s="509">
        <v>224500599</v>
      </c>
      <c r="H16" s="655" t="s">
        <v>6217</v>
      </c>
      <c r="I16" s="725"/>
      <c r="J16" s="725"/>
      <c r="K16" s="655">
        <f>1+2+4+1+1+1+1+4+2+2+1+1+1+1+1+1+1+2+2</f>
        <v>30</v>
      </c>
      <c r="L16" s="655">
        <f>2.1+113+232.6+2.05+2.07+61.8+61+231.4+112.2+112.4+2.06+2.1+2.11+2.05+2.06+2.06+2.06+112.8+122.8</f>
        <v>1180.7199999999998</v>
      </c>
      <c r="M16" s="511">
        <v>44939</v>
      </c>
      <c r="N16" s="511">
        <v>44940</v>
      </c>
      <c r="O16" s="511">
        <v>44946</v>
      </c>
      <c r="P16" s="511">
        <v>44976</v>
      </c>
      <c r="Q16" s="511">
        <v>44985</v>
      </c>
      <c r="R16" s="512" t="s">
        <v>6302</v>
      </c>
      <c r="S16" s="515" t="s">
        <v>3752</v>
      </c>
      <c r="T16" s="510" t="s">
        <v>5804</v>
      </c>
      <c r="U16" s="516" t="s">
        <v>3031</v>
      </c>
      <c r="V16" s="359">
        <v>44974</v>
      </c>
      <c r="W16" s="510"/>
      <c r="X16" s="510"/>
      <c r="Y16" s="511"/>
      <c r="Z16" s="510"/>
      <c r="AA16" s="510"/>
      <c r="AB16" s="510" t="s">
        <v>6328</v>
      </c>
      <c r="AC16" s="510" t="s">
        <v>6325</v>
      </c>
      <c r="AD16" s="511">
        <v>44981</v>
      </c>
      <c r="AE16" s="510">
        <v>1180.72</v>
      </c>
      <c r="AF16" s="655" t="s">
        <v>3460</v>
      </c>
      <c r="AG16" s="510" t="s">
        <v>3108</v>
      </c>
      <c r="AH16" s="517">
        <f>23578.86</f>
        <v>23578.86</v>
      </c>
      <c r="AI16" s="517">
        <f>744.51</f>
        <v>744.51</v>
      </c>
      <c r="AJ16" s="517">
        <v>1</v>
      </c>
      <c r="AK16" s="517">
        <f t="shared" si="15"/>
        <v>24324.37</v>
      </c>
      <c r="AL16" s="518">
        <f>5.133</f>
        <v>5.133</v>
      </c>
      <c r="AM16" s="519">
        <f t="shared" si="1"/>
        <v>124856.99120999999</v>
      </c>
      <c r="AN16" s="519">
        <v>0</v>
      </c>
      <c r="AO16" s="510">
        <v>3</v>
      </c>
      <c r="AP16" s="519">
        <f>11424.24</f>
        <v>11424.24</v>
      </c>
      <c r="AQ16" s="519">
        <v>11301.67</v>
      </c>
      <c r="AR16" s="519">
        <v>2541.64</v>
      </c>
      <c r="AS16" s="519">
        <v>12175.46</v>
      </c>
      <c r="AT16" s="519">
        <f>26336.69</f>
        <v>26336.69</v>
      </c>
      <c r="AU16" s="519">
        <f>431.92</f>
        <v>431.92</v>
      </c>
      <c r="AV16" s="519">
        <f>223.64</f>
        <v>223.64</v>
      </c>
      <c r="AW16" s="510" t="s">
        <v>3139</v>
      </c>
      <c r="AX16" s="520">
        <f t="shared" si="2"/>
        <v>44985</v>
      </c>
      <c r="AY16" s="510"/>
      <c r="AZ16" s="519">
        <f t="shared" si="3"/>
        <v>187285.48681499998</v>
      </c>
      <c r="BA16" s="521">
        <f t="shared" si="16"/>
        <v>0</v>
      </c>
      <c r="BB16" s="519" t="e">
        <f t="shared" si="5"/>
        <v>#DIV/0!</v>
      </c>
      <c r="BC16" s="519"/>
      <c r="BD16" s="519">
        <f t="shared" si="6"/>
        <v>-70</v>
      </c>
      <c r="BE16" s="519"/>
      <c r="BF16" s="513" t="s">
        <v>1771</v>
      </c>
      <c r="BG16" s="514" t="s">
        <v>1771</v>
      </c>
      <c r="BH16" s="510" t="s">
        <v>1771</v>
      </c>
      <c r="BI16" s="522" t="str">
        <f>VLOOKUP(A16,[1]Analise!$A:$L,12,0)</f>
        <v>OK</v>
      </c>
    </row>
    <row r="17" spans="1:61" s="523" customFormat="1" ht="144">
      <c r="A17" s="538" t="s">
        <v>6220</v>
      </c>
      <c r="B17" s="655" t="s">
        <v>3042</v>
      </c>
      <c r="C17" s="655" t="s">
        <v>5694</v>
      </c>
      <c r="D17" s="508" t="s">
        <v>6232</v>
      </c>
      <c r="E17" s="509" t="s">
        <v>6225</v>
      </c>
      <c r="F17" s="505" t="s">
        <v>6222</v>
      </c>
      <c r="G17" s="509">
        <v>224541512</v>
      </c>
      <c r="H17" s="655" t="s">
        <v>6265</v>
      </c>
      <c r="I17" s="724" t="s">
        <v>1771</v>
      </c>
      <c r="J17" s="727">
        <v>2</v>
      </c>
      <c r="K17" s="655">
        <f>15+15+15+15+2+4+7+3+1+2</f>
        <v>79</v>
      </c>
      <c r="L17" s="655">
        <f>2057+2030.5+1903+1901+48.92+553.5+1087.5+196.5+104+112.44</f>
        <v>9994.36</v>
      </c>
      <c r="M17" s="511">
        <v>44943</v>
      </c>
      <c r="N17" s="511">
        <v>44943</v>
      </c>
      <c r="O17" s="511"/>
      <c r="P17" s="511">
        <v>44990</v>
      </c>
      <c r="Q17" s="511">
        <v>44988</v>
      </c>
      <c r="R17" s="512" t="s">
        <v>6329</v>
      </c>
      <c r="S17" s="515" t="s">
        <v>3752</v>
      </c>
      <c r="T17" s="510" t="s">
        <v>5804</v>
      </c>
      <c r="U17" s="516" t="s">
        <v>3031</v>
      </c>
      <c r="V17" s="359">
        <v>44981</v>
      </c>
      <c r="W17" s="510" t="s">
        <v>3147</v>
      </c>
      <c r="X17" s="510" t="s">
        <v>3147</v>
      </c>
      <c r="Y17" s="511" t="s">
        <v>6322</v>
      </c>
      <c r="Z17" s="510" t="s">
        <v>3252</v>
      </c>
      <c r="AA17" s="510" t="s">
        <v>6323</v>
      </c>
      <c r="AB17" s="510"/>
      <c r="AC17" s="510"/>
      <c r="AD17" s="511"/>
      <c r="AE17" s="510"/>
      <c r="AF17" s="655" t="s">
        <v>6233</v>
      </c>
      <c r="AG17" s="510" t="s">
        <v>3108</v>
      </c>
      <c r="AH17" s="517">
        <f>117363.97</f>
        <v>117363.97</v>
      </c>
      <c r="AI17" s="517">
        <f>4632.77</f>
        <v>4632.7700000000004</v>
      </c>
      <c r="AJ17" s="517"/>
      <c r="AK17" s="517">
        <f t="shared" si="15"/>
        <v>121996.74</v>
      </c>
      <c r="AL17" s="518"/>
      <c r="AM17" s="519">
        <f t="shared" si="1"/>
        <v>0</v>
      </c>
      <c r="AN17" s="519"/>
      <c r="AO17" s="510"/>
      <c r="AP17" s="519"/>
      <c r="AQ17" s="519"/>
      <c r="AR17" s="519"/>
      <c r="AS17" s="519"/>
      <c r="AT17" s="519"/>
      <c r="AU17" s="519"/>
      <c r="AV17" s="519"/>
      <c r="AW17" s="510" t="s">
        <v>3139</v>
      </c>
      <c r="AX17" s="520">
        <f t="shared" si="2"/>
        <v>44988</v>
      </c>
      <c r="AY17" s="510"/>
      <c r="AZ17" s="519">
        <f t="shared" si="3"/>
        <v>0</v>
      </c>
      <c r="BA17" s="521">
        <f t="shared" ref="BA17:BA26" si="17">SUM(I17:J17)</f>
        <v>2</v>
      </c>
      <c r="BB17" s="519">
        <f t="shared" si="5"/>
        <v>0</v>
      </c>
      <c r="BC17" s="519"/>
      <c r="BD17" s="519">
        <f t="shared" si="6"/>
        <v>-100</v>
      </c>
      <c r="BE17" s="519"/>
      <c r="BF17" s="513" t="s">
        <v>1771</v>
      </c>
      <c r="BG17" s="514" t="s">
        <v>1771</v>
      </c>
      <c r="BH17" s="510" t="s">
        <v>1771</v>
      </c>
      <c r="BI17" s="522" t="str">
        <f>VLOOKUP(A17,[1]Analise!$A:$L,12,0)</f>
        <v>OK</v>
      </c>
    </row>
    <row r="18" spans="1:61" s="523" customFormat="1" ht="409.5">
      <c r="A18" s="538" t="s">
        <v>6221</v>
      </c>
      <c r="B18" s="655" t="s">
        <v>3042</v>
      </c>
      <c r="C18" s="655" t="s">
        <v>5694</v>
      </c>
      <c r="D18" s="508" t="s">
        <v>6237</v>
      </c>
      <c r="E18" s="509" t="s">
        <v>6224</v>
      </c>
      <c r="F18" s="505" t="s">
        <v>6223</v>
      </c>
      <c r="G18" s="509">
        <v>224541276</v>
      </c>
      <c r="H18" s="655" t="s">
        <v>6265</v>
      </c>
      <c r="I18" s="726"/>
      <c r="J18" s="726"/>
      <c r="K18" s="655">
        <f>14+2+1+2+1+1+1+1+1+1+8+1+1+1+1+1+1+1+2+1+1+1+1+1+1+2+1+1+4+8+1+1+2+1+1+1+1+1+1+1+1+1+8+1+1+2+1+1+1+1+1+1+2+2+1+1+1+1+1+1+1+1+1+1+1+1+1+2+2+1</f>
        <v>117</v>
      </c>
      <c r="L18" s="655">
        <f>730.42+9.07+5.18+8.97+5.17+5.1+6.39+19.53+2.7+6.08+29.24+6.77+49.94+6.51+25.17+2.7+6.75+3.07+2.83+6.5+49.44+25.13+19.47+6.79+51.07+2.77+3.05+5.97+232.4+29.25+62.8+6.47+112.2+1.97+6.49+24.67+6.79+3.1+1.97+19.42+6.48+24.71+29.13+5.97+62.8+2.8+6.49+49.45+6.77+3.1+19.46+6.48+2.82+111.6+24.63+5.96+2.1+2.08+2.12+2.11+2.12+61.4+61.8+2.12+2.2+2.22+2.15+107.75+25.01+1.91</f>
        <v>2255.0499999999993</v>
      </c>
      <c r="M18" s="511">
        <v>44943</v>
      </c>
      <c r="N18" s="511">
        <v>44943</v>
      </c>
      <c r="O18" s="511"/>
      <c r="P18" s="511">
        <v>44983</v>
      </c>
      <c r="Q18" s="511">
        <f t="shared" ref="Q18:Q22" si="18">P18+5</f>
        <v>44988</v>
      </c>
      <c r="R18" s="512" t="s">
        <v>6330</v>
      </c>
      <c r="S18" s="515" t="s">
        <v>3752</v>
      </c>
      <c r="T18" s="510" t="s">
        <v>5804</v>
      </c>
      <c r="U18" s="516" t="s">
        <v>3031</v>
      </c>
      <c r="V18" s="359">
        <v>44981</v>
      </c>
      <c r="W18" s="510" t="s">
        <v>3147</v>
      </c>
      <c r="X18" s="510" t="s">
        <v>3147</v>
      </c>
      <c r="Y18" s="511" t="s">
        <v>6322</v>
      </c>
      <c r="Z18" s="510" t="s">
        <v>3252</v>
      </c>
      <c r="AA18" s="510" t="s">
        <v>6323</v>
      </c>
      <c r="AB18" s="510" t="s">
        <v>6355</v>
      </c>
      <c r="AC18" s="510" t="s">
        <v>2146</v>
      </c>
      <c r="AD18" s="511">
        <v>44987</v>
      </c>
      <c r="AE18" s="515">
        <v>1594.2520400000001</v>
      </c>
      <c r="AF18" s="655" t="s">
        <v>3460</v>
      </c>
      <c r="AG18" s="510" t="s">
        <v>3108</v>
      </c>
      <c r="AH18" s="517">
        <v>358205.4</v>
      </c>
      <c r="AI18" s="517">
        <v>1001.42</v>
      </c>
      <c r="AJ18" s="517">
        <v>1</v>
      </c>
      <c r="AK18" s="517">
        <f t="shared" si="15"/>
        <v>359207.82</v>
      </c>
      <c r="AL18" s="518">
        <v>5.2069999999999999</v>
      </c>
      <c r="AM18" s="519">
        <f>AK18*AL18</f>
        <v>1870395.1187400001</v>
      </c>
      <c r="AN18" s="519">
        <v>0</v>
      </c>
      <c r="AO18" s="510">
        <v>16</v>
      </c>
      <c r="AP18" s="519">
        <v>176766.06</v>
      </c>
      <c r="AQ18" s="519">
        <v>199926.23</v>
      </c>
      <c r="AR18" s="519">
        <v>39278.28</v>
      </c>
      <c r="AS18" s="519">
        <v>181160.79</v>
      </c>
      <c r="AT18" s="519">
        <v>484110.36</v>
      </c>
      <c r="AU18" s="519">
        <v>436.27</v>
      </c>
      <c r="AV18" s="519">
        <v>493.56</v>
      </c>
      <c r="AW18" s="510" t="s">
        <v>3139</v>
      </c>
      <c r="AX18" s="520">
        <f t="shared" si="2"/>
        <v>44988</v>
      </c>
      <c r="AY18" s="510"/>
      <c r="AZ18" s="519">
        <f t="shared" si="3"/>
        <v>2805592.6781100002</v>
      </c>
      <c r="BA18" s="521">
        <f t="shared" si="17"/>
        <v>0</v>
      </c>
      <c r="BB18" s="519" t="e">
        <f t="shared" si="5"/>
        <v>#DIV/0!</v>
      </c>
      <c r="BC18" s="519"/>
      <c r="BD18" s="519">
        <f t="shared" si="6"/>
        <v>60</v>
      </c>
      <c r="BE18" s="519"/>
      <c r="BF18" s="513" t="s">
        <v>1771</v>
      </c>
      <c r="BG18" s="514" t="s">
        <v>1771</v>
      </c>
      <c r="BH18" s="510" t="s">
        <v>1771</v>
      </c>
      <c r="BI18" s="522" t="str">
        <f>VLOOKUP(A18,[1]Analise!$A:$L,12,0)</f>
        <v>OK</v>
      </c>
    </row>
    <row r="19" spans="1:61" s="523" customFormat="1" ht="132">
      <c r="A19" s="538" t="s">
        <v>6227</v>
      </c>
      <c r="B19" s="655" t="s">
        <v>3042</v>
      </c>
      <c r="C19" s="655" t="s">
        <v>5694</v>
      </c>
      <c r="D19" s="508" t="s">
        <v>6234</v>
      </c>
      <c r="E19" s="505" t="s">
        <v>6229</v>
      </c>
      <c r="F19" s="505" t="s">
        <v>6228</v>
      </c>
      <c r="G19" s="509">
        <v>224534551</v>
      </c>
      <c r="H19" s="655" t="s">
        <v>6265</v>
      </c>
      <c r="I19" s="727" t="s">
        <v>1771</v>
      </c>
      <c r="J19" s="727">
        <v>1</v>
      </c>
      <c r="K19" s="655">
        <f>15+15+8</f>
        <v>38</v>
      </c>
      <c r="L19" s="655">
        <f>1909+1900+553.5</f>
        <v>4362.5</v>
      </c>
      <c r="M19" s="511">
        <v>44943</v>
      </c>
      <c r="N19" s="511">
        <v>44942</v>
      </c>
      <c r="O19" s="511">
        <v>44953</v>
      </c>
      <c r="P19" s="511">
        <v>44983</v>
      </c>
      <c r="Q19" s="511">
        <f t="shared" si="18"/>
        <v>44988</v>
      </c>
      <c r="R19" s="512" t="s">
        <v>6331</v>
      </c>
      <c r="S19" s="515" t="s">
        <v>3752</v>
      </c>
      <c r="T19" s="510" t="s">
        <v>5804</v>
      </c>
      <c r="U19" s="516" t="s">
        <v>3031</v>
      </c>
      <c r="V19" s="359">
        <v>44978</v>
      </c>
      <c r="W19" s="510" t="s">
        <v>3147</v>
      </c>
      <c r="X19" s="510" t="s">
        <v>3147</v>
      </c>
      <c r="Y19" s="511" t="s">
        <v>6322</v>
      </c>
      <c r="Z19" s="510" t="s">
        <v>3252</v>
      </c>
      <c r="AA19" s="510" t="s">
        <v>6323</v>
      </c>
      <c r="AB19" s="510" t="s">
        <v>6354</v>
      </c>
      <c r="AC19" s="510" t="s">
        <v>2146</v>
      </c>
      <c r="AD19" s="511">
        <v>44987</v>
      </c>
      <c r="AE19" s="515">
        <v>3860.5</v>
      </c>
      <c r="AF19" s="655" t="s">
        <v>6235</v>
      </c>
      <c r="AG19" s="510" t="s">
        <v>3108</v>
      </c>
      <c r="AH19" s="517">
        <v>61623.49</v>
      </c>
      <c r="AI19" s="517">
        <v>2757.96</v>
      </c>
      <c r="AJ19" s="517">
        <v>1</v>
      </c>
      <c r="AK19" s="517">
        <f t="shared" si="15"/>
        <v>64382.45</v>
      </c>
      <c r="AL19" s="518">
        <v>5.2069999999999999</v>
      </c>
      <c r="AM19" s="519">
        <f>AK19*AL19</f>
        <v>335239.41714999999</v>
      </c>
      <c r="AN19" s="519">
        <v>0</v>
      </c>
      <c r="AO19" s="510">
        <v>2</v>
      </c>
      <c r="AP19" s="519">
        <v>1006.41</v>
      </c>
      <c r="AQ19" s="519">
        <v>25883.599999999999</v>
      </c>
      <c r="AR19" s="519">
        <v>7040.02</v>
      </c>
      <c r="AS19" s="519">
        <v>32350.6</v>
      </c>
      <c r="AT19" s="519">
        <v>82755.13</v>
      </c>
      <c r="AU19" s="519">
        <v>1166.42</v>
      </c>
      <c r="AV19" s="519">
        <v>192.79</v>
      </c>
      <c r="AW19" s="510" t="s">
        <v>3139</v>
      </c>
      <c r="AX19" s="520">
        <f t="shared" si="2"/>
        <v>44988</v>
      </c>
      <c r="AY19" s="510"/>
      <c r="AZ19" s="519">
        <f t="shared" si="3"/>
        <v>502859.12572499999</v>
      </c>
      <c r="BA19" s="521">
        <f t="shared" si="17"/>
        <v>1</v>
      </c>
      <c r="BB19" s="519">
        <f t="shared" si="5"/>
        <v>502859.12572499999</v>
      </c>
      <c r="BC19" s="519"/>
      <c r="BD19" s="519">
        <f t="shared" si="6"/>
        <v>-80</v>
      </c>
      <c r="BE19" s="519"/>
      <c r="BF19" s="513" t="s">
        <v>1771</v>
      </c>
      <c r="BG19" s="514" t="s">
        <v>1771</v>
      </c>
      <c r="BH19" s="510" t="s">
        <v>1771</v>
      </c>
      <c r="BI19" s="522" t="str">
        <f>VLOOKUP(A19,[1]Analise!$A:$L,12,0)</f>
        <v>OK</v>
      </c>
    </row>
    <row r="20" spans="1:61" s="523" customFormat="1" ht="132">
      <c r="A20" s="538" t="s">
        <v>6226</v>
      </c>
      <c r="B20" s="655" t="s">
        <v>3042</v>
      </c>
      <c r="C20" s="655" t="s">
        <v>5694</v>
      </c>
      <c r="D20" s="508" t="s">
        <v>6236</v>
      </c>
      <c r="E20" s="505" t="s">
        <v>6231</v>
      </c>
      <c r="F20" s="505" t="s">
        <v>6230</v>
      </c>
      <c r="G20" s="509">
        <v>224534488</v>
      </c>
      <c r="H20" s="655" t="s">
        <v>6265</v>
      </c>
      <c r="I20" s="728"/>
      <c r="J20" s="728"/>
      <c r="K20" s="655">
        <f>2+2+1+8+1+1+1+1+1</f>
        <v>18</v>
      </c>
      <c r="L20" s="655">
        <f>9.01+2.78+3.07+29.31+19.55+6.51+6.09+2.12+2.12</f>
        <v>80.560000000000016</v>
      </c>
      <c r="M20" s="511">
        <v>44943</v>
      </c>
      <c r="N20" s="511">
        <v>44942</v>
      </c>
      <c r="O20" s="511">
        <v>44953</v>
      </c>
      <c r="P20" s="511">
        <v>44983</v>
      </c>
      <c r="Q20" s="511">
        <f t="shared" si="18"/>
        <v>44988</v>
      </c>
      <c r="R20" s="512" t="s">
        <v>6332</v>
      </c>
      <c r="S20" s="515" t="s">
        <v>3752</v>
      </c>
      <c r="T20" s="510" t="s">
        <v>5804</v>
      </c>
      <c r="U20" s="516" t="s">
        <v>3031</v>
      </c>
      <c r="V20" s="359">
        <v>44978</v>
      </c>
      <c r="W20" s="510" t="s">
        <v>3147</v>
      </c>
      <c r="X20" s="510" t="s">
        <v>3147</v>
      </c>
      <c r="Y20" s="511" t="s">
        <v>6322</v>
      </c>
      <c r="Z20" s="510" t="s">
        <v>3252</v>
      </c>
      <c r="AA20" s="510" t="s">
        <v>6323</v>
      </c>
      <c r="AB20" s="510"/>
      <c r="AC20" s="510"/>
      <c r="AD20" s="511"/>
      <c r="AE20" s="510"/>
      <c r="AF20" s="655" t="s">
        <v>3460</v>
      </c>
      <c r="AG20" s="510" t="s">
        <v>3108</v>
      </c>
      <c r="AH20" s="517">
        <f>4308.8</f>
        <v>4308.8</v>
      </c>
      <c r="AI20" s="517">
        <f>40.47</f>
        <v>40.47</v>
      </c>
      <c r="AK20" s="517">
        <f>SUM(AH20:AI20)</f>
        <v>4349.2700000000004</v>
      </c>
      <c r="AL20" s="518"/>
      <c r="AM20" s="519">
        <f t="shared" si="1"/>
        <v>0</v>
      </c>
      <c r="AN20" s="519"/>
      <c r="AO20" s="510"/>
      <c r="AP20" s="519"/>
      <c r="AQ20" s="519"/>
      <c r="AR20" s="519"/>
      <c r="AS20" s="519"/>
      <c r="AT20" s="519"/>
      <c r="AU20" s="519"/>
      <c r="AV20" s="519"/>
      <c r="AW20" s="510" t="s">
        <v>3139</v>
      </c>
      <c r="AX20" s="520">
        <f t="shared" si="2"/>
        <v>44988</v>
      </c>
      <c r="AY20" s="510"/>
      <c r="AZ20" s="519">
        <f t="shared" si="3"/>
        <v>0</v>
      </c>
      <c r="BA20" s="521">
        <f t="shared" si="17"/>
        <v>0</v>
      </c>
      <c r="BB20" s="519" t="e">
        <f t="shared" si="5"/>
        <v>#DIV/0!</v>
      </c>
      <c r="BC20" s="519"/>
      <c r="BD20" s="519">
        <f t="shared" si="6"/>
        <v>-100</v>
      </c>
      <c r="BE20" s="519"/>
      <c r="BF20" s="513" t="s">
        <v>1771</v>
      </c>
      <c r="BG20" s="514" t="s">
        <v>1771</v>
      </c>
      <c r="BH20" s="510" t="s">
        <v>1771</v>
      </c>
      <c r="BI20" s="522" t="str">
        <f>VLOOKUP(A20,[1]Analise!$A:$L,12,0)</f>
        <v>OK</v>
      </c>
    </row>
    <row r="21" spans="1:61" s="523" customFormat="1" ht="132">
      <c r="A21" s="538" t="s">
        <v>6243</v>
      </c>
      <c r="B21" s="655" t="s">
        <v>3042</v>
      </c>
      <c r="C21" s="655" t="s">
        <v>5694</v>
      </c>
      <c r="D21" s="508" t="s">
        <v>6244</v>
      </c>
      <c r="E21" s="505" t="s">
        <v>6239</v>
      </c>
      <c r="F21" s="505" t="s">
        <v>6241</v>
      </c>
      <c r="G21" s="509">
        <v>224534381</v>
      </c>
      <c r="H21" s="655" t="s">
        <v>6265</v>
      </c>
      <c r="I21" s="727" t="s">
        <v>1771</v>
      </c>
      <c r="J21" s="727">
        <v>2</v>
      </c>
      <c r="K21" s="655">
        <f>10+11+10+15+15+15+5+4+5+3</f>
        <v>93</v>
      </c>
      <c r="L21" s="655">
        <f>1299+1219.38+1201.5+2071.5+1900.5+2060+910.5+653+710.5+139.78</f>
        <v>12165.660000000002</v>
      </c>
      <c r="M21" s="511">
        <v>44943</v>
      </c>
      <c r="N21" s="511">
        <v>44942</v>
      </c>
      <c r="O21" s="511"/>
      <c r="P21" s="511">
        <v>44983</v>
      </c>
      <c r="Q21" s="511">
        <f t="shared" si="18"/>
        <v>44988</v>
      </c>
      <c r="R21" s="512" t="s">
        <v>6333</v>
      </c>
      <c r="S21" s="515" t="s">
        <v>3752</v>
      </c>
      <c r="T21" s="510" t="s">
        <v>5804</v>
      </c>
      <c r="U21" s="516" t="s">
        <v>3031</v>
      </c>
      <c r="V21" s="359">
        <v>44981</v>
      </c>
      <c r="W21" s="510" t="s">
        <v>3147</v>
      </c>
      <c r="X21" s="510" t="s">
        <v>3147</v>
      </c>
      <c r="Y21" s="511" t="s">
        <v>6322</v>
      </c>
      <c r="Z21" s="510" t="s">
        <v>3252</v>
      </c>
      <c r="AA21" s="510" t="s">
        <v>6323</v>
      </c>
      <c r="AB21" s="510"/>
      <c r="AC21" s="510"/>
      <c r="AD21" s="511"/>
      <c r="AE21" s="510"/>
      <c r="AF21" s="655" t="s">
        <v>6030</v>
      </c>
      <c r="AG21" s="510" t="s">
        <v>3108</v>
      </c>
      <c r="AH21" s="517">
        <f>135582.48</f>
        <v>135582.48000000001</v>
      </c>
      <c r="AI21" s="517">
        <f>4632.77</f>
        <v>4632.7700000000004</v>
      </c>
      <c r="AJ21" s="517"/>
      <c r="AK21" s="517">
        <f>SUM(AH21:AJ21)</f>
        <v>140215.25</v>
      </c>
      <c r="AL21" s="518"/>
      <c r="AM21" s="519">
        <f>AK21*AL21</f>
        <v>0</v>
      </c>
      <c r="AN21" s="519"/>
      <c r="AO21" s="510"/>
      <c r="AP21" s="519"/>
      <c r="AQ21" s="519"/>
      <c r="AR21" s="519"/>
      <c r="AS21" s="519"/>
      <c r="AT21" s="519"/>
      <c r="AU21" s="519"/>
      <c r="AV21" s="519"/>
      <c r="AW21" s="510" t="s">
        <v>3139</v>
      </c>
      <c r="AX21" s="520">
        <f>Q21</f>
        <v>44988</v>
      </c>
      <c r="AY21" s="510"/>
      <c r="AZ21" s="519">
        <f>(AM21*50%)+AM21</f>
        <v>0</v>
      </c>
      <c r="BA21" s="521">
        <f>SUM(I21:J21)</f>
        <v>2</v>
      </c>
      <c r="BB21" s="519">
        <f>AZ21/BA21</f>
        <v>0</v>
      </c>
      <c r="BC21" s="519"/>
      <c r="BD21" s="519">
        <f>(AO21-10)*10</f>
        <v>-100</v>
      </c>
      <c r="BE21" s="519"/>
      <c r="BF21" s="513" t="s">
        <v>1771</v>
      </c>
      <c r="BG21" s="514" t="s">
        <v>1771</v>
      </c>
      <c r="BH21" s="510" t="s">
        <v>1771</v>
      </c>
      <c r="BI21" s="522" t="str">
        <f>VLOOKUP(A21,[1]Analise!$A:$L,12,0)</f>
        <v>OK</v>
      </c>
    </row>
    <row r="22" spans="1:61" s="523" customFormat="1" ht="156">
      <c r="A22" s="538" t="s">
        <v>6242</v>
      </c>
      <c r="B22" s="655" t="s">
        <v>3042</v>
      </c>
      <c r="C22" s="655" t="s">
        <v>5694</v>
      </c>
      <c r="D22" s="508" t="s">
        <v>6237</v>
      </c>
      <c r="E22" s="505" t="s">
        <v>6238</v>
      </c>
      <c r="F22" s="505" t="s">
        <v>6240</v>
      </c>
      <c r="G22" s="509">
        <v>914808704</v>
      </c>
      <c r="H22" s="655" t="s">
        <v>6265</v>
      </c>
      <c r="I22" s="728"/>
      <c r="J22" s="728"/>
      <c r="K22" s="655">
        <f>2+1+2+1+1+1+1+1+1+1+4+1+1</f>
        <v>18</v>
      </c>
      <c r="L22" s="655">
        <f>9.05+5.19+9+5.15+62.6+62.4+2.11+2.11+2.12+2.12+232.2+63.2+3.64</f>
        <v>460.89000000000004</v>
      </c>
      <c r="M22" s="511">
        <v>44943</v>
      </c>
      <c r="N22" s="511">
        <v>44942</v>
      </c>
      <c r="O22" s="511"/>
      <c r="P22" s="511">
        <v>44983</v>
      </c>
      <c r="Q22" s="511">
        <f t="shared" si="18"/>
        <v>44988</v>
      </c>
      <c r="R22" s="512" t="s">
        <v>6334</v>
      </c>
      <c r="S22" s="515" t="s">
        <v>3752</v>
      </c>
      <c r="T22" s="510" t="s">
        <v>5804</v>
      </c>
      <c r="U22" s="516" t="s">
        <v>3031</v>
      </c>
      <c r="V22" s="359">
        <v>44981</v>
      </c>
      <c r="W22" s="510" t="s">
        <v>3147</v>
      </c>
      <c r="X22" s="510" t="s">
        <v>3147</v>
      </c>
      <c r="Y22" s="511" t="s">
        <v>6322</v>
      </c>
      <c r="Z22" s="510" t="s">
        <v>3252</v>
      </c>
      <c r="AA22" s="510" t="s">
        <v>6323</v>
      </c>
      <c r="AB22" s="510"/>
      <c r="AC22" s="510"/>
      <c r="AD22" s="511"/>
      <c r="AE22" s="510"/>
      <c r="AF22" s="655" t="s">
        <v>3460</v>
      </c>
      <c r="AG22" s="510" t="s">
        <v>3108</v>
      </c>
      <c r="AH22" s="517">
        <f>9605.17</f>
        <v>9605.17</v>
      </c>
      <c r="AI22" s="517">
        <f>957.23</f>
        <v>957.23</v>
      </c>
      <c r="AJ22" s="517"/>
      <c r="AK22" s="517">
        <f t="shared" si="15"/>
        <v>10562.4</v>
      </c>
      <c r="AL22" s="518"/>
      <c r="AM22" s="519">
        <f t="shared" si="1"/>
        <v>0</v>
      </c>
      <c r="AN22" s="519"/>
      <c r="AO22" s="510"/>
      <c r="AP22" s="519"/>
      <c r="AQ22" s="519"/>
      <c r="AR22" s="519"/>
      <c r="AS22" s="519"/>
      <c r="AT22" s="519"/>
      <c r="AU22" s="519"/>
      <c r="AV22" s="519"/>
      <c r="AW22" s="510" t="s">
        <v>3139</v>
      </c>
      <c r="AX22" s="520">
        <f t="shared" si="2"/>
        <v>44988</v>
      </c>
      <c r="AY22" s="510"/>
      <c r="AZ22" s="519">
        <f t="shared" si="3"/>
        <v>0</v>
      </c>
      <c r="BA22" s="521">
        <f t="shared" si="17"/>
        <v>0</v>
      </c>
      <c r="BB22" s="519" t="e">
        <f t="shared" si="5"/>
        <v>#DIV/0!</v>
      </c>
      <c r="BC22" s="519"/>
      <c r="BD22" s="519">
        <f t="shared" si="6"/>
        <v>-100</v>
      </c>
      <c r="BE22" s="519"/>
      <c r="BF22" s="513" t="s">
        <v>1771</v>
      </c>
      <c r="BG22" s="514" t="s">
        <v>1771</v>
      </c>
      <c r="BH22" s="510" t="s">
        <v>1771</v>
      </c>
      <c r="BI22" s="522" t="str">
        <f>VLOOKUP(A22,[1]Analise!$A:$L,12,0)</f>
        <v>OK</v>
      </c>
    </row>
    <row r="23" spans="1:61" s="523" customFormat="1" ht="132">
      <c r="A23" s="538" t="s">
        <v>6247</v>
      </c>
      <c r="B23" s="655" t="s">
        <v>3042</v>
      </c>
      <c r="C23" s="655" t="s">
        <v>5694</v>
      </c>
      <c r="D23" s="508" t="s">
        <v>6253</v>
      </c>
      <c r="E23" s="505" t="s">
        <v>6252</v>
      </c>
      <c r="F23" s="505" t="s">
        <v>6249</v>
      </c>
      <c r="G23" s="509">
        <v>224585100</v>
      </c>
      <c r="H23" s="655" t="s">
        <v>6265</v>
      </c>
      <c r="I23" s="724" t="s">
        <v>1771</v>
      </c>
      <c r="J23" s="724">
        <v>1</v>
      </c>
      <c r="K23" s="655">
        <f>15+15+13+1</f>
        <v>44</v>
      </c>
      <c r="L23" s="655">
        <f>1908+2016.5+1679.5+40.76</f>
        <v>5644.76</v>
      </c>
      <c r="M23" s="511">
        <v>44944</v>
      </c>
      <c r="N23" s="511">
        <v>44944</v>
      </c>
      <c r="O23" s="511">
        <v>44951</v>
      </c>
      <c r="P23" s="511">
        <v>44983</v>
      </c>
      <c r="Q23" s="511">
        <v>44991</v>
      </c>
      <c r="R23" s="512" t="s">
        <v>6335</v>
      </c>
      <c r="S23" s="515" t="s">
        <v>3752</v>
      </c>
      <c r="T23" s="510" t="s">
        <v>5804</v>
      </c>
      <c r="U23" s="516" t="s">
        <v>3031</v>
      </c>
      <c r="V23" s="359">
        <v>44981</v>
      </c>
      <c r="W23" s="510" t="s">
        <v>3147</v>
      </c>
      <c r="X23" s="510" t="s">
        <v>3147</v>
      </c>
      <c r="Y23" s="511" t="s">
        <v>6322</v>
      </c>
      <c r="Z23" s="510" t="s">
        <v>3252</v>
      </c>
      <c r="AA23" s="510" t="s">
        <v>6323</v>
      </c>
      <c r="AB23" s="510"/>
      <c r="AC23" s="510"/>
      <c r="AD23" s="511"/>
      <c r="AE23" s="510"/>
      <c r="AF23" s="655" t="s">
        <v>6254</v>
      </c>
      <c r="AG23" s="510" t="s">
        <v>3108</v>
      </c>
      <c r="AH23" s="517">
        <f>59141.43</f>
        <v>59141.43</v>
      </c>
      <c r="AI23" s="517">
        <f>2633.11</f>
        <v>2633.11</v>
      </c>
      <c r="AJ23" s="517"/>
      <c r="AK23" s="517">
        <f t="shared" si="15"/>
        <v>61774.54</v>
      </c>
      <c r="AL23" s="518"/>
      <c r="AM23" s="519">
        <f t="shared" si="1"/>
        <v>0</v>
      </c>
      <c r="AN23" s="519"/>
      <c r="AO23" s="510"/>
      <c r="AP23" s="519"/>
      <c r="AQ23" s="519"/>
      <c r="AR23" s="519"/>
      <c r="AS23" s="519"/>
      <c r="AT23" s="519"/>
      <c r="AU23" s="519"/>
      <c r="AV23" s="519"/>
      <c r="AW23" s="510" t="s">
        <v>3139</v>
      </c>
      <c r="AX23" s="520">
        <f t="shared" si="2"/>
        <v>44991</v>
      </c>
      <c r="AY23" s="510"/>
      <c r="AZ23" s="519">
        <f t="shared" si="3"/>
        <v>0</v>
      </c>
      <c r="BA23" s="521">
        <f t="shared" si="17"/>
        <v>1</v>
      </c>
      <c r="BB23" s="519">
        <f t="shared" si="5"/>
        <v>0</v>
      </c>
      <c r="BC23" s="519"/>
      <c r="BD23" s="519">
        <f t="shared" si="6"/>
        <v>-100</v>
      </c>
      <c r="BE23" s="519"/>
      <c r="BF23" s="513" t="s">
        <v>1771</v>
      </c>
      <c r="BG23" s="514" t="s">
        <v>1771</v>
      </c>
      <c r="BH23" s="510" t="s">
        <v>1771</v>
      </c>
      <c r="BI23" s="522" t="str">
        <f>VLOOKUP(A23,[1]Analise!$A:$L,12,0)</f>
        <v>OK</v>
      </c>
    </row>
    <row r="24" spans="1:61" s="523" customFormat="1" ht="132">
      <c r="A24" s="538" t="s">
        <v>6248</v>
      </c>
      <c r="B24" s="655" t="s">
        <v>3042</v>
      </c>
      <c r="C24" s="655" t="s">
        <v>5694</v>
      </c>
      <c r="D24" s="508" t="s">
        <v>6255</v>
      </c>
      <c r="E24" s="505" t="s">
        <v>6251</v>
      </c>
      <c r="F24" s="505" t="s">
        <v>6250</v>
      </c>
      <c r="G24" s="509">
        <v>224585115</v>
      </c>
      <c r="H24" s="655" t="s">
        <v>6265</v>
      </c>
      <c r="I24" s="725"/>
      <c r="J24" s="725"/>
      <c r="K24" s="655">
        <f>8+1+2+8+1+4+8+2+1+1+1</f>
        <v>37</v>
      </c>
      <c r="L24" s="655">
        <f>29.17+2.52+2.84+29.2+2.51+236.8+29.12+2.87+2.51+56.8+36.2</f>
        <v>430.54</v>
      </c>
      <c r="M24" s="511">
        <v>44944</v>
      </c>
      <c r="N24" s="511">
        <v>44944</v>
      </c>
      <c r="O24" s="511">
        <v>44951</v>
      </c>
      <c r="P24" s="511">
        <v>44983</v>
      </c>
      <c r="Q24" s="511">
        <v>44991</v>
      </c>
      <c r="R24" s="512" t="s">
        <v>6336</v>
      </c>
      <c r="S24" s="515" t="s">
        <v>3752</v>
      </c>
      <c r="T24" s="510" t="s">
        <v>5804</v>
      </c>
      <c r="U24" s="516" t="s">
        <v>3031</v>
      </c>
      <c r="V24" s="359">
        <v>44981</v>
      </c>
      <c r="W24" s="510" t="s">
        <v>3147</v>
      </c>
      <c r="X24" s="510" t="s">
        <v>3147</v>
      </c>
      <c r="Y24" s="511" t="s">
        <v>6322</v>
      </c>
      <c r="Z24" s="510" t="s">
        <v>3252</v>
      </c>
      <c r="AA24" s="510" t="s">
        <v>6323</v>
      </c>
      <c r="AB24" s="510"/>
      <c r="AC24" s="510"/>
      <c r="AD24" s="511"/>
      <c r="AE24" s="510"/>
      <c r="AF24" s="655" t="s">
        <v>3460</v>
      </c>
      <c r="AG24" s="510" t="s">
        <v>3108</v>
      </c>
      <c r="AH24" s="517">
        <f>6824.62</f>
        <v>6824.62</v>
      </c>
      <c r="AI24" s="517">
        <f>161.89</f>
        <v>161.88999999999999</v>
      </c>
      <c r="AJ24" s="517"/>
      <c r="AK24" s="517">
        <f t="shared" si="15"/>
        <v>6986.51</v>
      </c>
      <c r="AL24" s="518"/>
      <c r="AM24" s="519">
        <f t="shared" si="1"/>
        <v>0</v>
      </c>
      <c r="AN24" s="519"/>
      <c r="AO24" s="510"/>
      <c r="AP24" s="519"/>
      <c r="AQ24" s="519"/>
      <c r="AR24" s="519"/>
      <c r="AS24" s="519"/>
      <c r="AT24" s="519"/>
      <c r="AU24" s="519"/>
      <c r="AV24" s="519"/>
      <c r="AW24" s="510" t="s">
        <v>3139</v>
      </c>
      <c r="AX24" s="520">
        <f t="shared" si="2"/>
        <v>44991</v>
      </c>
      <c r="AY24" s="510"/>
      <c r="AZ24" s="519">
        <f t="shared" si="3"/>
        <v>0</v>
      </c>
      <c r="BA24" s="521">
        <f t="shared" si="17"/>
        <v>0</v>
      </c>
      <c r="BB24" s="519" t="e">
        <f t="shared" si="5"/>
        <v>#DIV/0!</v>
      </c>
      <c r="BC24" s="519"/>
      <c r="BD24" s="519">
        <f t="shared" si="6"/>
        <v>-100</v>
      </c>
      <c r="BE24" s="519"/>
      <c r="BF24" s="513" t="s">
        <v>1771</v>
      </c>
      <c r="BG24" s="514" t="s">
        <v>1771</v>
      </c>
      <c r="BH24" s="510" t="s">
        <v>1771</v>
      </c>
      <c r="BI24" s="522" t="str">
        <f>VLOOKUP(A24,[1]Analise!$A:$L,12,0)</f>
        <v>OK</v>
      </c>
    </row>
    <row r="25" spans="1:61" s="523" customFormat="1" ht="409.5">
      <c r="A25" s="538" t="s">
        <v>6259</v>
      </c>
      <c r="B25" s="655" t="s">
        <v>3042</v>
      </c>
      <c r="C25" s="655" t="s">
        <v>5694</v>
      </c>
      <c r="D25" s="508" t="s">
        <v>6266</v>
      </c>
      <c r="E25" s="505" t="s">
        <v>6261</v>
      </c>
      <c r="F25" s="505" t="s">
        <v>6260</v>
      </c>
      <c r="G25" s="509">
        <v>224623092</v>
      </c>
      <c r="H25" s="655" t="s">
        <v>6265</v>
      </c>
      <c r="I25" s="724" t="s">
        <v>1771</v>
      </c>
      <c r="J25" s="724">
        <v>1</v>
      </c>
      <c r="K25" s="655">
        <f>16+1+1+1+1+1+1+1+1+1+1+1+1+1+1+1+4+1+1+1+1+1+1+1+1+1+1+1+1+1+1+2+1+1+1+1+1+1+1+1+1+1+1+1+1+1+2+1+1+1+1+1+1+8+1+1+1+1+1+1+5+1+2+2+1+2</f>
        <v>100</v>
      </c>
      <c r="L25" s="655">
        <f>628.2+11.27+22.98+11.27+23.17+11.3+11.28+63.8+59.8+11.3+23.04+11.34+22.92+11.33+11.3+59+232.2+11.25+23.08+11.32+49.35+6.42+6.47+25.1+19+11.29+49.35+2.95+6.02+11.3+6.75+110.8+6.28+23.09+6.04+11.37+3.01+11.26+6.3+18.97+22.97+24.89+49.43+6.75+6.41+49.42+2.71+3.02+5.89+11.31+6.52+19+24.4+28.66+22.97+6.8+1.91+6.41+61.6+2.96+19.5+3.49+1.94+10.1+1.7+7.23</f>
        <v>2070.2599999999993</v>
      </c>
      <c r="M25" s="511">
        <v>44945</v>
      </c>
      <c r="N25" s="511">
        <v>44946</v>
      </c>
      <c r="O25" s="511">
        <v>44953</v>
      </c>
      <c r="P25" s="511">
        <v>44983</v>
      </c>
      <c r="Q25" s="511">
        <v>44991</v>
      </c>
      <c r="R25" s="512" t="s">
        <v>6337</v>
      </c>
      <c r="S25" s="515" t="s">
        <v>3752</v>
      </c>
      <c r="T25" s="510" t="s">
        <v>5804</v>
      </c>
      <c r="U25" s="516" t="s">
        <v>3031</v>
      </c>
      <c r="V25" s="359">
        <v>44981</v>
      </c>
      <c r="W25" s="510" t="s">
        <v>3147</v>
      </c>
      <c r="X25" s="510" t="s">
        <v>3147</v>
      </c>
      <c r="Y25" s="511" t="s">
        <v>6322</v>
      </c>
      <c r="Z25" s="510" t="s">
        <v>3252</v>
      </c>
      <c r="AA25" s="510" t="s">
        <v>6323</v>
      </c>
      <c r="AB25" s="510"/>
      <c r="AC25" s="510"/>
      <c r="AD25" s="511"/>
      <c r="AE25" s="510"/>
      <c r="AF25" s="655" t="s">
        <v>3460</v>
      </c>
      <c r="AG25" s="510" t="s">
        <v>3108</v>
      </c>
      <c r="AH25" s="517">
        <f>241234.37</f>
        <v>241234.37</v>
      </c>
      <c r="AI25" s="517">
        <f>933.48</f>
        <v>933.48</v>
      </c>
      <c r="AJ25" s="517"/>
      <c r="AK25" s="517">
        <f t="shared" si="15"/>
        <v>242167.85</v>
      </c>
      <c r="AL25" s="518"/>
      <c r="AM25" s="519">
        <f t="shared" si="1"/>
        <v>0</v>
      </c>
      <c r="AN25" s="519"/>
      <c r="AO25" s="510"/>
      <c r="AP25" s="519"/>
      <c r="AQ25" s="519"/>
      <c r="AR25" s="519"/>
      <c r="AS25" s="519"/>
      <c r="AT25" s="519"/>
      <c r="AU25" s="519"/>
      <c r="AV25" s="519"/>
      <c r="AW25" s="510" t="s">
        <v>3139</v>
      </c>
      <c r="AX25" s="520">
        <f t="shared" si="2"/>
        <v>44991</v>
      </c>
      <c r="AY25" s="510"/>
      <c r="AZ25" s="519">
        <f t="shared" si="3"/>
        <v>0</v>
      </c>
      <c r="BA25" s="521">
        <f t="shared" si="17"/>
        <v>1</v>
      </c>
      <c r="BB25" s="519">
        <f t="shared" si="5"/>
        <v>0</v>
      </c>
      <c r="BC25" s="519"/>
      <c r="BD25" s="519">
        <f t="shared" si="6"/>
        <v>-100</v>
      </c>
      <c r="BE25" s="519"/>
      <c r="BF25" s="513" t="s">
        <v>1771</v>
      </c>
      <c r="BG25" s="514" t="s">
        <v>1771</v>
      </c>
      <c r="BH25" s="510" t="s">
        <v>1771</v>
      </c>
      <c r="BI25" s="522" t="str">
        <f>VLOOKUP(A25,[1]Analise!$A:$L,12,0)</f>
        <v>OK</v>
      </c>
    </row>
    <row r="26" spans="1:61" s="523" customFormat="1" ht="132">
      <c r="A26" s="538" t="s">
        <v>6264</v>
      </c>
      <c r="B26" s="655" t="s">
        <v>3042</v>
      </c>
      <c r="C26" s="655" t="s">
        <v>5694</v>
      </c>
      <c r="D26" s="508" t="s">
        <v>6267</v>
      </c>
      <c r="E26" s="505" t="s">
        <v>6263</v>
      </c>
      <c r="F26" s="505" t="s">
        <v>6262</v>
      </c>
      <c r="G26" s="509">
        <v>224623147</v>
      </c>
      <c r="H26" s="655" t="s">
        <v>6265</v>
      </c>
      <c r="I26" s="725"/>
      <c r="J26" s="725"/>
      <c r="K26" s="655">
        <f>13+3+5+5+3</f>
        <v>29</v>
      </c>
      <c r="L26" s="655">
        <f>1589+423.5+927+939.5+477.5</f>
        <v>4356.5</v>
      </c>
      <c r="M26" s="511">
        <v>44945</v>
      </c>
      <c r="N26" s="511">
        <v>44946</v>
      </c>
      <c r="O26" s="511">
        <v>44953</v>
      </c>
      <c r="P26" s="511">
        <v>44983</v>
      </c>
      <c r="Q26" s="511">
        <v>44991</v>
      </c>
      <c r="R26" s="512" t="s">
        <v>6369</v>
      </c>
      <c r="S26" s="515" t="s">
        <v>3752</v>
      </c>
      <c r="T26" s="510" t="s">
        <v>5804</v>
      </c>
      <c r="U26" s="516" t="s">
        <v>3031</v>
      </c>
      <c r="V26" s="359">
        <v>44981</v>
      </c>
      <c r="W26" s="510" t="s">
        <v>3147</v>
      </c>
      <c r="X26" s="510" t="s">
        <v>3147</v>
      </c>
      <c r="Y26" s="511" t="s">
        <v>6322</v>
      </c>
      <c r="Z26" s="510" t="s">
        <v>3252</v>
      </c>
      <c r="AA26" s="510" t="s">
        <v>6323</v>
      </c>
      <c r="AB26" s="510" t="s">
        <v>6370</v>
      </c>
      <c r="AC26" s="510" t="s">
        <v>2146</v>
      </c>
      <c r="AD26" s="511">
        <v>44987</v>
      </c>
      <c r="AE26" s="515">
        <v>3843.5</v>
      </c>
      <c r="AF26" s="655" t="s">
        <v>4279</v>
      </c>
      <c r="AG26" s="510" t="s">
        <v>3108</v>
      </c>
      <c r="AH26" s="517">
        <f>86190.68</f>
        <v>86190.68</v>
      </c>
      <c r="AI26" s="517">
        <f>1861.52</f>
        <v>1861.52</v>
      </c>
      <c r="AJ26" s="517"/>
      <c r="AK26" s="517">
        <f t="shared" si="15"/>
        <v>88052.2</v>
      </c>
      <c r="AL26" s="518"/>
      <c r="AM26" s="519">
        <f t="shared" si="1"/>
        <v>0</v>
      </c>
      <c r="AN26" s="519"/>
      <c r="AO26" s="510"/>
      <c r="AP26" s="519"/>
      <c r="AQ26" s="519"/>
      <c r="AR26" s="519"/>
      <c r="AS26" s="519"/>
      <c r="AT26" s="519"/>
      <c r="AU26" s="519"/>
      <c r="AV26" s="519"/>
      <c r="AW26" s="510" t="s">
        <v>3139</v>
      </c>
      <c r="AX26" s="520">
        <f t="shared" si="2"/>
        <v>44991</v>
      </c>
      <c r="AY26" s="510"/>
      <c r="AZ26" s="519">
        <f t="shared" si="3"/>
        <v>0</v>
      </c>
      <c r="BA26" s="521">
        <f t="shared" si="17"/>
        <v>0</v>
      </c>
      <c r="BB26" s="519" t="e">
        <f t="shared" si="5"/>
        <v>#DIV/0!</v>
      </c>
      <c r="BC26" s="519"/>
      <c r="BD26" s="519">
        <f t="shared" si="6"/>
        <v>-100</v>
      </c>
      <c r="BE26" s="519"/>
      <c r="BF26" s="513" t="s">
        <v>1771</v>
      </c>
      <c r="BG26" s="514" t="s">
        <v>1771</v>
      </c>
      <c r="BH26" s="510" t="s">
        <v>1771</v>
      </c>
      <c r="BI26" s="522" t="str">
        <f>VLOOKUP(A26,[1]Analise!$A:$L,12,0)</f>
        <v>OK</v>
      </c>
    </row>
  </sheetData>
  <sheetProtection selectLockedCells="1" autoFilter="0" selectUnlockedCells="1"/>
  <autoFilter ref="A1:BI1"/>
  <mergeCells count="20">
    <mergeCell ref="I25:I26"/>
    <mergeCell ref="J25:J26"/>
    <mergeCell ref="I19:I20"/>
    <mergeCell ref="J19:J20"/>
    <mergeCell ref="I21:I22"/>
    <mergeCell ref="J21:J22"/>
    <mergeCell ref="I23:I24"/>
    <mergeCell ref="J23:J24"/>
    <mergeCell ref="I13:I14"/>
    <mergeCell ref="J13:J14"/>
    <mergeCell ref="I15:I16"/>
    <mergeCell ref="J15:J16"/>
    <mergeCell ref="I17:I18"/>
    <mergeCell ref="J17:J18"/>
    <mergeCell ref="I2:I3"/>
    <mergeCell ref="J2:J3"/>
    <mergeCell ref="I4:I5"/>
    <mergeCell ref="J4:J5"/>
    <mergeCell ref="I6:I7"/>
    <mergeCell ref="J6:J7"/>
  </mergeCells>
  <conditionalFormatting sqref="V1:V26">
    <cfRule type="cellIs" dxfId="369" priority="10" stopIfTrue="1" operator="equal">
      <formula>0</formula>
    </cfRule>
  </conditionalFormatting>
  <pageMargins left="0.78740157480314965" right="0.78740157480314965" top="0.98425196850393704" bottom="0.98425196850393704" header="0.51181102362204722" footer="0.51181102362204722"/>
  <pageSetup paperSize="9" scale="10" fitToHeight="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18</vt:i4>
      </vt:variant>
    </vt:vector>
  </HeadingPairs>
  <TitlesOfParts>
    <vt:vector size="18" baseType="lpstr">
      <vt:lpstr>Compal</vt:lpstr>
      <vt:lpstr>NEs</vt:lpstr>
      <vt:lpstr>DAs</vt:lpstr>
      <vt:lpstr>In transit </vt:lpstr>
      <vt:lpstr>In House</vt:lpstr>
      <vt:lpstr>In House - NEs</vt:lpstr>
      <vt:lpstr>In house - diversos</vt:lpstr>
      <vt:lpstr>In_House_2023</vt:lpstr>
      <vt:lpstr>In_House_2023_old</vt:lpstr>
      <vt:lpstr>In_House_2022</vt:lpstr>
      <vt:lpstr>In_House_2021</vt:lpstr>
      <vt:lpstr>In_House_2020</vt:lpstr>
      <vt:lpstr>In_House_2019</vt:lpstr>
      <vt:lpstr>PLan</vt:lpstr>
      <vt:lpstr>CAPA</vt:lpstr>
      <vt:lpstr>CAPA1</vt:lpstr>
      <vt:lpstr>Sheet1</vt:lpstr>
      <vt:lpstr>Data_Embarque</vt:lpstr>
    </vt:vector>
  </TitlesOfParts>
  <Company>eCMMS Foxconn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robertoperea</dc:creator>
  <cp:lastModifiedBy>grasielacunha</cp:lastModifiedBy>
  <cp:lastPrinted>2022-09-30T13:30:39Z</cp:lastPrinted>
  <dcterms:created xsi:type="dcterms:W3CDTF">2006-10-31T19:57:23Z</dcterms:created>
  <dcterms:modified xsi:type="dcterms:W3CDTF">2023-04-18T19:36:06Z</dcterms:modified>
</cp:coreProperties>
</file>