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160" tabRatio="856" activeTab="1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  <sheet name="Tabela Normal Padrão" sheetId="10" r:id="rId13"/>
    <sheet name="Tabela Qui²" sheetId="12" r:id="rId14"/>
    <sheet name="Tabela t de Student" sheetId="15" r:id="rId15"/>
    <sheet name="Tabela F de Snedecor" sheetId="17" r:id="rId16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5" i="1" l="1"/>
  <c r="B18" i="4" l="1"/>
  <c r="C18" i="4"/>
  <c r="D18" i="4"/>
  <c r="G8" i="20" l="1"/>
  <c r="H7" i="20"/>
  <c r="H6" i="20"/>
  <c r="I5" i="20"/>
  <c r="I6" i="20" s="1"/>
  <c r="I7" i="20" s="1"/>
  <c r="H5" i="20"/>
  <c r="I4" i="20"/>
  <c r="H4" i="20"/>
  <c r="J4" i="20" s="1"/>
  <c r="J5" i="20" s="1"/>
  <c r="I3" i="20"/>
  <c r="H3" i="20"/>
  <c r="J3" i="20" s="1"/>
  <c r="J2" i="20"/>
  <c r="I2" i="20"/>
  <c r="H2" i="20"/>
  <c r="H8" i="20" s="1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6" i="20" l="1"/>
  <c r="J7" i="20"/>
  <c r="B13" i="19"/>
  <c r="F82" i="18" l="1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K33" i="17"/>
  <c r="J33" i="17"/>
  <c r="I33" i="17"/>
  <c r="H33" i="17"/>
  <c r="G33" i="17"/>
  <c r="F33" i="17"/>
  <c r="E33" i="17"/>
  <c r="D33" i="17"/>
  <c r="C33" i="17"/>
  <c r="B33" i="17"/>
  <c r="K32" i="17"/>
  <c r="J32" i="17"/>
  <c r="I32" i="17"/>
  <c r="H32" i="17"/>
  <c r="G32" i="17"/>
  <c r="F32" i="17"/>
  <c r="E32" i="17"/>
  <c r="D32" i="17"/>
  <c r="C32" i="17"/>
  <c r="B32" i="17"/>
  <c r="K31" i="17"/>
  <c r="J31" i="17"/>
  <c r="I31" i="17"/>
  <c r="H31" i="17"/>
  <c r="G31" i="17"/>
  <c r="F31" i="17"/>
  <c r="E31" i="17"/>
  <c r="D31" i="17"/>
  <c r="C31" i="17"/>
  <c r="B31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8" i="17"/>
  <c r="J28" i="17"/>
  <c r="I28" i="17"/>
  <c r="H28" i="17"/>
  <c r="G28" i="17"/>
  <c r="F28" i="17"/>
  <c r="E28" i="17"/>
  <c r="D28" i="17"/>
  <c r="C28" i="17"/>
  <c r="B28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23" i="17"/>
  <c r="J23" i="17"/>
  <c r="I23" i="17"/>
  <c r="H23" i="17"/>
  <c r="G23" i="17"/>
  <c r="F23" i="17"/>
  <c r="E23" i="17"/>
  <c r="D23" i="17"/>
  <c r="C23" i="17"/>
  <c r="B23" i="17"/>
  <c r="K22" i="17"/>
  <c r="J22" i="17"/>
  <c r="I22" i="17"/>
  <c r="H22" i="17"/>
  <c r="G22" i="17"/>
  <c r="F22" i="17"/>
  <c r="E22" i="17"/>
  <c r="D22" i="17"/>
  <c r="C22" i="17"/>
  <c r="B22" i="17"/>
  <c r="K21" i="17"/>
  <c r="J21" i="17"/>
  <c r="I21" i="17"/>
  <c r="H21" i="17"/>
  <c r="G21" i="17"/>
  <c r="F21" i="17"/>
  <c r="E21" i="17"/>
  <c r="D21" i="17"/>
  <c r="C21" i="17"/>
  <c r="B21" i="17"/>
  <c r="K20" i="17"/>
  <c r="J20" i="17"/>
  <c r="I20" i="17"/>
  <c r="H20" i="17"/>
  <c r="G20" i="17"/>
  <c r="F20" i="17"/>
  <c r="E20" i="17"/>
  <c r="D20" i="17"/>
  <c r="C20" i="17"/>
  <c r="B20" i="17"/>
  <c r="K19" i="17"/>
  <c r="J19" i="17"/>
  <c r="I19" i="17"/>
  <c r="H19" i="17"/>
  <c r="G19" i="17"/>
  <c r="F19" i="17"/>
  <c r="E19" i="17"/>
  <c r="D19" i="17"/>
  <c r="C19" i="17"/>
  <c r="B19" i="17"/>
  <c r="K18" i="17"/>
  <c r="J18" i="17"/>
  <c r="I18" i="17"/>
  <c r="H18" i="17"/>
  <c r="G18" i="17"/>
  <c r="F18" i="17"/>
  <c r="E18" i="17"/>
  <c r="D18" i="17"/>
  <c r="C18" i="17"/>
  <c r="B18" i="17"/>
  <c r="K17" i="17"/>
  <c r="J17" i="17"/>
  <c r="I17" i="17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4" i="17"/>
  <c r="J14" i="17"/>
  <c r="I14" i="17"/>
  <c r="H14" i="17"/>
  <c r="G14" i="17"/>
  <c r="F14" i="17"/>
  <c r="E14" i="17"/>
  <c r="D14" i="17"/>
  <c r="C14" i="17"/>
  <c r="B14" i="17"/>
  <c r="K13" i="17"/>
  <c r="J13" i="17"/>
  <c r="I13" i="17"/>
  <c r="H13" i="17"/>
  <c r="G13" i="17"/>
  <c r="F13" i="17"/>
  <c r="E13" i="17"/>
  <c r="D13" i="17"/>
  <c r="C13" i="17"/>
  <c r="B13" i="17"/>
  <c r="K12" i="17"/>
  <c r="J12" i="17"/>
  <c r="I12" i="17"/>
  <c r="H12" i="17"/>
  <c r="G12" i="17"/>
  <c r="F12" i="17"/>
  <c r="E12" i="17"/>
  <c r="D12" i="17"/>
  <c r="C12" i="17"/>
  <c r="B12" i="17"/>
  <c r="K11" i="17"/>
  <c r="J11" i="17"/>
  <c r="I11" i="17"/>
  <c r="H11" i="17"/>
  <c r="G11" i="17"/>
  <c r="F11" i="17"/>
  <c r="E11" i="17"/>
  <c r="D11" i="17"/>
  <c r="C11" i="17"/>
  <c r="B11" i="17"/>
  <c r="K10" i="17"/>
  <c r="J10" i="17"/>
  <c r="I10" i="17"/>
  <c r="H10" i="17"/>
  <c r="G10" i="17"/>
  <c r="F10" i="17"/>
  <c r="E10" i="17"/>
  <c r="D10" i="17"/>
  <c r="C10" i="17"/>
  <c r="B10" i="17"/>
  <c r="K9" i="17"/>
  <c r="J9" i="17"/>
  <c r="I9" i="17"/>
  <c r="H9" i="17"/>
  <c r="G9" i="17"/>
  <c r="F9" i="17"/>
  <c r="E9" i="17"/>
  <c r="D9" i="17"/>
  <c r="C9" i="17"/>
  <c r="B9" i="17"/>
  <c r="K8" i="17"/>
  <c r="J8" i="17"/>
  <c r="I8" i="17"/>
  <c r="H8" i="17"/>
  <c r="G8" i="17"/>
  <c r="F8" i="17"/>
  <c r="E8" i="17"/>
  <c r="D8" i="17"/>
  <c r="C8" i="17"/>
  <c r="B8" i="17"/>
  <c r="K7" i="17"/>
  <c r="J7" i="17"/>
  <c r="I7" i="17"/>
  <c r="H7" i="17"/>
  <c r="G7" i="17"/>
  <c r="F7" i="17"/>
  <c r="E7" i="17"/>
  <c r="D7" i="17"/>
  <c r="C7" i="17"/>
  <c r="B7" i="17"/>
  <c r="K6" i="17"/>
  <c r="J6" i="17"/>
  <c r="I6" i="17"/>
  <c r="H6" i="17"/>
  <c r="G6" i="17"/>
  <c r="F6" i="17"/>
  <c r="E6" i="17"/>
  <c r="D6" i="17"/>
  <c r="C6" i="17"/>
  <c r="B6" i="17"/>
  <c r="K5" i="17"/>
  <c r="J5" i="17"/>
  <c r="I5" i="17"/>
  <c r="H5" i="17"/>
  <c r="G5" i="17"/>
  <c r="F5" i="17"/>
  <c r="E5" i="17"/>
  <c r="D5" i="17"/>
  <c r="C5" i="17"/>
  <c r="B5" i="17"/>
  <c r="K4" i="17"/>
  <c r="J4" i="17"/>
  <c r="I4" i="17"/>
  <c r="H4" i="17"/>
  <c r="G4" i="17"/>
  <c r="F4" i="17"/>
  <c r="E4" i="17"/>
  <c r="D4" i="17"/>
  <c r="C4" i="17"/>
  <c r="B4" i="17"/>
  <c r="E32" i="15"/>
  <c r="D32" i="15"/>
  <c r="C32" i="15"/>
  <c r="B32" i="15"/>
  <c r="E31" i="15"/>
  <c r="D31" i="15"/>
  <c r="C31" i="15"/>
  <c r="B31" i="15"/>
  <c r="E30" i="15"/>
  <c r="D30" i="15"/>
  <c r="C30" i="15"/>
  <c r="B30" i="15"/>
  <c r="E29" i="15"/>
  <c r="D29" i="15"/>
  <c r="C29" i="15"/>
  <c r="B29" i="15"/>
  <c r="E28" i="15"/>
  <c r="D28" i="15"/>
  <c r="C28" i="15"/>
  <c r="B28" i="15"/>
  <c r="E27" i="15"/>
  <c r="D27" i="15"/>
  <c r="C27" i="15"/>
  <c r="B27" i="15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B21" i="15"/>
  <c r="E20" i="15"/>
  <c r="D20" i="15"/>
  <c r="C20" i="15"/>
  <c r="B20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K37" i="10"/>
  <c r="J37" i="10"/>
  <c r="I37" i="10"/>
  <c r="H37" i="10"/>
  <c r="G37" i="10"/>
  <c r="F37" i="10"/>
  <c r="E37" i="10"/>
  <c r="D37" i="10"/>
  <c r="C37" i="10"/>
  <c r="B37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F12" i="10"/>
  <c r="E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H10" i="10"/>
  <c r="G10" i="10"/>
  <c r="F10" i="10"/>
  <c r="E10" i="10"/>
  <c r="D10" i="10"/>
  <c r="C10" i="10"/>
  <c r="B10" i="10"/>
  <c r="K9" i="10"/>
  <c r="J9" i="10"/>
  <c r="I9" i="10"/>
  <c r="H9" i="10"/>
  <c r="G9" i="10"/>
  <c r="F9" i="10"/>
  <c r="E9" i="10"/>
  <c r="D9" i="10"/>
  <c r="C9" i="10"/>
  <c r="B9" i="10"/>
  <c r="K8" i="10"/>
  <c r="J8" i="10"/>
  <c r="I8" i="10"/>
  <c r="H8" i="10"/>
  <c r="G8" i="10"/>
  <c r="F8" i="10"/>
  <c r="E8" i="10"/>
  <c r="D8" i="10"/>
  <c r="C8" i="10"/>
  <c r="B8" i="10"/>
  <c r="K7" i="10"/>
  <c r="J7" i="10"/>
  <c r="I7" i="10"/>
  <c r="H7" i="10"/>
  <c r="G7" i="10"/>
  <c r="F7" i="10"/>
  <c r="E7" i="10"/>
  <c r="D7" i="10"/>
  <c r="C7" i="10"/>
  <c r="B7" i="10"/>
  <c r="K6" i="10"/>
  <c r="J6" i="10"/>
  <c r="I6" i="10"/>
  <c r="H6" i="10"/>
  <c r="G6" i="10"/>
  <c r="F6" i="10"/>
  <c r="E6" i="10"/>
  <c r="D6" i="10"/>
  <c r="C6" i="10"/>
  <c r="B6" i="10"/>
  <c r="K5" i="10"/>
  <c r="J5" i="10"/>
  <c r="I5" i="10"/>
  <c r="H5" i="10"/>
  <c r="G5" i="10"/>
  <c r="F5" i="10"/>
  <c r="E5" i="10"/>
  <c r="D5" i="10"/>
  <c r="C5" i="10"/>
  <c r="B5" i="10"/>
  <c r="K4" i="10"/>
  <c r="J4" i="10"/>
  <c r="I4" i="10"/>
  <c r="H4" i="10"/>
  <c r="G4" i="10"/>
  <c r="F4" i="10"/>
  <c r="E4" i="10"/>
  <c r="D4" i="10"/>
  <c r="C4" i="10"/>
  <c r="B4" i="10"/>
  <c r="K3" i="10"/>
  <c r="J3" i="10"/>
  <c r="I3" i="10"/>
  <c r="H3" i="10"/>
  <c r="G3" i="10"/>
  <c r="F3" i="10"/>
  <c r="E3" i="10"/>
  <c r="D3" i="10"/>
  <c r="C3" i="10"/>
  <c r="B3" i="10"/>
  <c r="K2" i="10"/>
  <c r="J2" i="10"/>
  <c r="I2" i="10"/>
  <c r="H2" i="10"/>
  <c r="G2" i="10"/>
  <c r="F2" i="10"/>
  <c r="E2" i="10"/>
  <c r="D2" i="10"/>
  <c r="C2" i="10"/>
  <c r="B2" i="10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7" i="8"/>
  <c r="B2" i="7" l="1"/>
  <c r="C4" i="7"/>
  <c r="C3" i="7"/>
  <c r="B7" i="7" s="1"/>
  <c r="B3" i="6" l="1"/>
  <c r="B6" i="6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" i="2"/>
  <c r="E39" i="2" s="1"/>
  <c r="E2" i="2"/>
  <c r="E38" i="2" s="1"/>
  <c r="E19" i="2" l="1"/>
  <c r="E20" i="2" s="1"/>
  <c r="E22" i="2" s="1"/>
  <c r="G38" i="2"/>
  <c r="F38" i="2"/>
  <c r="G39" i="2"/>
  <c r="F39" i="2"/>
  <c r="E8" i="3"/>
  <c r="E11" i="3" s="1"/>
  <c r="E5" i="3"/>
  <c r="E9" i="2" l="1"/>
  <c r="E6" i="2"/>
  <c r="F22" i="1"/>
  <c r="F24" i="1"/>
  <c r="E3" i="5"/>
  <c r="E2" i="5"/>
  <c r="E5" i="5" s="1"/>
  <c r="E7" i="5" s="1"/>
  <c r="E8" i="2" l="1"/>
  <c r="C13" i="4"/>
  <c r="B13" i="4"/>
  <c r="B12" i="4"/>
  <c r="B11" i="4"/>
  <c r="E3" i="3"/>
  <c r="G11" i="1" l="1"/>
  <c r="G10" i="1"/>
  <c r="F11" i="1"/>
  <c r="F10" i="1"/>
  <c r="G16" i="1"/>
  <c r="G15" i="1"/>
  <c r="G13" i="1"/>
  <c r="G12" i="1"/>
  <c r="F16" i="1"/>
  <c r="F15" i="1"/>
  <c r="F13" i="1"/>
  <c r="F12" i="1"/>
  <c r="G9" i="1"/>
  <c r="G8" i="1"/>
  <c r="F8" i="1"/>
  <c r="F9" i="1"/>
  <c r="G7" i="1"/>
  <c r="F7" i="1"/>
  <c r="G6" i="1"/>
  <c r="F6" i="1"/>
  <c r="F14" i="1" l="1"/>
  <c r="G14" i="1"/>
  <c r="G5" i="1"/>
  <c r="G4" i="1"/>
  <c r="F4" i="1"/>
  <c r="G3" i="1"/>
  <c r="G18" i="1" s="1"/>
  <c r="F3" i="1"/>
  <c r="F18" i="1" s="1"/>
  <c r="G2" i="1"/>
  <c r="G17" i="1" s="1"/>
  <c r="F2" i="1"/>
  <c r="F17" i="1" l="1"/>
  <c r="F21" i="1"/>
</calcChain>
</file>

<file path=xl/sharedStrings.xml><?xml version="1.0" encoding="utf-8"?>
<sst xmlns="http://schemas.openxmlformats.org/spreadsheetml/2006/main" count="257" uniqueCount="166">
  <si>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</si>
  <si>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</si>
  <si>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</si>
  <si>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</si>
  <si>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</si>
  <si>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</si>
  <si>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</si>
  <si>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</si>
  <si>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</si>
  <si>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</si>
  <si>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</si>
  <si>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</si>
  <si>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</si>
  <si>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</si>
  <si>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</si>
  <si>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</si>
  <si>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</si>
  <si>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</si>
  <si>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</si>
  <si>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</si>
  <si>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</si>
  <si>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</si>
  <si>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Hospital 1</t>
  </si>
  <si>
    <t>Hospital 2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</si>
  <si>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</si>
  <si>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</si>
  <si>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</si>
  <si>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</si>
  <si>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</si>
  <si>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</si>
  <si>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</si>
  <si>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</si>
  <si>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</si>
  <si>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</si>
  <si>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</si>
  <si>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</si>
  <si>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</si>
  <si>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</si>
  <si>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</si>
  <si>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</si>
  <si>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</si>
  <si>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O coeficiente de correlação é estatisticamente igual a zero.</t>
  </si>
  <si>
    <t>p-valor (bicaudal)</t>
  </si>
  <si>
    <t>O coeficiente de correlação é estatisticamente diferente de zero.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</si>
  <si>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</si>
  <si>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</si>
  <si>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</si>
  <si>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</si>
  <si>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</si>
  <si>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As variâncias são estatisticamente iguais.</t>
  </si>
  <si>
    <t>As variâncias são estatisticamente diferentes.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</si>
  <si>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</si>
  <si>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</si>
  <si>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</si>
  <si>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</si>
  <si>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</si>
  <si>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</si>
  <si>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</si>
  <si>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</si>
  <si>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</si>
  <si>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</si>
  <si>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As médias são estatisticamente iguais.</t>
  </si>
  <si>
    <t>As médias são estatisticamente diferentes.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</si>
  <si>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</si>
  <si>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</si>
  <si>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</si>
  <si>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</si>
  <si>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</si>
  <si>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</si>
  <si>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</si>
  <si>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</si>
  <si>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</si>
  <si>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</si>
  <si>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H0 é rejeitada ao nível de significância de 5%, ou seja, as variâncias das duas amostras são diferentes.</t>
  </si>
  <si>
    <t>&gt; frequência observada</t>
  </si>
  <si>
    <t>&gt; frequência esperada</t>
  </si>
  <si>
    <t>Estatística Qui²</t>
  </si>
  <si>
    <t>Valor Crítico Qui²</t>
  </si>
  <si>
    <t>As frequencias observadas e esperadas são iguais.</t>
  </si>
  <si>
    <t>As frequencias observadas e esperadas são diferentes.</t>
  </si>
  <si>
    <t>Como o valor calculado para a estatística Qui² é maior do que o valor crítico para o nível de significância de 5%, a H0 é rejeitada. Portanto, há diferenças nas preferências dos leitores.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</si>
  <si>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</si>
  <si>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</si>
  <si>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</si>
  <si>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</si>
  <si>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</si>
  <si>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</si>
  <si>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&gt; informação em dias</t>
  </si>
  <si>
    <t>&gt; informação transformada para dias</t>
  </si>
  <si>
    <t>Parâmetros da dist. binomial negativa</t>
  </si>
  <si>
    <t>(x-1) e (k-1)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</si>
  <si>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</si>
  <si>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</si>
  <si>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</si>
  <si>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</si>
  <si>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</si>
  <si>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</si>
  <si>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</si>
  <si>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</si>
  <si>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</si>
  <si>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</si>
  <si>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</si>
  <si>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</si>
  <si>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</si>
  <si>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</si>
  <si>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</si>
  <si>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As médias são iguais.</t>
  </si>
  <si>
    <t>Estatística t</t>
  </si>
  <si>
    <t>Calorias</t>
  </si>
  <si>
    <t>A média atual é diferente do que é afirmado.</t>
  </si>
  <si>
    <t>Afirmação</t>
  </si>
  <si>
    <t>p-valor t (bicaudal)</t>
  </si>
  <si>
    <t>Valor Crítico T (bicaudal)</t>
  </si>
  <si>
    <t xml:space="preserve">Conclusão: como o valor calculado para a estatística t está na região crítica, rejeita-se a hipótese nula de que as quantidades de calorias são iguais. </t>
  </si>
  <si>
    <t>Z</t>
  </si>
  <si>
    <t>Informação: Dado os valores críticos de Z, a tabela mostra a probabilidade na cauda superior.</t>
  </si>
  <si>
    <t>Graus Lib.</t>
  </si>
  <si>
    <t>Qui²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</si>
  <si>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</si>
  <si>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</si>
  <si>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</si>
  <si>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Informação: Dadas as probabilidades na cauda direita (nível de significância), a tabela traz o valor crítico de "t" para cada grau de liberdade.</t>
  </si>
  <si>
    <t>Informação: Dadas as probabilidades na cauda direita (nível de significância), a tabela traz o valor crítico de Qui² para cada grau de liberdade.</t>
  </si>
  <si>
    <t>g</t>
  </si>
  <si>
    <t>Padrão</t>
  </si>
  <si>
    <t>A média observada é maior do que o padrão.</t>
  </si>
  <si>
    <t>Estatística Z</t>
  </si>
  <si>
    <t>Valor Crítico Z (unicaudal)</t>
  </si>
  <si>
    <t>Dist Z</t>
  </si>
  <si>
    <t>p-valor (unicaudal)</t>
  </si>
  <si>
    <t>As média observada é igual à média padrão.</t>
  </si>
  <si>
    <t>Conclusão: como o valor calculado para a estatística Z está na região crítica, rejeita-se a hipótese nula de que as médias são iguais. Portanto, está acima do padrão.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</si>
  <si>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</si>
  <si>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</si>
  <si>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</si>
  <si>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</si>
  <si>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</si>
  <si>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</si>
  <si>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</si>
  <si>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</si>
  <si>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</si>
  <si>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</si>
  <si>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</si>
  <si>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</si>
  <si>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</si>
  <si>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</si>
  <si>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</si>
  <si>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</si>
  <si>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Organizado</t>
  </si>
  <si>
    <t>Faixas de Renda</t>
  </si>
  <si>
    <t>Frequência Absoluta</t>
  </si>
  <si>
    <t>Frequência Relativa</t>
  </si>
  <si>
    <t>Frequência Acumulada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</si>
  <si>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</si>
  <si>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</si>
  <si>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</si>
  <si>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</si>
  <si>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</si>
  <si>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</si>
  <si>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</si>
  <si>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t>Exemplo do livro: Fávero, Luiz Paulo; Belfiore, Patrícia. (2017). Manual de análise de dados: estatística e modelagem multivariada com Excel®, SPSS® e Stata®. Rio de Janeiro: Elsevier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</si>
  <si>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</si>
  <si>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</si>
  <si>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</si>
  <si>
    <t>Moda*</t>
  </si>
  <si>
    <t>* Pode ser que não exista a 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</si>
</sst>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"/>
    <numFmt numFmtId="166" formatCode="0.000"/>
    <numFmt numFmtId="167" formatCode="0.000%"/>
    <numFmt numFmtId="168" formatCode="0.00000000000000000000000000000000000000000000000%"/>
    <numFmt numFmtId="169" formatCode="0.0000%"/>
    <numFmt numFmtId="170" formatCode="0.0"/>
    <numFmt numFmtId="171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166" fontId="0" fillId="7" borderId="1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9" fontId="1" fillId="9" borderId="1" xfId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0" fillId="10" borderId="1" xfId="0" applyFill="1" applyBorder="1"/>
    <xf numFmtId="169" fontId="0" fillId="1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70" fontId="1" fillId="1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" fillId="12" borderId="15" xfId="0" applyNumberFormat="1" applyFont="1" applyFill="1" applyBorder="1" applyAlignment="1">
      <alignment horizontal="center" vertical="center"/>
    </xf>
    <xf numFmtId="171" fontId="1" fillId="14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2" fontId="1" fillId="15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11" borderId="1" xfId="0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1" fillId="16" borderId="1" xfId="0" applyNumberFormat="1" applyFont="1" applyFill="1" applyBorder="1" applyAlignment="1">
      <alignment horizontal="center"/>
    </xf>
    <xf numFmtId="4" fontId="1" fillId="1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1" fillId="14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7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3" borderId="7" xfId="0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horizontal="left" vertical="top" wrapText="1"/>
    </xf>
    <xf numFmtId="0" fontId="1" fillId="13" borderId="8" xfId="0" applyFont="1" applyFill="1" applyBorder="1" applyAlignment="1">
      <alignment horizontal="left" vertical="top" wrapText="1"/>
    </xf>
    <xf numFmtId="0" fontId="1" fillId="13" borderId="9" xfId="0" applyFont="1" applyFill="1" applyBorder="1" applyAlignment="1">
      <alignment horizontal="left" vertical="top" wrapText="1"/>
    </xf>
    <xf numFmtId="0" fontId="1" fillId="13" borderId="0" xfId="0" applyFont="1" applyFill="1" applyBorder="1" applyAlignment="1">
      <alignment horizontal="left" vertical="top" wrapText="1"/>
    </xf>
    <xf numFmtId="0" fontId="1" fillId="13" borderId="10" xfId="0" applyFont="1" applyFill="1" applyBorder="1" applyAlignment="1">
      <alignment horizontal="left" vertical="top" wrapText="1"/>
    </xf>
    <xf numFmtId="0" fontId="1" fillId="13" borderId="11" xfId="0" applyFont="1" applyFill="1" applyBorder="1" applyAlignment="1">
      <alignment horizontal="left" vertical="top" wrapText="1"/>
    </xf>
    <xf numFmtId="0" fontId="1" fillId="13" borderId="12" xfId="0" applyFont="1" applyFill="1" applyBorder="1" applyAlignment="1">
      <alignment horizontal="left" vertical="top" wrapText="1"/>
    </xf>
    <xf numFmtId="0" fontId="1" fillId="13" borderId="13" xfId="0" applyFont="1" applyFill="1" applyBorder="1" applyAlignment="1">
      <alignment horizontal="left" vertical="top" wrapText="1"/>
    </xf>
    <xf numFmtId="2" fontId="1" fillId="12" borderId="14" xfId="0" applyNumberFormat="1" applyFont="1" applyFill="1" applyBorder="1" applyAlignment="1">
      <alignment horizontal="center" vertical="center"/>
    </xf>
    <xf numFmtId="2" fontId="1" fillId="12" borderId="15" xfId="0" applyNumberFormat="1" applyFont="1" applyFill="1" applyBorder="1" applyAlignment="1">
      <alignment horizontal="center" vertical="center"/>
    </xf>
    <xf numFmtId="166" fontId="1" fillId="12" borderId="14" xfId="0" applyNumberFormat="1" applyFont="1" applyFill="1" applyBorder="1" applyAlignment="1">
      <alignment horizontal="center" vertical="center"/>
    </xf>
    <xf numFmtId="166" fontId="1" fillId="12" borderId="15" xfId="0" applyNumberFormat="1" applyFont="1" applyFill="1" applyBorder="1" applyAlignment="1">
      <alignment horizontal="center" vertical="center"/>
    </xf>
    <xf numFmtId="9" fontId="1" fillId="14" borderId="2" xfId="0" applyNumberFormat="1" applyFont="1" applyFill="1" applyBorder="1" applyAlignment="1">
      <alignment horizontal="center"/>
    </xf>
    <xf numFmtId="9" fontId="1" fillId="14" borderId="16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 vertical="center"/>
    </xf>
    <xf numFmtId="2" fontId="7" fillId="13" borderId="16" xfId="0" applyNumberFormat="1" applyFont="1" applyFill="1" applyBorder="1" applyAlignment="1">
      <alignment horizontal="center" vertical="center"/>
    </xf>
    <xf numFmtId="2" fontId="7" fillId="13" borderId="3" xfId="0" applyNumberFormat="1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wrapText="1"/>
    </xf>
    <xf numFmtId="0" fontId="7" fillId="13" borderId="15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33984"/>
        <c:axId val="137039872"/>
        <c:axId val="0"/>
      </c:bar3DChart>
      <c:catAx>
        <c:axId val="1370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9872"/>
        <c:crosses val="autoZero"/>
        <c:auto val="1"/>
        <c:lblAlgn val="ctr"/>
        <c:lblOffset val="100"/>
        <c:noMultiLvlLbl val="0"/>
      </c:catAx>
      <c:valAx>
        <c:axId val="137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976"/>
        <c:axId val="137345664"/>
      </c:scatterChart>
      <c:valAx>
        <c:axId val="1373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664"/>
        <c:crosses val="autoZero"/>
        <c:crossBetween val="midCat"/>
      </c:valAx>
      <c:valAx>
        <c:axId val="1373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46656"/>
        <c:axId val="136648576"/>
      </c:scatterChart>
      <c:valAx>
        <c:axId val="1366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8576"/>
        <c:crosses val="autoZero"/>
        <c:crossBetween val="midCat"/>
      </c:valAx>
      <c:valAx>
        <c:axId val="136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0592"/>
        <c:axId val="136702208"/>
      </c:scatterChart>
      <c:valAx>
        <c:axId val="1366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2208"/>
        <c:crosses val="autoZero"/>
        <c:crossBetween val="midCat"/>
      </c:valAx>
      <c:valAx>
        <c:axId val="1367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=""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=""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=""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=""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=""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=""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zoomScale="85" zoomScaleNormal="85" workbookViewId="0">
      <selection activeCell="H32" sqref="H32"/>
    </sheetView>
  </sheetViews>
  <sheetFormatPr defaultRowHeight="15" x14ac:dyDescent="0.25"/>
  <cols>
    <col min="1" max="1" width="12.85546875" style="1" customWidth="1"/>
    <col min="2" max="2" width="12.85546875" customWidth="1"/>
    <col min="4" max="4" width="12.85546875" customWidth="1"/>
    <col min="6" max="6" width="20.5703125" customWidth="1"/>
    <col min="7" max="10" width="23.5703125" customWidth="1"/>
    <col min="11" max="11" width="12.7109375" customWidth="1"/>
  </cols>
  <sheetData>
    <row r="1" spans="1:11" x14ac:dyDescent="0.25">
      <c r="A1" s="46" t="s">
        <v>146</v>
      </c>
      <c r="B1" s="46" t="s">
        <v>147</v>
      </c>
      <c r="D1" s="91" t="s">
        <v>148</v>
      </c>
      <c r="F1" s="46" t="s">
        <v>149</v>
      </c>
      <c r="G1" s="46" t="s">
        <v>150</v>
      </c>
      <c r="H1" s="46" t="s">
        <v>151</v>
      </c>
      <c r="I1" s="46" t="s">
        <v>152</v>
      </c>
      <c r="J1" s="46" t="s">
        <v>153</v>
      </c>
      <c r="K1" s="22"/>
    </row>
    <row r="2" spans="1:11" x14ac:dyDescent="0.25">
      <c r="A2" s="3">
        <v>1</v>
      </c>
      <c r="B2" s="83">
        <v>2893.7</v>
      </c>
      <c r="D2" s="84">
        <v>1100.25</v>
      </c>
      <c r="F2" s="46" t="s">
        <v>154</v>
      </c>
      <c r="G2" s="3">
        <v>9</v>
      </c>
      <c r="H2" s="11">
        <f>+G2/$G$8</f>
        <v>0.18</v>
      </c>
      <c r="I2" s="85">
        <f>+G2</f>
        <v>9</v>
      </c>
      <c r="J2" s="11">
        <f>+H2</f>
        <v>0.18</v>
      </c>
      <c r="K2" s="1"/>
    </row>
    <row r="3" spans="1:11" x14ac:dyDescent="0.25">
      <c r="A3" s="3">
        <v>2</v>
      </c>
      <c r="B3" s="83">
        <v>3448.38</v>
      </c>
      <c r="D3" s="84">
        <v>1130</v>
      </c>
      <c r="F3" s="46" t="s">
        <v>155</v>
      </c>
      <c r="G3" s="3">
        <v>19</v>
      </c>
      <c r="H3" s="11">
        <f t="shared" ref="H3:H7" si="0">+G3/$G$8</f>
        <v>0.38</v>
      </c>
      <c r="I3" s="85">
        <f>+G3+I2</f>
        <v>28</v>
      </c>
      <c r="J3" s="11">
        <f>+H3+J2</f>
        <v>0.56000000000000005</v>
      </c>
      <c r="K3" s="1"/>
    </row>
    <row r="4" spans="1:11" x14ac:dyDescent="0.25">
      <c r="A4" s="3">
        <v>3</v>
      </c>
      <c r="B4" s="83">
        <v>1460.81</v>
      </c>
      <c r="D4" s="84">
        <v>1240.5</v>
      </c>
      <c r="F4" s="86" t="s">
        <v>156</v>
      </c>
      <c r="G4" s="3">
        <v>11</v>
      </c>
      <c r="H4" s="11">
        <f t="shared" si="0"/>
        <v>0.22</v>
      </c>
      <c r="I4" s="85">
        <f t="shared" ref="I4:J7" si="1">+G4+I3</f>
        <v>39</v>
      </c>
      <c r="J4" s="11">
        <f t="shared" si="1"/>
        <v>0.78</v>
      </c>
      <c r="K4" s="1"/>
    </row>
    <row r="5" spans="1:11" x14ac:dyDescent="0.25">
      <c r="A5" s="3">
        <v>4</v>
      </c>
      <c r="B5" s="83">
        <v>2223.6999999999998</v>
      </c>
      <c r="D5" s="84">
        <v>1460.81</v>
      </c>
      <c r="F5" s="46" t="s">
        <v>157</v>
      </c>
      <c r="G5" s="3">
        <v>5</v>
      </c>
      <c r="H5" s="11">
        <f t="shared" si="0"/>
        <v>0.1</v>
      </c>
      <c r="I5" s="85">
        <f t="shared" si="1"/>
        <v>44</v>
      </c>
      <c r="J5" s="11">
        <f t="shared" si="1"/>
        <v>0.88</v>
      </c>
      <c r="K5" s="1"/>
    </row>
    <row r="6" spans="1:11" x14ac:dyDescent="0.25">
      <c r="A6" s="3">
        <v>5</v>
      </c>
      <c r="B6" s="83">
        <v>2500.6999999999998</v>
      </c>
      <c r="D6" s="84">
        <v>1500</v>
      </c>
      <c r="F6" s="46" t="s">
        <v>158</v>
      </c>
      <c r="G6" s="3">
        <v>4</v>
      </c>
      <c r="H6" s="11">
        <f t="shared" si="0"/>
        <v>0.08</v>
      </c>
      <c r="I6" s="85">
        <f t="shared" si="1"/>
        <v>48</v>
      </c>
      <c r="J6" s="11">
        <f t="shared" si="1"/>
        <v>0.96</v>
      </c>
      <c r="K6" s="1"/>
    </row>
    <row r="7" spans="1:11" x14ac:dyDescent="0.25">
      <c r="A7" s="3">
        <v>6</v>
      </c>
      <c r="B7" s="83">
        <v>1100.25</v>
      </c>
      <c r="D7" s="84">
        <v>1720.2</v>
      </c>
      <c r="F7" s="46" t="s">
        <v>159</v>
      </c>
      <c r="G7" s="3">
        <v>2</v>
      </c>
      <c r="H7" s="11">
        <f t="shared" si="0"/>
        <v>0.04</v>
      </c>
      <c r="I7" s="85">
        <f t="shared" si="1"/>
        <v>50</v>
      </c>
      <c r="J7" s="11">
        <f t="shared" si="1"/>
        <v>1</v>
      </c>
      <c r="K7" s="1"/>
    </row>
    <row r="8" spans="1:11" x14ac:dyDescent="0.25">
      <c r="A8" s="3">
        <v>7</v>
      </c>
      <c r="B8" s="83">
        <v>3560.1</v>
      </c>
      <c r="D8" s="84">
        <v>1855</v>
      </c>
      <c r="F8" s="46" t="s">
        <v>28</v>
      </c>
      <c r="G8" s="46">
        <f>+SUM(G2:G7)</f>
        <v>50</v>
      </c>
      <c r="H8" s="87">
        <f>+SUM(H2:H7)</f>
        <v>1</v>
      </c>
      <c r="I8" s="85"/>
      <c r="J8" s="85"/>
    </row>
    <row r="9" spans="1:11" x14ac:dyDescent="0.25">
      <c r="A9" s="3">
        <v>8</v>
      </c>
      <c r="B9" s="83">
        <v>5510.76</v>
      </c>
      <c r="D9" s="84">
        <v>1900.25</v>
      </c>
    </row>
    <row r="10" spans="1:11" x14ac:dyDescent="0.25">
      <c r="A10" s="3">
        <v>9</v>
      </c>
      <c r="B10" s="83">
        <v>2900.9</v>
      </c>
      <c r="D10" s="84">
        <v>2000</v>
      </c>
    </row>
    <row r="11" spans="1:11" x14ac:dyDescent="0.25">
      <c r="A11" s="3">
        <v>10</v>
      </c>
      <c r="B11" s="83">
        <v>10127.5</v>
      </c>
      <c r="D11" s="88">
        <v>2150.1999999999998</v>
      </c>
    </row>
    <row r="12" spans="1:11" x14ac:dyDescent="0.25">
      <c r="A12" s="3">
        <v>11</v>
      </c>
      <c r="B12" s="83">
        <v>1855</v>
      </c>
      <c r="D12" s="88">
        <v>2223.6999999999998</v>
      </c>
    </row>
    <row r="13" spans="1:11" x14ac:dyDescent="0.25">
      <c r="A13" s="3">
        <v>12</v>
      </c>
      <c r="B13" s="83">
        <v>3160.5</v>
      </c>
      <c r="D13" s="88">
        <v>2500.6999999999998</v>
      </c>
    </row>
    <row r="14" spans="1:11" x14ac:dyDescent="0.25">
      <c r="A14" s="3">
        <v>13</v>
      </c>
      <c r="B14" s="83">
        <v>8630</v>
      </c>
      <c r="D14" s="88">
        <v>2555.6</v>
      </c>
    </row>
    <row r="15" spans="1:11" x14ac:dyDescent="0.25">
      <c r="A15" s="3">
        <v>14</v>
      </c>
      <c r="B15" s="83">
        <v>6200.73</v>
      </c>
      <c r="D15" s="88">
        <v>2600.5</v>
      </c>
    </row>
    <row r="16" spans="1:11" x14ac:dyDescent="0.25">
      <c r="A16" s="3">
        <v>15</v>
      </c>
      <c r="B16" s="83">
        <v>4129.99</v>
      </c>
      <c r="D16" s="88">
        <v>2735.6</v>
      </c>
    </row>
    <row r="17" spans="1:4" x14ac:dyDescent="0.25">
      <c r="A17" s="3">
        <v>16</v>
      </c>
      <c r="B17" s="83">
        <v>2735.6</v>
      </c>
      <c r="D17" s="88">
        <v>2800</v>
      </c>
    </row>
    <row r="18" spans="1:4" x14ac:dyDescent="0.25">
      <c r="A18" s="3">
        <v>17</v>
      </c>
      <c r="B18" s="83">
        <v>4448</v>
      </c>
      <c r="D18" s="88">
        <v>2893.7</v>
      </c>
    </row>
    <row r="19" spans="1:4" x14ac:dyDescent="0.25">
      <c r="A19" s="3">
        <v>18</v>
      </c>
      <c r="B19" s="83">
        <v>2150.1999999999998</v>
      </c>
      <c r="D19" s="88">
        <v>2900.77</v>
      </c>
    </row>
    <row r="20" spans="1:4" x14ac:dyDescent="0.25">
      <c r="A20" s="3">
        <v>19</v>
      </c>
      <c r="B20" s="83">
        <v>4595.1000000000004</v>
      </c>
      <c r="D20" s="88">
        <v>2900.9</v>
      </c>
    </row>
    <row r="21" spans="1:4" x14ac:dyDescent="0.25">
      <c r="A21" s="3">
        <v>20</v>
      </c>
      <c r="B21" s="83">
        <v>5560.6</v>
      </c>
      <c r="D21" s="88">
        <v>3160.5</v>
      </c>
    </row>
    <row r="22" spans="1:4" x14ac:dyDescent="0.25">
      <c r="A22" s="3">
        <v>21</v>
      </c>
      <c r="B22" s="83">
        <v>2800</v>
      </c>
      <c r="D22" s="88">
        <v>3225.74</v>
      </c>
    </row>
    <row r="23" spans="1:4" x14ac:dyDescent="0.25">
      <c r="A23" s="3">
        <v>22</v>
      </c>
      <c r="B23" s="83">
        <v>9538.33</v>
      </c>
      <c r="D23" s="88">
        <v>3250</v>
      </c>
    </row>
    <row r="24" spans="1:4" x14ac:dyDescent="0.25">
      <c r="A24" s="3">
        <v>23</v>
      </c>
      <c r="B24" s="83">
        <v>2000</v>
      </c>
      <c r="D24" s="88">
        <v>3448.38</v>
      </c>
    </row>
    <row r="25" spans="1:4" x14ac:dyDescent="0.25">
      <c r="A25" s="3">
        <v>24</v>
      </c>
      <c r="B25" s="83">
        <v>3225.74</v>
      </c>
      <c r="D25" s="88">
        <v>3508.37</v>
      </c>
    </row>
    <row r="26" spans="1:4" x14ac:dyDescent="0.25">
      <c r="A26" s="3">
        <v>25</v>
      </c>
      <c r="B26" s="83">
        <v>1900.25</v>
      </c>
      <c r="D26" s="88">
        <v>3560.1</v>
      </c>
    </row>
    <row r="27" spans="1:4" x14ac:dyDescent="0.25">
      <c r="A27" s="3">
        <v>26</v>
      </c>
      <c r="B27" s="83">
        <v>7664.72</v>
      </c>
      <c r="D27" s="88">
        <v>3860.1</v>
      </c>
    </row>
    <row r="28" spans="1:4" x14ac:dyDescent="0.25">
      <c r="A28" s="3">
        <v>27</v>
      </c>
      <c r="B28" s="83">
        <v>3890</v>
      </c>
      <c r="D28" s="88">
        <v>3890</v>
      </c>
    </row>
    <row r="29" spans="1:4" x14ac:dyDescent="0.25">
      <c r="A29" s="3">
        <v>28</v>
      </c>
      <c r="B29" s="83">
        <v>6589.9</v>
      </c>
      <c r="D29" s="88">
        <v>3900</v>
      </c>
    </row>
    <row r="30" spans="1:4" x14ac:dyDescent="0.25">
      <c r="A30" s="3">
        <v>29</v>
      </c>
      <c r="B30" s="83">
        <v>1240.5</v>
      </c>
      <c r="D30" s="89">
        <v>4120.6000000000004</v>
      </c>
    </row>
    <row r="31" spans="1:4" x14ac:dyDescent="0.25">
      <c r="A31" s="3">
        <v>30</v>
      </c>
      <c r="B31" s="83">
        <v>1720.2</v>
      </c>
      <c r="D31" s="89">
        <v>4129.99</v>
      </c>
    </row>
    <row r="32" spans="1:4" x14ac:dyDescent="0.25">
      <c r="A32" s="3">
        <v>31</v>
      </c>
      <c r="B32" s="83">
        <v>2555.6</v>
      </c>
      <c r="D32" s="89">
        <v>4448</v>
      </c>
    </row>
    <row r="33" spans="1:4" x14ac:dyDescent="0.25">
      <c r="A33" s="3">
        <v>32</v>
      </c>
      <c r="B33" s="83">
        <v>4730</v>
      </c>
      <c r="D33" s="89">
        <v>4595.1000000000004</v>
      </c>
    </row>
    <row r="34" spans="1:4" x14ac:dyDescent="0.25">
      <c r="A34" s="3">
        <v>33</v>
      </c>
      <c r="B34" s="83">
        <v>4745.3999999999996</v>
      </c>
      <c r="D34" s="89">
        <v>4730</v>
      </c>
    </row>
    <row r="35" spans="1:4" x14ac:dyDescent="0.25">
      <c r="A35" s="3">
        <v>34</v>
      </c>
      <c r="B35" s="83">
        <v>8550</v>
      </c>
      <c r="D35" s="89">
        <v>4745.3999999999996</v>
      </c>
    </row>
    <row r="36" spans="1:4" x14ac:dyDescent="0.25">
      <c r="A36" s="3">
        <v>35</v>
      </c>
      <c r="B36" s="83">
        <v>3860.1</v>
      </c>
      <c r="D36" s="89">
        <v>4870.6000000000004</v>
      </c>
    </row>
    <row r="37" spans="1:4" x14ac:dyDescent="0.25">
      <c r="A37" s="3">
        <v>36</v>
      </c>
      <c r="B37" s="83">
        <v>11320</v>
      </c>
      <c r="D37" s="89">
        <v>4999.2</v>
      </c>
    </row>
    <row r="38" spans="1:4" x14ac:dyDescent="0.25">
      <c r="A38" s="3">
        <v>37</v>
      </c>
      <c r="B38" s="83">
        <v>6125</v>
      </c>
      <c r="D38" s="89">
        <v>5510.76</v>
      </c>
    </row>
    <row r="39" spans="1:4" x14ac:dyDescent="0.25">
      <c r="A39" s="3">
        <v>38</v>
      </c>
      <c r="B39" s="83">
        <v>5605.75</v>
      </c>
      <c r="D39" s="89">
        <v>5560.6</v>
      </c>
    </row>
    <row r="40" spans="1:4" x14ac:dyDescent="0.25">
      <c r="A40" s="3">
        <v>39</v>
      </c>
      <c r="B40" s="83">
        <v>3250</v>
      </c>
      <c r="D40" s="89">
        <v>5605.75</v>
      </c>
    </row>
    <row r="41" spans="1:4" x14ac:dyDescent="0.25">
      <c r="A41" s="3">
        <v>40</v>
      </c>
      <c r="B41" s="83">
        <v>1500</v>
      </c>
      <c r="D41" s="90">
        <v>6125</v>
      </c>
    </row>
    <row r="42" spans="1:4" x14ac:dyDescent="0.25">
      <c r="A42" s="3">
        <v>41</v>
      </c>
      <c r="B42" s="83">
        <v>9215.5499999999993</v>
      </c>
      <c r="D42" s="90">
        <v>6200.73</v>
      </c>
    </row>
    <row r="43" spans="1:4" x14ac:dyDescent="0.25">
      <c r="A43" s="3">
        <v>42</v>
      </c>
      <c r="B43" s="83">
        <v>4999.2</v>
      </c>
      <c r="D43" s="90">
        <v>6589.9</v>
      </c>
    </row>
    <row r="44" spans="1:4" x14ac:dyDescent="0.25">
      <c r="A44" s="3">
        <v>43</v>
      </c>
      <c r="B44" s="83">
        <v>3900</v>
      </c>
      <c r="D44" s="90">
        <v>7000.2</v>
      </c>
    </row>
    <row r="45" spans="1:4" x14ac:dyDescent="0.25">
      <c r="A45" s="3">
        <v>44</v>
      </c>
      <c r="B45" s="83">
        <v>7000.2</v>
      </c>
      <c r="D45" s="90">
        <v>7664.72</v>
      </c>
    </row>
    <row r="46" spans="1:4" x14ac:dyDescent="0.25">
      <c r="A46" s="3">
        <v>45</v>
      </c>
      <c r="B46" s="83">
        <v>3508.37</v>
      </c>
      <c r="D46" s="93">
        <v>8550</v>
      </c>
    </row>
    <row r="47" spans="1:4" x14ac:dyDescent="0.25">
      <c r="A47" s="3">
        <v>46</v>
      </c>
      <c r="B47" s="83">
        <v>1130</v>
      </c>
      <c r="D47" s="93">
        <v>8630</v>
      </c>
    </row>
    <row r="48" spans="1:4" x14ac:dyDescent="0.25">
      <c r="A48" s="3">
        <v>47</v>
      </c>
      <c r="B48" s="83">
        <v>4120.6000000000004</v>
      </c>
      <c r="D48" s="93">
        <v>9215.5499999999993</v>
      </c>
    </row>
    <row r="49" spans="1:4" x14ac:dyDescent="0.25">
      <c r="A49" s="3">
        <v>48</v>
      </c>
      <c r="B49" s="83">
        <v>2600.5</v>
      </c>
      <c r="D49" s="93">
        <v>9538.33</v>
      </c>
    </row>
    <row r="50" spans="1:4" x14ac:dyDescent="0.25">
      <c r="A50" s="3">
        <v>49</v>
      </c>
      <c r="B50" s="83">
        <v>2900.77</v>
      </c>
      <c r="D50" s="92">
        <v>10127.5</v>
      </c>
    </row>
    <row r="51" spans="1:4" x14ac:dyDescent="0.25">
      <c r="A51" s="3">
        <v>50</v>
      </c>
      <c r="B51" s="83">
        <v>4870.6000000000004</v>
      </c>
      <c r="D51" s="92">
        <v>11320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showGridLines="0" zoomScale="90" zoomScaleNormal="90" workbookViewId="0"/>
  </sheetViews>
  <sheetFormatPr defaultRowHeight="15" x14ac:dyDescent="0.25"/>
  <cols>
    <col min="1" max="2" width="22.7109375" style="2" customWidth="1"/>
    <col min="3" max="16384" width="9.140625" style="2"/>
  </cols>
  <sheetData>
    <row r="1" spans="1:21" x14ac:dyDescent="0.25">
      <c r="A1" s="5" t="s">
        <v>101</v>
      </c>
      <c r="B1" s="5" t="s">
        <v>108</v>
      </c>
      <c r="E1" s="57" t="s">
        <v>102</v>
      </c>
      <c r="F1" s="57" t="s">
        <v>103</v>
      </c>
      <c r="P1" s="100" t="s">
        <v>160</v>
      </c>
      <c r="Q1" s="101"/>
      <c r="R1" s="101"/>
      <c r="S1" s="101"/>
      <c r="T1" s="101"/>
      <c r="U1" s="102"/>
    </row>
    <row r="2" spans="1:21" x14ac:dyDescent="0.25">
      <c r="A2" s="5" t="s">
        <v>104</v>
      </c>
      <c r="B2" s="12">
        <v>36</v>
      </c>
      <c r="E2" s="19">
        <v>-5</v>
      </c>
      <c r="F2" s="19">
        <f>_xlfn.T.DIST(E2,24,FALSE)</f>
        <v>5.2671658362090631E-5</v>
      </c>
      <c r="P2" s="103"/>
      <c r="Q2" s="104"/>
      <c r="R2" s="104"/>
      <c r="S2" s="104"/>
      <c r="T2" s="104"/>
      <c r="U2" s="105"/>
    </row>
    <row r="3" spans="1:21" x14ac:dyDescent="0.25">
      <c r="A3" s="5" t="s">
        <v>6</v>
      </c>
      <c r="B3" s="19">
        <v>65</v>
      </c>
      <c r="E3" s="19">
        <v>-4.9000000000000004</v>
      </c>
      <c r="F3" s="19">
        <f t="shared" ref="F3:F66" si="0">_xlfn.T.DIST(E3,24,FALSE)</f>
        <v>6.7980079483886916E-5</v>
      </c>
      <c r="P3" s="103"/>
      <c r="Q3" s="104"/>
      <c r="R3" s="104"/>
      <c r="S3" s="104"/>
      <c r="T3" s="104"/>
      <c r="U3" s="105"/>
    </row>
    <row r="4" spans="1:21" x14ac:dyDescent="0.25">
      <c r="A4" s="5" t="s">
        <v>2</v>
      </c>
      <c r="B4" s="59">
        <v>3.5</v>
      </c>
      <c r="E4" s="19">
        <v>-4.8</v>
      </c>
      <c r="F4" s="19">
        <f t="shared" si="0"/>
        <v>8.773776745425236E-5</v>
      </c>
      <c r="P4" s="103"/>
      <c r="Q4" s="104"/>
      <c r="R4" s="104"/>
      <c r="S4" s="104"/>
      <c r="T4" s="104"/>
      <c r="U4" s="105"/>
    </row>
    <row r="5" spans="1:21" x14ac:dyDescent="0.25">
      <c r="E5" s="19">
        <v>-4.7</v>
      </c>
      <c r="F5" s="19">
        <f t="shared" si="0"/>
        <v>1.1322547233945233E-4</v>
      </c>
      <c r="P5" s="103"/>
      <c r="Q5" s="104"/>
      <c r="R5" s="104"/>
      <c r="S5" s="104"/>
      <c r="T5" s="104"/>
      <c r="U5" s="105"/>
    </row>
    <row r="6" spans="1:21" x14ac:dyDescent="0.25">
      <c r="A6" s="60" t="s">
        <v>105</v>
      </c>
      <c r="B6" s="60" t="s">
        <v>110</v>
      </c>
      <c r="E6" s="19">
        <v>-4.5999999999999996</v>
      </c>
      <c r="F6" s="19">
        <f t="shared" si="0"/>
        <v>1.4608439523534675E-4</v>
      </c>
      <c r="P6" s="106"/>
      <c r="Q6" s="107"/>
      <c r="R6" s="107"/>
      <c r="S6" s="107"/>
      <c r="T6" s="107"/>
      <c r="U6" s="108"/>
    </row>
    <row r="7" spans="1:21" x14ac:dyDescent="0.25">
      <c r="A7" s="60" t="s">
        <v>108</v>
      </c>
      <c r="B7" s="19">
        <v>60</v>
      </c>
      <c r="E7" s="19">
        <v>-4.5</v>
      </c>
      <c r="F7" s="19">
        <f t="shared" si="0"/>
        <v>1.8841351629347321E-4</v>
      </c>
    </row>
    <row r="8" spans="1:21" x14ac:dyDescent="0.25">
      <c r="E8" s="19">
        <v>-4.4000000000000004</v>
      </c>
      <c r="F8" s="19">
        <f t="shared" si="0"/>
        <v>2.4289136387486981E-4</v>
      </c>
    </row>
    <row r="9" spans="1:21" x14ac:dyDescent="0.25">
      <c r="A9" s="31" t="s">
        <v>39</v>
      </c>
      <c r="B9" s="29" t="s">
        <v>106</v>
      </c>
      <c r="E9" s="19">
        <v>-4.3</v>
      </c>
      <c r="F9" s="19">
        <f t="shared" si="0"/>
        <v>3.1292758898924828E-4</v>
      </c>
    </row>
    <row r="10" spans="1:21" x14ac:dyDescent="0.25">
      <c r="A10" s="31" t="s">
        <v>40</v>
      </c>
      <c r="B10" s="29" t="s">
        <v>109</v>
      </c>
      <c r="E10" s="19">
        <v>-4.2</v>
      </c>
      <c r="F10" s="19">
        <f t="shared" si="0"/>
        <v>4.0285056971879862E-4</v>
      </c>
    </row>
    <row r="11" spans="1:21" x14ac:dyDescent="0.25">
      <c r="E11" s="19">
        <v>-4.0999999999999996</v>
      </c>
      <c r="F11" s="19">
        <f t="shared" si="0"/>
        <v>5.1813813549870429E-4</v>
      </c>
    </row>
    <row r="12" spans="1:21" x14ac:dyDescent="0.25">
      <c r="A12" s="61" t="s">
        <v>107</v>
      </c>
      <c r="B12" s="67">
        <f>(B3-B7)/(B4/SQRT(B2))</f>
        <v>8.5714285714285712</v>
      </c>
      <c r="E12" s="19">
        <v>-4</v>
      </c>
      <c r="F12" s="19">
        <f t="shared" si="0"/>
        <v>6.6569930117954101E-4</v>
      </c>
    </row>
    <row r="13" spans="1:21" x14ac:dyDescent="0.25">
      <c r="A13" s="61" t="s">
        <v>111</v>
      </c>
      <c r="B13" s="62">
        <f>_xlfn.T.DIST.2T(B12,35)</f>
        <v>4.0671297941271409E-10</v>
      </c>
      <c r="E13" s="19">
        <v>-3.9</v>
      </c>
      <c r="F13" s="19">
        <f t="shared" si="0"/>
        <v>8.5421553211713645E-4</v>
      </c>
    </row>
    <row r="14" spans="1:21" x14ac:dyDescent="0.25">
      <c r="E14" s="19">
        <v>-3.8</v>
      </c>
      <c r="F14" s="19">
        <f t="shared" si="0"/>
        <v>1.0945503777529081E-3</v>
      </c>
    </row>
    <row r="15" spans="1:21" x14ac:dyDescent="0.25">
      <c r="A15" s="61" t="s">
        <v>47</v>
      </c>
      <c r="B15" s="63">
        <v>0.05</v>
      </c>
      <c r="E15" s="19">
        <v>-3.7</v>
      </c>
      <c r="F15" s="19">
        <f t="shared" si="0"/>
        <v>1.4002361140689329E-3</v>
      </c>
    </row>
    <row r="16" spans="1:21" x14ac:dyDescent="0.25">
      <c r="E16" s="19">
        <v>-3.6</v>
      </c>
      <c r="F16" s="19">
        <f t="shared" si="0"/>
        <v>1.7880450668853064E-3</v>
      </c>
    </row>
    <row r="17" spans="1:6" x14ac:dyDescent="0.25">
      <c r="A17" s="64" t="s">
        <v>112</v>
      </c>
      <c r="B17" s="65">
        <f>_xlfn.T.INV.2T(B15,35)</f>
        <v>2.0301079282503438</v>
      </c>
      <c r="E17" s="19">
        <v>-3.5</v>
      </c>
      <c r="F17" s="19">
        <f t="shared" si="0"/>
        <v>2.278651225223945E-3</v>
      </c>
    </row>
    <row r="18" spans="1:6" x14ac:dyDescent="0.25">
      <c r="E18" s="19">
        <v>-3.4</v>
      </c>
      <c r="F18" s="19">
        <f t="shared" si="0"/>
        <v>2.8973842094988079E-3</v>
      </c>
    </row>
    <row r="19" spans="1:6" x14ac:dyDescent="0.25">
      <c r="E19" s="19">
        <v>-3.3</v>
      </c>
      <c r="F19" s="19">
        <f t="shared" si="0"/>
        <v>3.6750721911118066E-3</v>
      </c>
    </row>
    <row r="20" spans="1:6" x14ac:dyDescent="0.25">
      <c r="A20" s="112" t="s">
        <v>113</v>
      </c>
      <c r="B20" s="112"/>
      <c r="E20" s="19">
        <v>-3.2</v>
      </c>
      <c r="F20" s="19">
        <f t="shared" si="0"/>
        <v>4.6489624951230879E-3</v>
      </c>
    </row>
    <row r="21" spans="1:6" x14ac:dyDescent="0.25">
      <c r="A21" s="112"/>
      <c r="B21" s="112"/>
      <c r="E21" s="19">
        <v>-3.1</v>
      </c>
      <c r="F21" s="19">
        <f t="shared" si="0"/>
        <v>5.8636978944924213E-3</v>
      </c>
    </row>
    <row r="22" spans="1:6" x14ac:dyDescent="0.25">
      <c r="A22" s="112"/>
      <c r="B22" s="112"/>
      <c r="E22" s="19">
        <v>-3</v>
      </c>
      <c r="F22" s="19">
        <f t="shared" si="0"/>
        <v>7.3723126395608537E-3</v>
      </c>
    </row>
    <row r="23" spans="1:6" x14ac:dyDescent="0.25">
      <c r="A23" s="112"/>
      <c r="B23" s="112"/>
      <c r="E23" s="19">
        <v>-2.9</v>
      </c>
      <c r="F23" s="19">
        <f t="shared" si="0"/>
        <v>9.2371948497963364E-3</v>
      </c>
    </row>
    <row r="24" spans="1:6" x14ac:dyDescent="0.25">
      <c r="A24" s="66"/>
      <c r="B24" s="66"/>
      <c r="E24" s="19">
        <v>-2.8</v>
      </c>
      <c r="F24" s="19">
        <f t="shared" si="0"/>
        <v>1.1530941114839786E-2</v>
      </c>
    </row>
    <row r="25" spans="1:6" x14ac:dyDescent="0.25">
      <c r="A25" s="66"/>
      <c r="B25" s="66"/>
      <c r="E25" s="19">
        <v>-2.7</v>
      </c>
      <c r="F25" s="19">
        <f t="shared" si="0"/>
        <v>1.4337005548725856E-2</v>
      </c>
    </row>
    <row r="26" spans="1:6" x14ac:dyDescent="0.25">
      <c r="E26" s="19">
        <v>-2.6</v>
      </c>
      <c r="F26" s="19">
        <f t="shared" si="0"/>
        <v>1.7750020277715928E-2</v>
      </c>
    </row>
    <row r="27" spans="1:6" x14ac:dyDescent="0.25">
      <c r="E27" s="19">
        <v>-2.5</v>
      </c>
      <c r="F27" s="19">
        <f t="shared" si="0"/>
        <v>2.1875639373835187E-2</v>
      </c>
    </row>
    <row r="28" spans="1:6" x14ac:dyDescent="0.25">
      <c r="E28" s="19">
        <v>-2.4</v>
      </c>
      <c r="F28" s="19">
        <f t="shared" si="0"/>
        <v>2.6829736458164076E-2</v>
      </c>
    </row>
    <row r="29" spans="1:6" x14ac:dyDescent="0.25">
      <c r="E29" s="19">
        <v>-2.2999999999999998</v>
      </c>
      <c r="F29" s="19">
        <f t="shared" si="0"/>
        <v>3.2736771466667973E-2</v>
      </c>
    </row>
    <row r="30" spans="1:6" x14ac:dyDescent="0.25">
      <c r="E30" s="19">
        <v>-2.2000000000000002</v>
      </c>
      <c r="F30" s="19">
        <f t="shared" si="0"/>
        <v>3.9727139195741924E-2</v>
      </c>
    </row>
    <row r="31" spans="1:6" x14ac:dyDescent="0.25">
      <c r="E31" s="19">
        <v>-2.1</v>
      </c>
      <c r="F31" s="19">
        <f t="shared" si="0"/>
        <v>4.7933326687391524E-2</v>
      </c>
    </row>
    <row r="32" spans="1:6" x14ac:dyDescent="0.25">
      <c r="E32" s="19">
        <v>-2</v>
      </c>
      <c r="F32" s="19">
        <f t="shared" si="0"/>
        <v>5.7484743899123496E-2</v>
      </c>
    </row>
    <row r="33" spans="5:6" x14ac:dyDescent="0.25">
      <c r="E33" s="19">
        <v>-1.9</v>
      </c>
      <c r="F33" s="19">
        <f t="shared" si="0"/>
        <v>6.8501157437247717E-2</v>
      </c>
    </row>
    <row r="34" spans="5:6" x14ac:dyDescent="0.25">
      <c r="E34" s="19">
        <v>-1.8</v>
      </c>
      <c r="F34" s="19">
        <f t="shared" si="0"/>
        <v>8.1084753753954561E-2</v>
      </c>
    </row>
    <row r="35" spans="5:6" x14ac:dyDescent="0.25">
      <c r="E35" s="19">
        <v>-1.7</v>
      </c>
      <c r="F35" s="19">
        <f t="shared" si="0"/>
        <v>9.5310986543298615E-2</v>
      </c>
    </row>
    <row r="36" spans="5:6" x14ac:dyDescent="0.25">
      <c r="E36" s="19">
        <v>-1.6</v>
      </c>
      <c r="F36" s="19">
        <f t="shared" si="0"/>
        <v>0.1112185193305458</v>
      </c>
    </row>
    <row r="37" spans="5:6" x14ac:dyDescent="0.25">
      <c r="E37" s="19">
        <v>-1.5</v>
      </c>
      <c r="F37" s="19">
        <f t="shared" si="0"/>
        <v>0.12879874931359533</v>
      </c>
    </row>
    <row r="38" spans="5:6" x14ac:dyDescent="0.25">
      <c r="E38" s="19">
        <v>-1.4</v>
      </c>
      <c r="F38" s="19">
        <f t="shared" si="0"/>
        <v>0.14798557730102335</v>
      </c>
    </row>
    <row r="39" spans="5:6" x14ac:dyDescent="0.25">
      <c r="E39" s="19">
        <v>-1.3</v>
      </c>
      <c r="F39" s="19">
        <f t="shared" si="0"/>
        <v>0.16864625023800159</v>
      </c>
    </row>
    <row r="40" spans="5:6" x14ac:dyDescent="0.25">
      <c r="E40" s="19">
        <v>-1.2</v>
      </c>
      <c r="F40" s="19">
        <f t="shared" si="0"/>
        <v>0.19057422198334129</v>
      </c>
    </row>
    <row r="41" spans="5:6" x14ac:dyDescent="0.25">
      <c r="E41" s="19">
        <v>-1.1000000000000001</v>
      </c>
      <c r="F41" s="19">
        <f t="shared" si="0"/>
        <v>0.21348502747727868</v>
      </c>
    </row>
    <row r="42" spans="5:6" x14ac:dyDescent="0.25">
      <c r="E42" s="19">
        <v>-1</v>
      </c>
      <c r="F42" s="19">
        <f t="shared" si="0"/>
        <v>0.23701611993911284</v>
      </c>
    </row>
    <row r="43" spans="5:6" x14ac:dyDescent="0.25">
      <c r="E43" s="19">
        <v>-0.9</v>
      </c>
      <c r="F43" s="19">
        <f t="shared" si="0"/>
        <v>0.26073146162557914</v>
      </c>
    </row>
    <row r="44" spans="5:6" x14ac:dyDescent="0.25">
      <c r="E44" s="19">
        <v>-0.8</v>
      </c>
      <c r="F44" s="19">
        <f t="shared" si="0"/>
        <v>0.28413137890690265</v>
      </c>
    </row>
    <row r="45" spans="5:6" x14ac:dyDescent="0.25">
      <c r="E45" s="19">
        <v>-0.7</v>
      </c>
      <c r="F45" s="19">
        <f t="shared" si="0"/>
        <v>0.30666780068205007</v>
      </c>
    </row>
    <row r="46" spans="5:6" x14ac:dyDescent="0.25">
      <c r="E46" s="19">
        <v>-0.6</v>
      </c>
      <c r="F46" s="19">
        <f t="shared" si="0"/>
        <v>0.32776452231144204</v>
      </c>
    </row>
    <row r="47" spans="5:6" x14ac:dyDescent="0.25">
      <c r="E47" s="19">
        <v>-0.5</v>
      </c>
      <c r="F47" s="19">
        <f t="shared" si="0"/>
        <v>0.34684161991748202</v>
      </c>
    </row>
    <row r="48" spans="5:6" x14ac:dyDescent="0.25">
      <c r="E48" s="19">
        <v>-0.4</v>
      </c>
      <c r="F48" s="19">
        <f t="shared" si="0"/>
        <v>0.36334264074730077</v>
      </c>
    </row>
    <row r="49" spans="5:6" x14ac:dyDescent="0.25">
      <c r="E49" s="19">
        <v>-0.3</v>
      </c>
      <c r="F49" s="19">
        <f t="shared" si="0"/>
        <v>0.37676277993616819</v>
      </c>
    </row>
    <row r="50" spans="5:6" x14ac:dyDescent="0.25">
      <c r="E50" s="19">
        <v>-0.2</v>
      </c>
      <c r="F50" s="19">
        <f t="shared" si="0"/>
        <v>0.38667598545546827</v>
      </c>
    </row>
    <row r="51" spans="5:6" x14ac:dyDescent="0.25">
      <c r="E51" s="19">
        <v>-0.1</v>
      </c>
      <c r="F51" s="19">
        <f t="shared" si="0"/>
        <v>0.3927588610289669</v>
      </c>
    </row>
    <row r="52" spans="5:6" x14ac:dyDescent="0.25">
      <c r="E52" s="19">
        <v>0</v>
      </c>
      <c r="F52" s="19">
        <f t="shared" si="0"/>
        <v>0.39480938821349071</v>
      </c>
    </row>
    <row r="53" spans="5:6" x14ac:dyDescent="0.25">
      <c r="E53" s="19">
        <v>0.1</v>
      </c>
      <c r="F53" s="19">
        <f t="shared" si="0"/>
        <v>0.3927588610289669</v>
      </c>
    </row>
    <row r="54" spans="5:6" x14ac:dyDescent="0.25">
      <c r="E54" s="19">
        <v>0.2</v>
      </c>
      <c r="F54" s="19">
        <f t="shared" si="0"/>
        <v>0.38667598545546827</v>
      </c>
    </row>
    <row r="55" spans="5:6" x14ac:dyDescent="0.25">
      <c r="E55" s="19">
        <v>0.3</v>
      </c>
      <c r="F55" s="19">
        <f t="shared" si="0"/>
        <v>0.37676277993616819</v>
      </c>
    </row>
    <row r="56" spans="5:6" x14ac:dyDescent="0.25">
      <c r="E56" s="19">
        <v>0.4</v>
      </c>
      <c r="F56" s="19">
        <f t="shared" si="0"/>
        <v>0.36334264074730077</v>
      </c>
    </row>
    <row r="57" spans="5:6" x14ac:dyDescent="0.25">
      <c r="E57" s="19">
        <v>0.5</v>
      </c>
      <c r="F57" s="19">
        <f t="shared" si="0"/>
        <v>0.34684161991748202</v>
      </c>
    </row>
    <row r="58" spans="5:6" x14ac:dyDescent="0.25">
      <c r="E58" s="19">
        <v>0.6</v>
      </c>
      <c r="F58" s="19">
        <f t="shared" si="0"/>
        <v>0.32776452231144204</v>
      </c>
    </row>
    <row r="59" spans="5:6" x14ac:dyDescent="0.25">
      <c r="E59" s="19">
        <v>0.7</v>
      </c>
      <c r="F59" s="19">
        <f t="shared" si="0"/>
        <v>0.30666780068205007</v>
      </c>
    </row>
    <row r="60" spans="5:6" x14ac:dyDescent="0.25">
      <c r="E60" s="19">
        <v>0.8</v>
      </c>
      <c r="F60" s="19">
        <f t="shared" si="0"/>
        <v>0.28413137890690265</v>
      </c>
    </row>
    <row r="61" spans="5:6" x14ac:dyDescent="0.25">
      <c r="E61" s="19">
        <v>0.9</v>
      </c>
      <c r="F61" s="19">
        <f t="shared" si="0"/>
        <v>0.26073146162557914</v>
      </c>
    </row>
    <row r="62" spans="5:6" x14ac:dyDescent="0.25">
      <c r="E62" s="19">
        <v>1</v>
      </c>
      <c r="F62" s="19">
        <f t="shared" si="0"/>
        <v>0.23701611993911284</v>
      </c>
    </row>
    <row r="63" spans="5:6" x14ac:dyDescent="0.25">
      <c r="E63" s="19">
        <v>1.1000000000000001</v>
      </c>
      <c r="F63" s="19">
        <f t="shared" si="0"/>
        <v>0.21348502747727868</v>
      </c>
    </row>
    <row r="64" spans="5:6" x14ac:dyDescent="0.25">
      <c r="E64" s="19">
        <v>1.2</v>
      </c>
      <c r="F64" s="19">
        <f t="shared" si="0"/>
        <v>0.19057422198334129</v>
      </c>
    </row>
    <row r="65" spans="5:6" x14ac:dyDescent="0.25">
      <c r="E65" s="19">
        <v>1.3</v>
      </c>
      <c r="F65" s="19">
        <f t="shared" si="0"/>
        <v>0.16864625023800159</v>
      </c>
    </row>
    <row r="66" spans="5:6" x14ac:dyDescent="0.25">
      <c r="E66" s="19">
        <v>1.4</v>
      </c>
      <c r="F66" s="19">
        <f t="shared" si="0"/>
        <v>0.14798557730102335</v>
      </c>
    </row>
    <row r="67" spans="5:6" x14ac:dyDescent="0.25">
      <c r="E67" s="19">
        <v>1.5</v>
      </c>
      <c r="F67" s="19">
        <f t="shared" ref="F67:F102" si="1">_xlfn.T.DIST(E67,24,FALSE)</f>
        <v>0.12879874931359533</v>
      </c>
    </row>
    <row r="68" spans="5:6" x14ac:dyDescent="0.25">
      <c r="E68" s="19">
        <v>1.6</v>
      </c>
      <c r="F68" s="19">
        <f t="shared" si="1"/>
        <v>0.1112185193305458</v>
      </c>
    </row>
    <row r="69" spans="5:6" x14ac:dyDescent="0.25">
      <c r="E69" s="19">
        <v>1.7</v>
      </c>
      <c r="F69" s="19">
        <f t="shared" si="1"/>
        <v>9.5310986543298615E-2</v>
      </c>
    </row>
    <row r="70" spans="5:6" x14ac:dyDescent="0.25">
      <c r="E70" s="19">
        <v>1.8</v>
      </c>
      <c r="F70" s="19">
        <f t="shared" si="1"/>
        <v>8.1084753753954561E-2</v>
      </c>
    </row>
    <row r="71" spans="5:6" x14ac:dyDescent="0.25">
      <c r="E71" s="19">
        <v>1.9</v>
      </c>
      <c r="F71" s="19">
        <f t="shared" si="1"/>
        <v>6.8501157437247717E-2</v>
      </c>
    </row>
    <row r="72" spans="5:6" x14ac:dyDescent="0.25">
      <c r="E72" s="19">
        <v>2</v>
      </c>
      <c r="F72" s="19">
        <f t="shared" si="1"/>
        <v>5.7484743899123496E-2</v>
      </c>
    </row>
    <row r="73" spans="5:6" x14ac:dyDescent="0.25">
      <c r="E73" s="19">
        <v>2.1</v>
      </c>
      <c r="F73" s="19">
        <f t="shared" si="1"/>
        <v>4.7933326687391524E-2</v>
      </c>
    </row>
    <row r="74" spans="5:6" x14ac:dyDescent="0.25">
      <c r="E74" s="19">
        <v>2.2000000000000002</v>
      </c>
      <c r="F74" s="19">
        <f t="shared" si="1"/>
        <v>3.9727139195741924E-2</v>
      </c>
    </row>
    <row r="75" spans="5:6" x14ac:dyDescent="0.25">
      <c r="E75" s="19">
        <v>2.2999999999999998</v>
      </c>
      <c r="F75" s="19">
        <f t="shared" si="1"/>
        <v>3.2736771466667973E-2</v>
      </c>
    </row>
    <row r="76" spans="5:6" x14ac:dyDescent="0.25">
      <c r="E76" s="19">
        <v>2.4</v>
      </c>
      <c r="F76" s="19">
        <f t="shared" si="1"/>
        <v>2.6829736458164076E-2</v>
      </c>
    </row>
    <row r="77" spans="5:6" x14ac:dyDescent="0.25">
      <c r="E77" s="19">
        <v>2.5</v>
      </c>
      <c r="F77" s="19">
        <f t="shared" si="1"/>
        <v>2.1875639373835187E-2</v>
      </c>
    </row>
    <row r="78" spans="5:6" x14ac:dyDescent="0.25">
      <c r="E78" s="19">
        <v>2.6</v>
      </c>
      <c r="F78" s="19">
        <f t="shared" si="1"/>
        <v>1.7750020277715928E-2</v>
      </c>
    </row>
    <row r="79" spans="5:6" x14ac:dyDescent="0.25">
      <c r="E79" s="19">
        <v>2.7</v>
      </c>
      <c r="F79" s="19">
        <f t="shared" si="1"/>
        <v>1.4337005548725856E-2</v>
      </c>
    </row>
    <row r="80" spans="5:6" x14ac:dyDescent="0.25">
      <c r="E80" s="19">
        <v>2.8</v>
      </c>
      <c r="F80" s="19">
        <f t="shared" si="1"/>
        <v>1.1530941114839786E-2</v>
      </c>
    </row>
    <row r="81" spans="5:6" x14ac:dyDescent="0.25">
      <c r="E81" s="19">
        <v>2.9</v>
      </c>
      <c r="F81" s="19">
        <f t="shared" si="1"/>
        <v>9.2371948497963364E-3</v>
      </c>
    </row>
    <row r="82" spans="5:6" x14ac:dyDescent="0.25">
      <c r="E82" s="19">
        <v>3</v>
      </c>
      <c r="F82" s="19">
        <f t="shared" si="1"/>
        <v>7.3723126395608537E-3</v>
      </c>
    </row>
    <row r="83" spans="5:6" x14ac:dyDescent="0.25">
      <c r="E83" s="19">
        <v>3.1</v>
      </c>
      <c r="F83" s="19">
        <f t="shared" si="1"/>
        <v>5.8636978944924213E-3</v>
      </c>
    </row>
    <row r="84" spans="5:6" x14ac:dyDescent="0.25">
      <c r="E84" s="19">
        <v>3.2</v>
      </c>
      <c r="F84" s="19">
        <f t="shared" si="1"/>
        <v>4.6489624951230879E-3</v>
      </c>
    </row>
    <row r="85" spans="5:6" x14ac:dyDescent="0.25">
      <c r="E85" s="19">
        <v>3.3</v>
      </c>
      <c r="F85" s="19">
        <f t="shared" si="1"/>
        <v>3.6750721911118066E-3</v>
      </c>
    </row>
    <row r="86" spans="5:6" x14ac:dyDescent="0.25">
      <c r="E86" s="19">
        <v>3.4</v>
      </c>
      <c r="F86" s="19">
        <f t="shared" si="1"/>
        <v>2.8973842094988079E-3</v>
      </c>
    </row>
    <row r="87" spans="5:6" x14ac:dyDescent="0.25">
      <c r="E87" s="19">
        <v>3.5</v>
      </c>
      <c r="F87" s="19">
        <f t="shared" si="1"/>
        <v>2.278651225223945E-3</v>
      </c>
    </row>
    <row r="88" spans="5:6" x14ac:dyDescent="0.25">
      <c r="E88" s="19">
        <v>3.6</v>
      </c>
      <c r="F88" s="19">
        <f t="shared" si="1"/>
        <v>1.7880450668853064E-3</v>
      </c>
    </row>
    <row r="89" spans="5:6" x14ac:dyDescent="0.25">
      <c r="E89" s="19">
        <v>3.7</v>
      </c>
      <c r="F89" s="19">
        <f t="shared" si="1"/>
        <v>1.4002361140689329E-3</v>
      </c>
    </row>
    <row r="90" spans="5:6" x14ac:dyDescent="0.25">
      <c r="E90" s="19">
        <v>3.8</v>
      </c>
      <c r="F90" s="19">
        <f t="shared" si="1"/>
        <v>1.0945503777529081E-3</v>
      </c>
    </row>
    <row r="91" spans="5:6" x14ac:dyDescent="0.25">
      <c r="E91" s="19">
        <v>3.9</v>
      </c>
      <c r="F91" s="19">
        <f t="shared" si="1"/>
        <v>8.5421553211713645E-4</v>
      </c>
    </row>
    <row r="92" spans="5:6" x14ac:dyDescent="0.25">
      <c r="E92" s="19">
        <v>4</v>
      </c>
      <c r="F92" s="19">
        <f t="shared" si="1"/>
        <v>6.6569930117954101E-4</v>
      </c>
    </row>
    <row r="93" spans="5:6" x14ac:dyDescent="0.25">
      <c r="E93" s="19">
        <v>4.0999999999999996</v>
      </c>
      <c r="F93" s="19">
        <f t="shared" si="1"/>
        <v>5.1813813549870429E-4</v>
      </c>
    </row>
    <row r="94" spans="5:6" x14ac:dyDescent="0.25">
      <c r="E94" s="19">
        <v>4.2</v>
      </c>
      <c r="F94" s="19">
        <f t="shared" si="1"/>
        <v>4.0285056971879862E-4</v>
      </c>
    </row>
    <row r="95" spans="5:6" x14ac:dyDescent="0.25">
      <c r="E95" s="19">
        <v>4.3</v>
      </c>
      <c r="F95" s="19">
        <f t="shared" si="1"/>
        <v>3.1292758898924828E-4</v>
      </c>
    </row>
    <row r="96" spans="5:6" x14ac:dyDescent="0.25">
      <c r="E96" s="19">
        <v>4.4000000000000004</v>
      </c>
      <c r="F96" s="19">
        <f t="shared" si="1"/>
        <v>2.4289136387486981E-4</v>
      </c>
    </row>
    <row r="97" spans="5:6" x14ac:dyDescent="0.25">
      <c r="E97" s="19">
        <v>4.5</v>
      </c>
      <c r="F97" s="19">
        <f t="shared" si="1"/>
        <v>1.8841351629347321E-4</v>
      </c>
    </row>
    <row r="98" spans="5:6" x14ac:dyDescent="0.25">
      <c r="E98" s="19">
        <v>4.5999999999999996</v>
      </c>
      <c r="F98" s="19">
        <f t="shared" si="1"/>
        <v>1.4608439523534675E-4</v>
      </c>
    </row>
    <row r="99" spans="5:6" x14ac:dyDescent="0.25">
      <c r="E99" s="19">
        <v>4.7</v>
      </c>
      <c r="F99" s="19">
        <f t="shared" si="1"/>
        <v>1.1322547233945233E-4</v>
      </c>
    </row>
    <row r="100" spans="5:6" x14ac:dyDescent="0.25">
      <c r="E100" s="19">
        <v>4.8</v>
      </c>
      <c r="F100" s="19">
        <f t="shared" si="1"/>
        <v>8.773776745425236E-5</v>
      </c>
    </row>
    <row r="101" spans="5:6" x14ac:dyDescent="0.25">
      <c r="E101" s="19">
        <v>4.9000000000000004</v>
      </c>
      <c r="F101" s="19">
        <f t="shared" si="1"/>
        <v>6.7980079483886916E-5</v>
      </c>
    </row>
    <row r="102" spans="5:6" x14ac:dyDescent="0.25">
      <c r="E102" s="19">
        <v>5</v>
      </c>
      <c r="F102" s="19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GridLines="0" zoomScale="90" zoomScaleNormal="90" workbookViewId="0"/>
  </sheetViews>
  <sheetFormatPr defaultRowHeight="15" x14ac:dyDescent="0.25"/>
  <cols>
    <col min="1" max="1" width="24.140625" style="2" bestFit="1" customWidth="1"/>
    <col min="2" max="2" width="22.7109375" style="2" customWidth="1"/>
    <col min="3" max="16384" width="9.140625" style="2"/>
  </cols>
  <sheetData>
    <row r="1" spans="1:6" x14ac:dyDescent="0.25">
      <c r="A1" s="5" t="s">
        <v>101</v>
      </c>
      <c r="B1" s="5" t="s">
        <v>123</v>
      </c>
      <c r="E1" s="72" t="s">
        <v>114</v>
      </c>
      <c r="F1" s="72" t="s">
        <v>128</v>
      </c>
    </row>
    <row r="2" spans="1:6" x14ac:dyDescent="0.25">
      <c r="A2" s="5" t="s">
        <v>104</v>
      </c>
      <c r="B2" s="12">
        <v>85</v>
      </c>
      <c r="E2" s="19">
        <v>-4</v>
      </c>
      <c r="F2" s="19">
        <f t="shared" ref="F2:F56" si="0">_xlfn.NORM.S.DIST(E2,FALSE)</f>
        <v>1.3383022576488537E-4</v>
      </c>
    </row>
    <row r="3" spans="1:6" x14ac:dyDescent="0.25">
      <c r="A3" s="5" t="s">
        <v>6</v>
      </c>
      <c r="B3" s="19">
        <v>8.25</v>
      </c>
      <c r="E3" s="19">
        <v>-3.9</v>
      </c>
      <c r="F3" s="19">
        <f t="shared" si="0"/>
        <v>1.9865547139277272E-4</v>
      </c>
    </row>
    <row r="4" spans="1:6" x14ac:dyDescent="0.25">
      <c r="E4" s="19">
        <v>-3.8</v>
      </c>
      <c r="F4" s="19">
        <f t="shared" si="0"/>
        <v>2.9194692579146027E-4</v>
      </c>
    </row>
    <row r="5" spans="1:6" x14ac:dyDescent="0.25">
      <c r="A5" s="60" t="s">
        <v>124</v>
      </c>
      <c r="B5" s="60" t="s">
        <v>123</v>
      </c>
      <c r="E5" s="19">
        <v>-3.7</v>
      </c>
      <c r="F5" s="19">
        <f t="shared" si="0"/>
        <v>4.2478027055075143E-4</v>
      </c>
    </row>
    <row r="6" spans="1:6" x14ac:dyDescent="0.25">
      <c r="A6" s="60" t="s">
        <v>6</v>
      </c>
      <c r="B6" s="19">
        <v>8</v>
      </c>
      <c r="E6" s="19">
        <v>-3.6</v>
      </c>
      <c r="F6" s="19">
        <f t="shared" si="0"/>
        <v>6.119019301137719E-4</v>
      </c>
    </row>
    <row r="7" spans="1:6" x14ac:dyDescent="0.25">
      <c r="A7" s="60" t="s">
        <v>2</v>
      </c>
      <c r="B7" s="19">
        <v>1</v>
      </c>
      <c r="E7" s="19">
        <v>-3.5</v>
      </c>
      <c r="F7" s="19">
        <f t="shared" si="0"/>
        <v>8.7268269504576015E-4</v>
      </c>
    </row>
    <row r="8" spans="1:6" x14ac:dyDescent="0.25">
      <c r="E8" s="19">
        <v>-3.4</v>
      </c>
      <c r="F8" s="19">
        <f t="shared" si="0"/>
        <v>1.2322191684730199E-3</v>
      </c>
    </row>
    <row r="9" spans="1:6" x14ac:dyDescent="0.25">
      <c r="A9" s="31" t="s">
        <v>39</v>
      </c>
      <c r="B9" s="29" t="s">
        <v>130</v>
      </c>
      <c r="E9" s="19">
        <v>-3.3</v>
      </c>
      <c r="F9" s="19">
        <f t="shared" si="0"/>
        <v>1.7225689390536812E-3</v>
      </c>
    </row>
    <row r="10" spans="1:6" x14ac:dyDescent="0.25">
      <c r="A10" s="31" t="s">
        <v>40</v>
      </c>
      <c r="B10" s="29" t="s">
        <v>125</v>
      </c>
      <c r="E10" s="19">
        <v>-3.2</v>
      </c>
      <c r="F10" s="19">
        <f t="shared" si="0"/>
        <v>2.3840882014648404E-3</v>
      </c>
    </row>
    <row r="11" spans="1:6" x14ac:dyDescent="0.25">
      <c r="E11" s="19">
        <v>-3.1</v>
      </c>
      <c r="F11" s="19">
        <f t="shared" si="0"/>
        <v>3.2668190561999182E-3</v>
      </c>
    </row>
    <row r="12" spans="1:6" x14ac:dyDescent="0.25">
      <c r="A12" s="61" t="s">
        <v>126</v>
      </c>
      <c r="B12" s="67">
        <f>(B3-B6)/(B7/SQRT(B2))</f>
        <v>2.3048861143232218</v>
      </c>
      <c r="E12" s="19">
        <v>-3</v>
      </c>
      <c r="F12" s="19">
        <f t="shared" si="0"/>
        <v>4.4318484119380075E-3</v>
      </c>
    </row>
    <row r="13" spans="1:6" x14ac:dyDescent="0.25">
      <c r="A13" s="61" t="s">
        <v>129</v>
      </c>
      <c r="B13" s="62">
        <f>1-_xlfn.NORM.S.DIST(B12,TRUE)</f>
        <v>1.058647624307385E-2</v>
      </c>
      <c r="E13" s="19">
        <v>-2.9</v>
      </c>
      <c r="F13" s="19">
        <f t="shared" si="0"/>
        <v>5.9525324197758538E-3</v>
      </c>
    </row>
    <row r="14" spans="1:6" x14ac:dyDescent="0.25">
      <c r="E14" s="19">
        <v>-2.8</v>
      </c>
      <c r="F14" s="19">
        <f t="shared" si="0"/>
        <v>7.9154515829799686E-3</v>
      </c>
    </row>
    <row r="15" spans="1:6" x14ac:dyDescent="0.25">
      <c r="A15" s="61" t="s">
        <v>47</v>
      </c>
      <c r="B15" s="63">
        <v>0.05</v>
      </c>
      <c r="E15" s="19">
        <v>-2.7</v>
      </c>
      <c r="F15" s="19">
        <f t="shared" si="0"/>
        <v>1.0420934814422592E-2</v>
      </c>
    </row>
    <row r="16" spans="1:6" x14ac:dyDescent="0.25">
      <c r="E16" s="19">
        <v>-2.6</v>
      </c>
      <c r="F16" s="19">
        <f t="shared" si="0"/>
        <v>1.3582969233685613E-2</v>
      </c>
    </row>
    <row r="17" spans="1:6" x14ac:dyDescent="0.25">
      <c r="A17" s="64" t="s">
        <v>127</v>
      </c>
      <c r="B17" s="65">
        <f>-_xlfn.NORM.S.INV(B15)</f>
        <v>1.6448536269514726</v>
      </c>
      <c r="E17" s="19">
        <v>-2.5</v>
      </c>
      <c r="F17" s="19">
        <f t="shared" si="0"/>
        <v>1.752830049356854E-2</v>
      </c>
    </row>
    <row r="18" spans="1:6" x14ac:dyDescent="0.25">
      <c r="E18" s="19">
        <v>-2.4</v>
      </c>
      <c r="F18" s="19">
        <f t="shared" si="0"/>
        <v>2.2394530294842899E-2</v>
      </c>
    </row>
    <row r="19" spans="1:6" x14ac:dyDescent="0.25">
      <c r="E19" s="19">
        <v>-2.2999999999999998</v>
      </c>
      <c r="F19" s="19">
        <f t="shared" si="0"/>
        <v>2.8327037741601186E-2</v>
      </c>
    </row>
    <row r="20" spans="1:6" x14ac:dyDescent="0.25">
      <c r="A20" s="112" t="s">
        <v>131</v>
      </c>
      <c r="B20" s="112"/>
      <c r="E20" s="19">
        <v>-2.2000000000000002</v>
      </c>
      <c r="F20" s="19">
        <f t="shared" si="0"/>
        <v>3.5474592846231424E-2</v>
      </c>
    </row>
    <row r="21" spans="1:6" x14ac:dyDescent="0.25">
      <c r="A21" s="112"/>
      <c r="B21" s="112"/>
      <c r="E21" s="19">
        <v>-2.1</v>
      </c>
      <c r="F21" s="19">
        <f t="shared" si="0"/>
        <v>4.3983595980427191E-2</v>
      </c>
    </row>
    <row r="22" spans="1:6" x14ac:dyDescent="0.25">
      <c r="A22" s="112"/>
      <c r="B22" s="112"/>
      <c r="E22" s="19">
        <v>-2</v>
      </c>
      <c r="F22" s="19">
        <f t="shared" si="0"/>
        <v>5.3990966513188063E-2</v>
      </c>
    </row>
    <row r="23" spans="1:6" x14ac:dyDescent="0.25">
      <c r="A23" s="112"/>
      <c r="B23" s="112"/>
      <c r="E23" s="19">
        <v>-1.9</v>
      </c>
      <c r="F23" s="19">
        <f t="shared" si="0"/>
        <v>6.5615814774676595E-2</v>
      </c>
    </row>
    <row r="24" spans="1:6" x14ac:dyDescent="0.25">
      <c r="A24" s="66"/>
      <c r="B24" s="66"/>
      <c r="E24" s="19">
        <v>-1.8</v>
      </c>
      <c r="F24" s="19">
        <f t="shared" si="0"/>
        <v>7.8950158300894149E-2</v>
      </c>
    </row>
    <row r="25" spans="1:6" x14ac:dyDescent="0.25">
      <c r="A25" s="66"/>
      <c r="B25" s="66"/>
      <c r="E25" s="19">
        <v>-1.7</v>
      </c>
      <c r="F25" s="19">
        <f t="shared" si="0"/>
        <v>9.4049077376886947E-2</v>
      </c>
    </row>
    <row r="26" spans="1:6" x14ac:dyDescent="0.25">
      <c r="E26" s="19">
        <v>-1.6</v>
      </c>
      <c r="F26" s="19">
        <f t="shared" si="0"/>
        <v>0.11092083467945554</v>
      </c>
    </row>
    <row r="27" spans="1:6" x14ac:dyDescent="0.25">
      <c r="E27" s="19">
        <v>-1.5</v>
      </c>
      <c r="F27" s="19">
        <f t="shared" si="0"/>
        <v>0.12951759566589174</v>
      </c>
    </row>
    <row r="28" spans="1:6" x14ac:dyDescent="0.25">
      <c r="E28" s="19">
        <v>-1.4</v>
      </c>
      <c r="F28" s="19">
        <f t="shared" si="0"/>
        <v>0.14972746563574488</v>
      </c>
    </row>
    <row r="29" spans="1:6" x14ac:dyDescent="0.25">
      <c r="E29" s="19">
        <v>-1.3</v>
      </c>
      <c r="F29" s="19">
        <f t="shared" si="0"/>
        <v>0.17136859204780736</v>
      </c>
    </row>
    <row r="30" spans="1:6" x14ac:dyDescent="0.25">
      <c r="E30" s="19">
        <v>-1.2</v>
      </c>
      <c r="F30" s="19">
        <f t="shared" si="0"/>
        <v>0.19418605498321295</v>
      </c>
    </row>
    <row r="31" spans="1:6" x14ac:dyDescent="0.25">
      <c r="E31" s="19">
        <v>-1.1000000000000001</v>
      </c>
      <c r="F31" s="19">
        <f t="shared" si="0"/>
        <v>0.21785217703255053</v>
      </c>
    </row>
    <row r="32" spans="1:6" x14ac:dyDescent="0.25">
      <c r="E32" s="19">
        <v>-1</v>
      </c>
      <c r="F32" s="19">
        <f t="shared" si="0"/>
        <v>0.24197072451914337</v>
      </c>
    </row>
    <row r="33" spans="5:6" x14ac:dyDescent="0.25">
      <c r="E33" s="19">
        <v>-0.9</v>
      </c>
      <c r="F33" s="19">
        <f t="shared" si="0"/>
        <v>0.26608524989875482</v>
      </c>
    </row>
    <row r="34" spans="5:6" x14ac:dyDescent="0.25">
      <c r="E34" s="19">
        <v>-0.8</v>
      </c>
      <c r="F34" s="19">
        <f t="shared" si="0"/>
        <v>0.28969155276148273</v>
      </c>
    </row>
    <row r="35" spans="5:6" x14ac:dyDescent="0.25">
      <c r="E35" s="19">
        <v>-0.7</v>
      </c>
      <c r="F35" s="19">
        <f t="shared" si="0"/>
        <v>0.31225393336676127</v>
      </c>
    </row>
    <row r="36" spans="5:6" x14ac:dyDescent="0.25">
      <c r="E36" s="19">
        <v>-0.6</v>
      </c>
      <c r="F36" s="19">
        <f t="shared" si="0"/>
        <v>0.33322460289179967</v>
      </c>
    </row>
    <row r="37" spans="5:6" x14ac:dyDescent="0.25">
      <c r="E37" s="19">
        <v>-0.5</v>
      </c>
      <c r="F37" s="19">
        <f t="shared" si="0"/>
        <v>0.35206532676429952</v>
      </c>
    </row>
    <row r="38" spans="5:6" x14ac:dyDescent="0.25">
      <c r="E38" s="19">
        <v>-0.4</v>
      </c>
      <c r="F38" s="19">
        <f t="shared" si="0"/>
        <v>0.36827014030332333</v>
      </c>
    </row>
    <row r="39" spans="5:6" x14ac:dyDescent="0.25">
      <c r="E39" s="19">
        <v>-0.3</v>
      </c>
      <c r="F39" s="19">
        <f t="shared" si="0"/>
        <v>0.38138781546052414</v>
      </c>
    </row>
    <row r="40" spans="5:6" x14ac:dyDescent="0.25">
      <c r="E40" s="19">
        <v>-0.2</v>
      </c>
      <c r="F40" s="19">
        <f t="shared" si="0"/>
        <v>0.39104269397545588</v>
      </c>
    </row>
    <row r="41" spans="5:6" x14ac:dyDescent="0.25">
      <c r="E41" s="19">
        <v>-0.1</v>
      </c>
      <c r="F41" s="19">
        <f t="shared" si="0"/>
        <v>0.39695254747701181</v>
      </c>
    </row>
    <row r="42" spans="5:6" x14ac:dyDescent="0.25">
      <c r="E42" s="19">
        <v>0</v>
      </c>
      <c r="F42" s="19">
        <f t="shared" si="0"/>
        <v>0.3989422804014327</v>
      </c>
    </row>
    <row r="43" spans="5:6" x14ac:dyDescent="0.25">
      <c r="E43" s="19">
        <v>0.1</v>
      </c>
      <c r="F43" s="19">
        <f t="shared" si="0"/>
        <v>0.39695254747701181</v>
      </c>
    </row>
    <row r="44" spans="5:6" x14ac:dyDescent="0.25">
      <c r="E44" s="19">
        <v>0.2</v>
      </c>
      <c r="F44" s="19">
        <f t="shared" si="0"/>
        <v>0.39104269397545588</v>
      </c>
    </row>
    <row r="45" spans="5:6" x14ac:dyDescent="0.25">
      <c r="E45" s="19">
        <v>0.3</v>
      </c>
      <c r="F45" s="19">
        <f t="shared" si="0"/>
        <v>0.38138781546052414</v>
      </c>
    </row>
    <row r="46" spans="5:6" x14ac:dyDescent="0.25">
      <c r="E46" s="19">
        <v>0.4</v>
      </c>
      <c r="F46" s="19">
        <f t="shared" si="0"/>
        <v>0.36827014030332333</v>
      </c>
    </row>
    <row r="47" spans="5:6" x14ac:dyDescent="0.25">
      <c r="E47" s="19">
        <v>0.5</v>
      </c>
      <c r="F47" s="19">
        <f t="shared" si="0"/>
        <v>0.35206532676429952</v>
      </c>
    </row>
    <row r="48" spans="5:6" x14ac:dyDescent="0.25">
      <c r="E48" s="19">
        <v>0.6</v>
      </c>
      <c r="F48" s="19">
        <f t="shared" si="0"/>
        <v>0.33322460289179967</v>
      </c>
    </row>
    <row r="49" spans="5:6" x14ac:dyDescent="0.25">
      <c r="E49" s="19">
        <v>0.7</v>
      </c>
      <c r="F49" s="19">
        <f t="shared" si="0"/>
        <v>0.31225393336676127</v>
      </c>
    </row>
    <row r="50" spans="5:6" x14ac:dyDescent="0.25">
      <c r="E50" s="19">
        <v>0.8</v>
      </c>
      <c r="F50" s="19">
        <f t="shared" si="0"/>
        <v>0.28969155276148273</v>
      </c>
    </row>
    <row r="51" spans="5:6" x14ac:dyDescent="0.25">
      <c r="E51" s="19">
        <v>0.9</v>
      </c>
      <c r="F51" s="19">
        <f t="shared" si="0"/>
        <v>0.26608524989875482</v>
      </c>
    </row>
    <row r="52" spans="5:6" x14ac:dyDescent="0.25">
      <c r="E52" s="19">
        <v>1</v>
      </c>
      <c r="F52" s="19">
        <f t="shared" si="0"/>
        <v>0.24197072451914337</v>
      </c>
    </row>
    <row r="53" spans="5:6" x14ac:dyDescent="0.25">
      <c r="E53" s="19">
        <v>1.1000000000000001</v>
      </c>
      <c r="F53" s="19">
        <f t="shared" si="0"/>
        <v>0.21785217703255053</v>
      </c>
    </row>
    <row r="54" spans="5:6" x14ac:dyDescent="0.25">
      <c r="E54" s="19">
        <v>1.2</v>
      </c>
      <c r="F54" s="19">
        <f t="shared" si="0"/>
        <v>0.19418605498321295</v>
      </c>
    </row>
    <row r="55" spans="5:6" x14ac:dyDescent="0.25">
      <c r="E55" s="19">
        <v>1.3</v>
      </c>
      <c r="F55" s="19">
        <f t="shared" si="0"/>
        <v>0.17136859204780736</v>
      </c>
    </row>
    <row r="56" spans="5:6" x14ac:dyDescent="0.25">
      <c r="E56" s="19">
        <v>1.4</v>
      </c>
      <c r="F56" s="19">
        <f t="shared" si="0"/>
        <v>0.14972746563574488</v>
      </c>
    </row>
    <row r="57" spans="5:6" x14ac:dyDescent="0.25">
      <c r="E57" s="19">
        <v>1.5</v>
      </c>
      <c r="F57" s="19">
        <f t="shared" ref="F57:F82" si="1">_xlfn.NORM.S.DIST(E57,FALSE)</f>
        <v>0.12951759566589174</v>
      </c>
    </row>
    <row r="58" spans="5:6" x14ac:dyDescent="0.25">
      <c r="E58" s="19">
        <v>1.6</v>
      </c>
      <c r="F58" s="19">
        <f t="shared" si="1"/>
        <v>0.11092083467945554</v>
      </c>
    </row>
    <row r="59" spans="5:6" x14ac:dyDescent="0.25">
      <c r="E59" s="19">
        <v>1.7</v>
      </c>
      <c r="F59" s="19">
        <f t="shared" si="1"/>
        <v>9.4049077376886947E-2</v>
      </c>
    </row>
    <row r="60" spans="5:6" x14ac:dyDescent="0.25">
      <c r="E60" s="19">
        <v>1.8</v>
      </c>
      <c r="F60" s="19">
        <f t="shared" si="1"/>
        <v>7.8950158300894149E-2</v>
      </c>
    </row>
    <row r="61" spans="5:6" x14ac:dyDescent="0.25">
      <c r="E61" s="19">
        <v>1.9</v>
      </c>
      <c r="F61" s="19">
        <f t="shared" si="1"/>
        <v>6.5615814774676595E-2</v>
      </c>
    </row>
    <row r="62" spans="5:6" x14ac:dyDescent="0.25">
      <c r="E62" s="19">
        <v>2</v>
      </c>
      <c r="F62" s="19">
        <f t="shared" si="1"/>
        <v>5.3990966513188063E-2</v>
      </c>
    </row>
    <row r="63" spans="5:6" x14ac:dyDescent="0.25">
      <c r="E63" s="19">
        <v>2.1</v>
      </c>
      <c r="F63" s="19">
        <f t="shared" si="1"/>
        <v>4.3983595980427191E-2</v>
      </c>
    </row>
    <row r="64" spans="5:6" x14ac:dyDescent="0.25">
      <c r="E64" s="19">
        <v>2.2000000000000002</v>
      </c>
      <c r="F64" s="19">
        <f t="shared" si="1"/>
        <v>3.5474592846231424E-2</v>
      </c>
    </row>
    <row r="65" spans="5:6" x14ac:dyDescent="0.25">
      <c r="E65" s="19">
        <v>2.2999999999999998</v>
      </c>
      <c r="F65" s="19">
        <f t="shared" si="1"/>
        <v>2.8327037741601186E-2</v>
      </c>
    </row>
    <row r="66" spans="5:6" x14ac:dyDescent="0.25">
      <c r="E66" s="19">
        <v>2.4</v>
      </c>
      <c r="F66" s="19">
        <f t="shared" si="1"/>
        <v>2.2394530294842899E-2</v>
      </c>
    </row>
    <row r="67" spans="5:6" x14ac:dyDescent="0.25">
      <c r="E67" s="19">
        <v>2.5</v>
      </c>
      <c r="F67" s="19">
        <f t="shared" si="1"/>
        <v>1.752830049356854E-2</v>
      </c>
    </row>
    <row r="68" spans="5:6" x14ac:dyDescent="0.25">
      <c r="E68" s="19">
        <v>2.6</v>
      </c>
      <c r="F68" s="19">
        <f t="shared" si="1"/>
        <v>1.3582969233685613E-2</v>
      </c>
    </row>
    <row r="69" spans="5:6" x14ac:dyDescent="0.25">
      <c r="E69" s="19">
        <v>2.7</v>
      </c>
      <c r="F69" s="19">
        <f t="shared" si="1"/>
        <v>1.0420934814422592E-2</v>
      </c>
    </row>
    <row r="70" spans="5:6" x14ac:dyDescent="0.25">
      <c r="E70" s="19">
        <v>2.8</v>
      </c>
      <c r="F70" s="19">
        <f t="shared" si="1"/>
        <v>7.9154515829799686E-3</v>
      </c>
    </row>
    <row r="71" spans="5:6" x14ac:dyDescent="0.25">
      <c r="E71" s="19">
        <v>2.9</v>
      </c>
      <c r="F71" s="19">
        <f t="shared" si="1"/>
        <v>5.9525324197758538E-3</v>
      </c>
    </row>
    <row r="72" spans="5:6" x14ac:dyDescent="0.25">
      <c r="E72" s="19">
        <v>3</v>
      </c>
      <c r="F72" s="19">
        <f t="shared" si="1"/>
        <v>4.4318484119380075E-3</v>
      </c>
    </row>
    <row r="73" spans="5:6" x14ac:dyDescent="0.25">
      <c r="E73" s="19">
        <v>3.1</v>
      </c>
      <c r="F73" s="19">
        <f t="shared" si="1"/>
        <v>3.2668190561999182E-3</v>
      </c>
    </row>
    <row r="74" spans="5:6" x14ac:dyDescent="0.25">
      <c r="E74" s="19">
        <v>3.2</v>
      </c>
      <c r="F74" s="19">
        <f t="shared" si="1"/>
        <v>2.3840882014648404E-3</v>
      </c>
    </row>
    <row r="75" spans="5:6" x14ac:dyDescent="0.25">
      <c r="E75" s="19">
        <v>3.3</v>
      </c>
      <c r="F75" s="19">
        <f t="shared" si="1"/>
        <v>1.7225689390536812E-3</v>
      </c>
    </row>
    <row r="76" spans="5:6" x14ac:dyDescent="0.25">
      <c r="E76" s="19">
        <v>3.4</v>
      </c>
      <c r="F76" s="19">
        <f t="shared" si="1"/>
        <v>1.2322191684730199E-3</v>
      </c>
    </row>
    <row r="77" spans="5:6" x14ac:dyDescent="0.25">
      <c r="E77" s="19">
        <v>3.5</v>
      </c>
      <c r="F77" s="19">
        <f t="shared" si="1"/>
        <v>8.7268269504576015E-4</v>
      </c>
    </row>
    <row r="78" spans="5:6" x14ac:dyDescent="0.25">
      <c r="E78" s="19">
        <v>3.6</v>
      </c>
      <c r="F78" s="19">
        <f t="shared" si="1"/>
        <v>6.119019301137719E-4</v>
      </c>
    </row>
    <row r="79" spans="5:6" x14ac:dyDescent="0.25">
      <c r="E79" s="19">
        <v>3.7</v>
      </c>
      <c r="F79" s="19">
        <f t="shared" si="1"/>
        <v>4.2478027055075143E-4</v>
      </c>
    </row>
    <row r="80" spans="5:6" x14ac:dyDescent="0.25">
      <c r="E80" s="19">
        <v>3.8</v>
      </c>
      <c r="F80" s="19">
        <f t="shared" si="1"/>
        <v>2.9194692579146027E-4</v>
      </c>
    </row>
    <row r="81" spans="5:6" x14ac:dyDescent="0.25">
      <c r="E81" s="19">
        <v>3.9</v>
      </c>
      <c r="F81" s="19">
        <f t="shared" si="1"/>
        <v>1.9865547139277272E-4</v>
      </c>
    </row>
    <row r="82" spans="5:6" x14ac:dyDescent="0.25">
      <c r="E82" s="19">
        <v>4</v>
      </c>
      <c r="F82" s="19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GridLines="0" workbookViewId="0"/>
  </sheetViews>
  <sheetFormatPr defaultRowHeight="15" x14ac:dyDescent="0.25"/>
  <cols>
    <col min="1" max="1" width="20.7109375" style="2" customWidth="1"/>
    <col min="2" max="2" width="12.7109375" style="2" customWidth="1"/>
    <col min="3" max="16384" width="9.140625" style="2"/>
  </cols>
  <sheetData>
    <row r="1" spans="1:2" x14ac:dyDescent="0.25">
      <c r="A1" s="5"/>
      <c r="B1" s="5" t="s">
        <v>123</v>
      </c>
    </row>
    <row r="2" spans="1:2" x14ac:dyDescent="0.25">
      <c r="A2" s="7" t="s">
        <v>6</v>
      </c>
      <c r="B2" s="79">
        <v>226</v>
      </c>
    </row>
    <row r="3" spans="1:2" x14ac:dyDescent="0.25">
      <c r="A3" s="7" t="s">
        <v>2</v>
      </c>
      <c r="B3" s="79">
        <v>10</v>
      </c>
    </row>
    <row r="5" spans="1:2" x14ac:dyDescent="0.25">
      <c r="A5" s="7" t="s">
        <v>141</v>
      </c>
      <c r="B5" s="79">
        <v>425</v>
      </c>
    </row>
    <row r="7" spans="1:2" x14ac:dyDescent="0.25">
      <c r="A7" s="7" t="s">
        <v>142</v>
      </c>
      <c r="B7" s="80">
        <v>0.95</v>
      </c>
    </row>
    <row r="9" spans="1:2" x14ac:dyDescent="0.25">
      <c r="A9" s="7" t="s">
        <v>47</v>
      </c>
      <c r="B9" s="80">
        <v>0.05</v>
      </c>
    </row>
    <row r="11" spans="1:2" x14ac:dyDescent="0.25">
      <c r="A11" s="7" t="s">
        <v>143</v>
      </c>
      <c r="B11" s="59">
        <f>-_xlfn.NORM.S.INV(B9/2)</f>
        <v>1.9599639845400538</v>
      </c>
    </row>
    <row r="13" spans="1:2" x14ac:dyDescent="0.25">
      <c r="A13" s="81" t="s">
        <v>144</v>
      </c>
      <c r="B13" s="82">
        <f>B2-(B11*(B3/SQRT(B5)))</f>
        <v>225.04927781992174</v>
      </c>
    </row>
    <row r="14" spans="1:2" x14ac:dyDescent="0.25">
      <c r="A14" s="81" t="s">
        <v>145</v>
      </c>
      <c r="B14" s="82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>
      <selection activeCell="H21" sqref="H21"/>
    </sheetView>
  </sheetViews>
  <sheetFormatPr defaultRowHeight="15" x14ac:dyDescent="0.25"/>
  <sheetData>
    <row r="1" spans="1:15" x14ac:dyDescent="0.25">
      <c r="A1" s="68" t="s">
        <v>114</v>
      </c>
      <c r="B1" s="69">
        <v>0</v>
      </c>
      <c r="C1" s="70">
        <v>0.01</v>
      </c>
      <c r="D1" s="70">
        <v>0.02</v>
      </c>
      <c r="E1" s="70">
        <v>0.03</v>
      </c>
      <c r="F1" s="70">
        <v>0.04</v>
      </c>
      <c r="G1" s="70">
        <v>0.05</v>
      </c>
      <c r="H1" s="70">
        <v>0.06</v>
      </c>
      <c r="I1" s="70">
        <v>7.0000000000000007E-2</v>
      </c>
      <c r="J1" s="70">
        <v>0.08</v>
      </c>
      <c r="K1" s="70">
        <v>0.09</v>
      </c>
      <c r="M1" s="120" t="s">
        <v>115</v>
      </c>
      <c r="N1" s="121"/>
      <c r="O1" s="122"/>
    </row>
    <row r="2" spans="1:15" x14ac:dyDescent="0.25">
      <c r="A2" s="71">
        <v>0</v>
      </c>
      <c r="B2" s="58">
        <f>1-_xlfn.NORM.S.DIST($A2+B$1,TRUE)</f>
        <v>0.5</v>
      </c>
      <c r="C2" s="58">
        <f t="shared" ref="C2:K17" si="0">1-_xlfn.NORM.S.DIST($A2+C$1,TRUE)</f>
        <v>0.4960106436853684</v>
      </c>
      <c r="D2" s="58">
        <f t="shared" si="0"/>
        <v>0.49202168628309795</v>
      </c>
      <c r="E2" s="58">
        <f t="shared" si="0"/>
        <v>0.48803352658588728</v>
      </c>
      <c r="F2" s="58">
        <f t="shared" si="0"/>
        <v>0.48404656314716932</v>
      </c>
      <c r="G2" s="58">
        <f t="shared" si="0"/>
        <v>0.48006119416162751</v>
      </c>
      <c r="H2" s="58">
        <f t="shared" si="0"/>
        <v>0.47607781734589316</v>
      </c>
      <c r="I2" s="58">
        <f t="shared" si="0"/>
        <v>0.47209682981947887</v>
      </c>
      <c r="J2" s="58">
        <f t="shared" si="0"/>
        <v>0.46811862798601256</v>
      </c>
      <c r="K2" s="58">
        <f t="shared" si="0"/>
        <v>0.46414360741482796</v>
      </c>
      <c r="M2" s="123"/>
      <c r="N2" s="124"/>
      <c r="O2" s="125"/>
    </row>
    <row r="3" spans="1:15" x14ac:dyDescent="0.25">
      <c r="A3" s="71">
        <v>0.1</v>
      </c>
      <c r="B3" s="58">
        <f t="shared" ref="B3:K18" si="1">1-_xlfn.NORM.S.DIST($A3+B$1,TRUE)</f>
        <v>0.46017216272297101</v>
      </c>
      <c r="C3" s="58">
        <f t="shared" si="0"/>
        <v>0.45620468745768328</v>
      </c>
      <c r="D3" s="58">
        <f t="shared" si="0"/>
        <v>0.45224157397941611</v>
      </c>
      <c r="E3" s="58">
        <f t="shared" si="0"/>
        <v>0.44828321334543886</v>
      </c>
      <c r="F3" s="58">
        <f t="shared" si="0"/>
        <v>0.44432999519409355</v>
      </c>
      <c r="G3" s="58">
        <f t="shared" si="0"/>
        <v>0.4403823076297575</v>
      </c>
      <c r="H3" s="58">
        <f t="shared" si="0"/>
        <v>0.43644053710856712</v>
      </c>
      <c r="I3" s="58">
        <f t="shared" si="0"/>
        <v>0.43250506832496161</v>
      </c>
      <c r="J3" s="58">
        <f t="shared" si="0"/>
        <v>0.4285762840990992</v>
      </c>
      <c r="K3" s="58">
        <f t="shared" si="0"/>
        <v>0.42465456526520451</v>
      </c>
      <c r="M3" s="123"/>
      <c r="N3" s="124"/>
      <c r="O3" s="125"/>
    </row>
    <row r="4" spans="1:15" x14ac:dyDescent="0.25">
      <c r="A4" s="71">
        <v>0.2</v>
      </c>
      <c r="B4" s="58">
        <f t="shared" si="1"/>
        <v>0.42074029056089701</v>
      </c>
      <c r="C4" s="58">
        <f t="shared" si="0"/>
        <v>0.41683383651755768</v>
      </c>
      <c r="D4" s="58">
        <f t="shared" si="0"/>
        <v>0.41293557735178532</v>
      </c>
      <c r="E4" s="58">
        <f t="shared" si="0"/>
        <v>0.40904588485799409</v>
      </c>
      <c r="F4" s="58">
        <f t="shared" si="0"/>
        <v>0.40516512830220419</v>
      </c>
      <c r="G4" s="58">
        <f t="shared" si="0"/>
        <v>0.4012936743170763</v>
      </c>
      <c r="H4" s="58">
        <f t="shared" si="0"/>
        <v>0.39743188679823949</v>
      </c>
      <c r="I4" s="58">
        <f t="shared" si="0"/>
        <v>0.39358012680196053</v>
      </c>
      <c r="J4" s="58">
        <f t="shared" si="0"/>
        <v>0.38973875244420275</v>
      </c>
      <c r="K4" s="58">
        <f t="shared" si="0"/>
        <v>0.38590811880112263</v>
      </c>
      <c r="M4" s="126"/>
      <c r="N4" s="127"/>
      <c r="O4" s="128"/>
    </row>
    <row r="5" spans="1:15" x14ac:dyDescent="0.25">
      <c r="A5" s="71">
        <v>0.3</v>
      </c>
      <c r="B5" s="58">
        <f t="shared" si="1"/>
        <v>0.38208857781104733</v>
      </c>
      <c r="C5" s="58">
        <f t="shared" si="0"/>
        <v>0.37828047817798072</v>
      </c>
      <c r="D5" s="58">
        <f t="shared" si="0"/>
        <v>0.37448416527667994</v>
      </c>
      <c r="E5" s="58">
        <f t="shared" si="0"/>
        <v>0.37069998105934654</v>
      </c>
      <c r="F5" s="58">
        <f t="shared" si="0"/>
        <v>0.36692826396397193</v>
      </c>
      <c r="G5" s="58">
        <f t="shared" si="0"/>
        <v>0.3631693488243809</v>
      </c>
      <c r="H5" s="58">
        <f t="shared" si="0"/>
        <v>0.35942356678200871</v>
      </c>
      <c r="I5" s="58">
        <f t="shared" si="0"/>
        <v>0.35569124519945317</v>
      </c>
      <c r="J5" s="58">
        <f t="shared" si="0"/>
        <v>0.35197270757583721</v>
      </c>
      <c r="K5" s="58">
        <f t="shared" si="0"/>
        <v>0.34826827346401756</v>
      </c>
    </row>
    <row r="6" spans="1:15" x14ac:dyDescent="0.25">
      <c r="A6" s="71">
        <v>0.4</v>
      </c>
      <c r="B6" s="58">
        <f t="shared" si="1"/>
        <v>0.34457825838967571</v>
      </c>
      <c r="C6" s="58">
        <f t="shared" si="0"/>
        <v>0.34090297377232259</v>
      </c>
      <c r="D6" s="58">
        <f t="shared" si="0"/>
        <v>0.33724272684824941</v>
      </c>
      <c r="E6" s="58">
        <f t="shared" si="0"/>
        <v>0.33359782059545762</v>
      </c>
      <c r="F6" s="58">
        <f t="shared" si="0"/>
        <v>0.32996855366059363</v>
      </c>
      <c r="G6" s="58">
        <f t="shared" si="0"/>
        <v>0.32635522028791997</v>
      </c>
      <c r="H6" s="58">
        <f t="shared" si="0"/>
        <v>0.32275811025034773</v>
      </c>
      <c r="I6" s="58">
        <f t="shared" si="0"/>
        <v>0.3191775087825558</v>
      </c>
      <c r="J6" s="58">
        <f t="shared" si="0"/>
        <v>0.31561369651622251</v>
      </c>
      <c r="K6" s="58">
        <f t="shared" si="0"/>
        <v>0.31206694941739055</v>
      </c>
    </row>
    <row r="7" spans="1:15" x14ac:dyDescent="0.25">
      <c r="A7" s="71">
        <v>0.5</v>
      </c>
      <c r="B7" s="58">
        <f t="shared" si="1"/>
        <v>0.30853753872598688</v>
      </c>
      <c r="C7" s="58">
        <f t="shared" si="0"/>
        <v>0.30502573089751939</v>
      </c>
      <c r="D7" s="58">
        <f t="shared" si="0"/>
        <v>0.30153178754696619</v>
      </c>
      <c r="E7" s="58">
        <f t="shared" si="0"/>
        <v>0.29805596539487644</v>
      </c>
      <c r="F7" s="58">
        <f t="shared" si="0"/>
        <v>0.29459851621569799</v>
      </c>
      <c r="G7" s="58">
        <f t="shared" si="0"/>
        <v>0.29115968678834636</v>
      </c>
      <c r="H7" s="58">
        <f t="shared" si="0"/>
        <v>0.28773971884902705</v>
      </c>
      <c r="I7" s="58">
        <f t="shared" si="0"/>
        <v>0.28433884904632412</v>
      </c>
      <c r="J7" s="58">
        <f t="shared" si="0"/>
        <v>0.2809573088985643</v>
      </c>
      <c r="K7" s="58">
        <f t="shared" si="0"/>
        <v>0.27759532475346493</v>
      </c>
    </row>
    <row r="8" spans="1:15" x14ac:dyDescent="0.25">
      <c r="A8" s="71">
        <v>0.6</v>
      </c>
      <c r="B8" s="58">
        <f t="shared" si="1"/>
        <v>0.27425311775007355</v>
      </c>
      <c r="C8" s="58">
        <f t="shared" si="0"/>
        <v>0.27093090378300566</v>
      </c>
      <c r="D8" s="58">
        <f t="shared" si="0"/>
        <v>0.267628893468983</v>
      </c>
      <c r="E8" s="58">
        <f t="shared" si="0"/>
        <v>0.26434729211567753</v>
      </c>
      <c r="F8" s="58">
        <f t="shared" si="0"/>
        <v>0.26108629969286157</v>
      </c>
      <c r="G8" s="58">
        <f t="shared" si="0"/>
        <v>0.25784611080586473</v>
      </c>
      <c r="H8" s="58">
        <f t="shared" si="0"/>
        <v>0.25462691467133614</v>
      </c>
      <c r="I8" s="58">
        <f t="shared" si="0"/>
        <v>0.25142889509531008</v>
      </c>
      <c r="J8" s="58">
        <f t="shared" si="0"/>
        <v>0.24825223045357048</v>
      </c>
      <c r="K8" s="58">
        <f t="shared" si="0"/>
        <v>0.24509709367430943</v>
      </c>
    </row>
    <row r="9" spans="1:15" x14ac:dyDescent="0.25">
      <c r="A9" s="71">
        <v>0.7</v>
      </c>
      <c r="B9" s="58">
        <f t="shared" si="1"/>
        <v>0.24196365222307303</v>
      </c>
      <c r="C9" s="58">
        <f t="shared" si="0"/>
        <v>0.23885206808998671</v>
      </c>
      <c r="D9" s="58">
        <f t="shared" si="0"/>
        <v>0.23576249777925118</v>
      </c>
      <c r="E9" s="58">
        <f t="shared" si="0"/>
        <v>0.23269509230089747</v>
      </c>
      <c r="F9" s="58">
        <f t="shared" si="0"/>
        <v>0.22964999716479062</v>
      </c>
      <c r="G9" s="58">
        <f t="shared" si="0"/>
        <v>0.22662735237686826</v>
      </c>
      <c r="H9" s="58">
        <f t="shared" si="0"/>
        <v>0.22362729243759938</v>
      </c>
      <c r="I9" s="58">
        <f t="shared" si="0"/>
        <v>0.22064994634264956</v>
      </c>
      <c r="J9" s="58">
        <f t="shared" si="0"/>
        <v>0.21769543758573318</v>
      </c>
      <c r="K9" s="58">
        <f t="shared" si="0"/>
        <v>0.21476388416363723</v>
      </c>
    </row>
    <row r="10" spans="1:15" x14ac:dyDescent="0.25">
      <c r="A10" s="71">
        <v>0.8</v>
      </c>
      <c r="B10" s="58">
        <f t="shared" si="1"/>
        <v>0.21185539858339664</v>
      </c>
      <c r="C10" s="58">
        <f t="shared" si="0"/>
        <v>0.20897008787160165</v>
      </c>
      <c r="D10" s="58">
        <f t="shared" si="0"/>
        <v>0.20610805358581308</v>
      </c>
      <c r="E10" s="58">
        <f t="shared" si="0"/>
        <v>0.20326939182806836</v>
      </c>
      <c r="F10" s="58">
        <f t="shared" si="0"/>
        <v>0.20045419326044966</v>
      </c>
      <c r="G10" s="58">
        <f t="shared" si="0"/>
        <v>0.19766254312269238</v>
      </c>
      <c r="H10" s="58">
        <f t="shared" si="0"/>
        <v>0.19489452125180828</v>
      </c>
      <c r="I10" s="58">
        <f t="shared" si="0"/>
        <v>0.19215020210369615</v>
      </c>
      <c r="J10" s="58">
        <f t="shared" si="0"/>
        <v>0.18942965477671214</v>
      </c>
      <c r="K10" s="58">
        <f t="shared" si="0"/>
        <v>0.18673294303717258</v>
      </c>
    </row>
    <row r="11" spans="1:15" x14ac:dyDescent="0.25">
      <c r="A11" s="71">
        <v>0.9</v>
      </c>
      <c r="B11" s="58">
        <f t="shared" si="1"/>
        <v>0.18406012534675953</v>
      </c>
      <c r="C11" s="58">
        <f t="shared" si="0"/>
        <v>0.18141125489179721</v>
      </c>
      <c r="D11" s="58">
        <f t="shared" si="0"/>
        <v>0.17878637961437172</v>
      </c>
      <c r="E11" s="58">
        <f t="shared" si="0"/>
        <v>0.17618554224525784</v>
      </c>
      <c r="F11" s="58">
        <f t="shared" si="0"/>
        <v>0.17360878033862448</v>
      </c>
      <c r="G11" s="58">
        <f t="shared" si="0"/>
        <v>0.17105612630848177</v>
      </c>
      <c r="H11" s="58">
        <f t="shared" si="0"/>
        <v>0.16852760746683781</v>
      </c>
      <c r="I11" s="58">
        <f t="shared" si="0"/>
        <v>0.16602324606352958</v>
      </c>
      <c r="J11" s="58">
        <f t="shared" si="0"/>
        <v>0.16354305932769231</v>
      </c>
      <c r="K11" s="58">
        <f t="shared" si="0"/>
        <v>0.16108705951083091</v>
      </c>
    </row>
    <row r="12" spans="1:15" x14ac:dyDescent="0.25">
      <c r="A12" s="71">
        <v>1</v>
      </c>
      <c r="B12" s="58">
        <f t="shared" si="1"/>
        <v>0.15865525393145696</v>
      </c>
      <c r="C12" s="58">
        <f t="shared" si="0"/>
        <v>0.15624764502125454</v>
      </c>
      <c r="D12" s="58">
        <f t="shared" si="0"/>
        <v>0.15386423037273489</v>
      </c>
      <c r="E12" s="58">
        <f t="shared" si="0"/>
        <v>0.15150500278834367</v>
      </c>
      <c r="F12" s="58">
        <f t="shared" si="0"/>
        <v>0.14916995033098135</v>
      </c>
      <c r="G12" s="58">
        <f t="shared" si="0"/>
        <v>0.14685905637589591</v>
      </c>
      <c r="H12" s="58">
        <f t="shared" si="0"/>
        <v>0.14457229966390961</v>
      </c>
      <c r="I12" s="58">
        <f t="shared" si="0"/>
        <v>0.14230965435593923</v>
      </c>
      <c r="J12" s="58">
        <f t="shared" si="0"/>
        <v>0.14007109008876906</v>
      </c>
      <c r="K12" s="58">
        <f t="shared" si="0"/>
        <v>0.1378565720320355</v>
      </c>
    </row>
    <row r="13" spans="1:15" x14ac:dyDescent="0.25">
      <c r="A13" s="71">
        <v>1.1000000000000001</v>
      </c>
      <c r="B13" s="58">
        <f t="shared" si="1"/>
        <v>0.13566606094638267</v>
      </c>
      <c r="C13" s="58">
        <f t="shared" si="0"/>
        <v>0.13349951324274723</v>
      </c>
      <c r="D13" s="58">
        <f t="shared" si="0"/>
        <v>0.13135688104273069</v>
      </c>
      <c r="E13" s="58">
        <f t="shared" si="0"/>
        <v>0.1292381122400178</v>
      </c>
      <c r="F13" s="58">
        <f t="shared" si="0"/>
        <v>0.12714315056279824</v>
      </c>
      <c r="G13" s="58">
        <f t="shared" si="0"/>
        <v>0.12507193563715013</v>
      </c>
      <c r="H13" s="58">
        <f t="shared" si="0"/>
        <v>0.12302440305134332</v>
      </c>
      <c r="I13" s="58">
        <f t="shared" si="0"/>
        <v>0.12100048442101818</v>
      </c>
      <c r="J13" s="58">
        <f t="shared" si="0"/>
        <v>0.11900010745520062</v>
      </c>
      <c r="K13" s="58">
        <f t="shared" si="0"/>
        <v>0.11702319602310873</v>
      </c>
    </row>
    <row r="14" spans="1:15" x14ac:dyDescent="0.25">
      <c r="A14" s="71">
        <v>1.2</v>
      </c>
      <c r="B14" s="58">
        <f t="shared" si="1"/>
        <v>0.11506967022170822</v>
      </c>
      <c r="C14" s="58">
        <f t="shared" si="0"/>
        <v>0.11313944644397722</v>
      </c>
      <c r="D14" s="58">
        <f t="shared" si="0"/>
        <v>0.11123243744783462</v>
      </c>
      <c r="E14" s="58">
        <f t="shared" si="0"/>
        <v>0.10934855242569186</v>
      </c>
      <c r="F14" s="58">
        <f t="shared" si="0"/>
        <v>0.10748769707458694</v>
      </c>
      <c r="G14" s="58">
        <f t="shared" si="0"/>
        <v>0.10564977366685524</v>
      </c>
      <c r="H14" s="58">
        <f t="shared" si="0"/>
        <v>0.10383468112130034</v>
      </c>
      <c r="I14" s="58">
        <f t="shared" si="0"/>
        <v>0.10204231507481909</v>
      </c>
      <c r="J14" s="58">
        <f t="shared" si="0"/>
        <v>0.10027256795444206</v>
      </c>
      <c r="K14" s="58">
        <f t="shared" si="0"/>
        <v>9.8525329049747867E-2</v>
      </c>
    </row>
    <row r="15" spans="1:15" x14ac:dyDescent="0.25">
      <c r="A15" s="71">
        <v>1.3</v>
      </c>
      <c r="B15" s="58">
        <f t="shared" si="1"/>
        <v>9.6800484585610302E-2</v>
      </c>
      <c r="C15" s="58">
        <f t="shared" si="0"/>
        <v>9.5097917795239018E-2</v>
      </c>
      <c r="D15" s="58">
        <f t="shared" si="0"/>
        <v>9.3417508993471787E-2</v>
      </c>
      <c r="E15" s="58">
        <f t="shared" si="0"/>
        <v>9.1759135650280821E-2</v>
      </c>
      <c r="F15" s="58">
        <f t="shared" si="0"/>
        <v>9.0122672464452491E-2</v>
      </c>
      <c r="G15" s="58">
        <f t="shared" si="0"/>
        <v>8.8507991437401956E-2</v>
      </c>
      <c r="H15" s="58">
        <f t="shared" si="0"/>
        <v>8.6914961947085034E-2</v>
      </c>
      <c r="I15" s="58">
        <f t="shared" si="0"/>
        <v>8.5343450821966926E-2</v>
      </c>
      <c r="J15" s="58">
        <f t="shared" si="0"/>
        <v>8.3793322415014249E-2</v>
      </c>
      <c r="K15" s="58">
        <f t="shared" si="0"/>
        <v>8.2264438677668861E-2</v>
      </c>
    </row>
    <row r="16" spans="1:15" x14ac:dyDescent="0.25">
      <c r="A16" s="71">
        <v>1.4</v>
      </c>
      <c r="B16" s="58">
        <f t="shared" si="1"/>
        <v>8.0756659233771066E-2</v>
      </c>
      <c r="C16" s="58">
        <f t="shared" si="0"/>
        <v>7.9269841453392442E-2</v>
      </c>
      <c r="D16" s="58">
        <f t="shared" si="0"/>
        <v>7.780384052654632E-2</v>
      </c>
      <c r="E16" s="58">
        <f t="shared" si="0"/>
        <v>7.6358509536739172E-2</v>
      </c>
      <c r="F16" s="58">
        <f t="shared" si="0"/>
        <v>7.4933699534327047E-2</v>
      </c>
      <c r="G16" s="58">
        <f t="shared" si="0"/>
        <v>7.3529259609648401E-2</v>
      </c>
      <c r="H16" s="58">
        <f t="shared" si="0"/>
        <v>7.2145036965893805E-2</v>
      </c>
      <c r="I16" s="58">
        <f t="shared" si="0"/>
        <v>7.078087699168556E-2</v>
      </c>
      <c r="J16" s="58">
        <f t="shared" si="0"/>
        <v>6.9436623333331671E-2</v>
      </c>
      <c r="K16" s="58">
        <f t="shared" si="0"/>
        <v>6.8112117966725449E-2</v>
      </c>
    </row>
    <row r="17" spans="1:11" x14ac:dyDescent="0.25">
      <c r="A17" s="71">
        <v>1.5</v>
      </c>
      <c r="B17" s="58">
        <f t="shared" si="1"/>
        <v>6.6807201268858085E-2</v>
      </c>
      <c r="C17" s="58">
        <f t="shared" si="0"/>
        <v>6.5521712088916439E-2</v>
      </c>
      <c r="D17" s="58">
        <f t="shared" si="0"/>
        <v>6.4255487818935753E-2</v>
      </c>
      <c r="E17" s="58">
        <f t="shared" si="0"/>
        <v>6.3008364463978395E-2</v>
      </c>
      <c r="F17" s="58">
        <f t="shared" si="0"/>
        <v>6.1780176711811907E-2</v>
      </c>
      <c r="G17" s="58">
        <f t="shared" si="0"/>
        <v>6.0570758002059022E-2</v>
      </c>
      <c r="H17" s="58">
        <f t="shared" si="0"/>
        <v>5.9379940594793013E-2</v>
      </c>
      <c r="I17" s="58">
        <f t="shared" si="0"/>
        <v>5.8207555638553066E-2</v>
      </c>
      <c r="J17" s="58">
        <f t="shared" si="0"/>
        <v>5.7053433237754136E-2</v>
      </c>
      <c r="K17" s="58">
        <f t="shared" si="0"/>
        <v>5.5917402519469417E-2</v>
      </c>
    </row>
    <row r="18" spans="1:11" x14ac:dyDescent="0.25">
      <c r="A18" s="71">
        <v>1.6</v>
      </c>
      <c r="B18" s="58">
        <f t="shared" si="1"/>
        <v>5.4799291699557995E-2</v>
      </c>
      <c r="C18" s="58">
        <f t="shared" si="1"/>
        <v>5.3698928148119718E-2</v>
      </c>
      <c r="D18" s="58">
        <f t="shared" si="1"/>
        <v>5.2616138454252059E-2</v>
      </c>
      <c r="E18" s="58">
        <f t="shared" si="1"/>
        <v>5.1550748490089338E-2</v>
      </c>
      <c r="F18" s="58">
        <f t="shared" si="1"/>
        <v>5.0502583474103746E-2</v>
      </c>
      <c r="G18" s="58">
        <f t="shared" si="1"/>
        <v>4.9471468033648103E-2</v>
      </c>
      <c r="H18" s="58">
        <f t="shared" si="1"/>
        <v>4.8457226266722775E-2</v>
      </c>
      <c r="I18" s="58">
        <f t="shared" si="1"/>
        <v>4.7459681802947351E-2</v>
      </c>
      <c r="J18" s="58">
        <f t="shared" si="1"/>
        <v>4.6478657863719963E-2</v>
      </c>
      <c r="K18" s="58">
        <f t="shared" si="1"/>
        <v>4.5513977321549826E-2</v>
      </c>
    </row>
    <row r="19" spans="1:11" x14ac:dyDescent="0.25">
      <c r="A19" s="71">
        <v>1.7</v>
      </c>
      <c r="B19" s="58">
        <f t="shared" ref="B19:K34" si="2">1-_xlfn.NORM.S.DIST($A19+B$1,TRUE)</f>
        <v>4.4565462758543006E-2</v>
      </c>
      <c r="C19" s="58">
        <f t="shared" si="2"/>
        <v>4.3632936524031884E-2</v>
      </c>
      <c r="D19" s="58">
        <f t="shared" si="2"/>
        <v>4.2716220791328863E-2</v>
      </c>
      <c r="E19" s="58">
        <f t="shared" si="2"/>
        <v>4.1815137613594899E-2</v>
      </c>
      <c r="F19" s="58">
        <f t="shared" si="2"/>
        <v>4.0929508978807316E-2</v>
      </c>
      <c r="G19" s="58">
        <f t="shared" si="2"/>
        <v>4.0059156863817114E-2</v>
      </c>
      <c r="H19" s="58">
        <f t="shared" si="2"/>
        <v>3.9203903287482689E-2</v>
      </c>
      <c r="I19" s="58">
        <f t="shared" si="2"/>
        <v>3.8363570362871191E-2</v>
      </c>
      <c r="J19" s="58">
        <f t="shared" si="2"/>
        <v>3.7537980348516742E-2</v>
      </c>
      <c r="K19" s="58">
        <f t="shared" si="2"/>
        <v>3.6726955698726305E-2</v>
      </c>
    </row>
    <row r="20" spans="1:11" x14ac:dyDescent="0.25">
      <c r="A20" s="71">
        <v>1.8</v>
      </c>
      <c r="B20" s="58">
        <f t="shared" si="2"/>
        <v>3.5930319112925768E-2</v>
      </c>
      <c r="C20" s="58">
        <f t="shared" si="2"/>
        <v>3.5147893584038803E-2</v>
      </c>
      <c r="D20" s="58">
        <f t="shared" si="2"/>
        <v>3.4379502445889942E-2</v>
      </c>
      <c r="E20" s="58">
        <f t="shared" si="2"/>
        <v>3.3624969419628337E-2</v>
      </c>
      <c r="F20" s="58">
        <f t="shared" si="2"/>
        <v>3.2884118659163852E-2</v>
      </c>
      <c r="G20" s="58">
        <f t="shared" si="2"/>
        <v>3.2156774795613741E-2</v>
      </c>
      <c r="H20" s="58">
        <f t="shared" si="2"/>
        <v>3.1442762980752659E-2</v>
      </c>
      <c r="I20" s="58">
        <f t="shared" si="2"/>
        <v>3.0741908929465933E-2</v>
      </c>
      <c r="J20" s="58">
        <f t="shared" si="2"/>
        <v>3.0054038961199736E-2</v>
      </c>
      <c r="K20" s="58">
        <f t="shared" si="2"/>
        <v>2.9378980040409397E-2</v>
      </c>
    </row>
    <row r="21" spans="1:11" x14ac:dyDescent="0.25">
      <c r="A21" s="71">
        <v>1.9</v>
      </c>
      <c r="B21" s="58">
        <f t="shared" si="2"/>
        <v>2.8716559816001852E-2</v>
      </c>
      <c r="C21" s="58">
        <f t="shared" si="2"/>
        <v>2.8066606659772564E-2</v>
      </c>
      <c r="D21" s="58">
        <f t="shared" si="2"/>
        <v>2.7428949703836802E-2</v>
      </c>
      <c r="E21" s="58">
        <f t="shared" si="2"/>
        <v>2.6803418877054952E-2</v>
      </c>
      <c r="F21" s="58">
        <f t="shared" si="2"/>
        <v>2.6189844940452733E-2</v>
      </c>
      <c r="G21" s="58">
        <f t="shared" si="2"/>
        <v>2.5588059521638562E-2</v>
      </c>
      <c r="H21" s="58">
        <f t="shared" si="2"/>
        <v>2.4997895148220484E-2</v>
      </c>
      <c r="I21" s="58">
        <f t="shared" si="2"/>
        <v>2.4419185280222577E-2</v>
      </c>
      <c r="J21" s="58">
        <f t="shared" si="2"/>
        <v>2.3851764341508486E-2</v>
      </c>
      <c r="K21" s="58">
        <f t="shared" si="2"/>
        <v>2.3295467750211851E-2</v>
      </c>
    </row>
    <row r="22" spans="1:11" x14ac:dyDescent="0.25">
      <c r="A22" s="71">
        <v>2</v>
      </c>
      <c r="B22" s="58">
        <f t="shared" si="2"/>
        <v>2.2750131948179209E-2</v>
      </c>
      <c r="C22" s="58">
        <f t="shared" si="2"/>
        <v>2.221559442943144E-2</v>
      </c>
      <c r="D22" s="58">
        <f t="shared" si="2"/>
        <v>2.1691693767646791E-2</v>
      </c>
      <c r="E22" s="58">
        <f t="shared" si="2"/>
        <v>2.1178269642672221E-2</v>
      </c>
      <c r="F22" s="58">
        <f t="shared" si="2"/>
        <v>2.0675162866070074E-2</v>
      </c>
      <c r="G22" s="58">
        <f t="shared" si="2"/>
        <v>2.0182215405704418E-2</v>
      </c>
      <c r="H22" s="58">
        <f t="shared" si="2"/>
        <v>1.9699270409376912E-2</v>
      </c>
      <c r="I22" s="58">
        <f t="shared" si="2"/>
        <v>1.9226172227517324E-2</v>
      </c>
      <c r="J22" s="58">
        <f t="shared" si="2"/>
        <v>1.8762766434937794E-2</v>
      </c>
      <c r="K22" s="58">
        <f t="shared" si="2"/>
        <v>1.8308899851658955E-2</v>
      </c>
    </row>
    <row r="23" spans="1:11" x14ac:dyDescent="0.25">
      <c r="A23" s="71">
        <v>2.1</v>
      </c>
      <c r="B23" s="58">
        <f t="shared" si="2"/>
        <v>1.7864420562816563E-2</v>
      </c>
      <c r="C23" s="58">
        <f t="shared" si="2"/>
        <v>1.7429177937657081E-2</v>
      </c>
      <c r="D23" s="58">
        <f t="shared" si="2"/>
        <v>1.700302264763276E-2</v>
      </c>
      <c r="E23" s="58">
        <f t="shared" si="2"/>
        <v>1.6585806683604987E-2</v>
      </c>
      <c r="F23" s="58">
        <f t="shared" si="2"/>
        <v>1.6177383372166121E-2</v>
      </c>
      <c r="G23" s="58">
        <f t="shared" si="2"/>
        <v>1.5777607391090465E-2</v>
      </c>
      <c r="H23" s="58">
        <f t="shared" si="2"/>
        <v>1.5386334783925482E-2</v>
      </c>
      <c r="I23" s="58">
        <f t="shared" si="2"/>
        <v>1.500342297373225E-2</v>
      </c>
      <c r="J23" s="58">
        <f t="shared" si="2"/>
        <v>1.4628730775989252E-2</v>
      </c>
      <c r="K23" s="58">
        <f t="shared" si="2"/>
        <v>1.4262118410668823E-2</v>
      </c>
    </row>
    <row r="24" spans="1:11" x14ac:dyDescent="0.25">
      <c r="A24" s="71">
        <v>2.2000000000000002</v>
      </c>
      <c r="B24" s="58">
        <f t="shared" si="2"/>
        <v>1.390344751349859E-2</v>
      </c>
      <c r="C24" s="58">
        <f t="shared" si="2"/>
        <v>1.3552581146419995E-2</v>
      </c>
      <c r="D24" s="58">
        <f t="shared" si="2"/>
        <v>1.3209383807256225E-2</v>
      </c>
      <c r="E24" s="58">
        <f t="shared" si="2"/>
        <v>1.2873721438601993E-2</v>
      </c>
      <c r="F24" s="58">
        <f t="shared" si="2"/>
        <v>1.2545461435946592E-2</v>
      </c>
      <c r="G24" s="58">
        <f t="shared" si="2"/>
        <v>1.2224472655044671E-2</v>
      </c>
      <c r="H24" s="58">
        <f t="shared" si="2"/>
        <v>1.1910625418547038E-2</v>
      </c>
      <c r="I24" s="58">
        <f t="shared" si="2"/>
        <v>1.1603791521903495E-2</v>
      </c>
      <c r="J24" s="58">
        <f t="shared" si="2"/>
        <v>1.1303844238552796E-2</v>
      </c>
      <c r="K24" s="58">
        <f t="shared" si="2"/>
        <v>1.1010658324411393E-2</v>
      </c>
    </row>
    <row r="25" spans="1:11" x14ac:dyDescent="0.25">
      <c r="A25" s="71">
        <v>2.2999999999999998</v>
      </c>
      <c r="B25" s="58">
        <f t="shared" si="2"/>
        <v>1.0724110021675837E-2</v>
      </c>
      <c r="C25" s="58">
        <f t="shared" si="2"/>
        <v>1.0444077061951051E-2</v>
      </c>
      <c r="D25" s="58">
        <f t="shared" si="2"/>
        <v>1.0170438668719695E-2</v>
      </c>
      <c r="E25" s="58">
        <f t="shared" si="2"/>
        <v>9.9030755591642539E-3</v>
      </c>
      <c r="F25" s="58">
        <f t="shared" si="2"/>
        <v>9.6418699453583168E-3</v>
      </c>
      <c r="G25" s="58">
        <f t="shared" si="2"/>
        <v>9.3867055348385575E-3</v>
      </c>
      <c r="H25" s="58">
        <f t="shared" si="2"/>
        <v>9.1374675305726516E-3</v>
      </c>
      <c r="I25" s="58">
        <f t="shared" si="2"/>
        <v>8.8940426303367737E-3</v>
      </c>
      <c r="J25" s="58">
        <f t="shared" si="2"/>
        <v>8.6563190255165567E-3</v>
      </c>
      <c r="K25" s="58">
        <f t="shared" si="2"/>
        <v>8.4241863993457233E-3</v>
      </c>
    </row>
    <row r="26" spans="1:11" x14ac:dyDescent="0.25">
      <c r="A26" s="71">
        <v>2.4</v>
      </c>
      <c r="B26" s="58">
        <f t="shared" si="2"/>
        <v>8.1975359245961554E-3</v>
      </c>
      <c r="C26" s="58">
        <f t="shared" si="2"/>
        <v>7.9762602607337252E-3</v>
      </c>
      <c r="D26" s="58">
        <f t="shared" si="2"/>
        <v>7.760253550553653E-3</v>
      </c>
      <c r="E26" s="58">
        <f t="shared" si="2"/>
        <v>7.5494114163091597E-3</v>
      </c>
      <c r="F26" s="58">
        <f t="shared" si="2"/>
        <v>7.3436309553482904E-3</v>
      </c>
      <c r="G26" s="58">
        <f t="shared" si="2"/>
        <v>7.1428107352714543E-3</v>
      </c>
      <c r="H26" s="58">
        <f t="shared" si="2"/>
        <v>6.9468507886243369E-3</v>
      </c>
      <c r="I26" s="58">
        <f t="shared" si="2"/>
        <v>6.7556526071406164E-3</v>
      </c>
      <c r="J26" s="58">
        <f t="shared" si="2"/>
        <v>6.5691191355468082E-3</v>
      </c>
      <c r="K26" s="58">
        <f t="shared" si="2"/>
        <v>6.3871547649432259E-3</v>
      </c>
    </row>
    <row r="27" spans="1:11" x14ac:dyDescent="0.25">
      <c r="A27" s="71">
        <v>2.5</v>
      </c>
      <c r="B27" s="58">
        <f t="shared" si="2"/>
        <v>6.2096653257761592E-3</v>
      </c>
      <c r="C27" s="58">
        <f t="shared" si="2"/>
        <v>6.0365580804127017E-3</v>
      </c>
      <c r="D27" s="58">
        <f t="shared" si="2"/>
        <v>5.8677417153325528E-3</v>
      </c>
      <c r="E27" s="58">
        <f t="shared" si="2"/>
        <v>5.7031263329506698E-3</v>
      </c>
      <c r="F27" s="58">
        <f t="shared" si="2"/>
        <v>5.5426234430826504E-3</v>
      </c>
      <c r="G27" s="58">
        <f t="shared" si="2"/>
        <v>5.3861459540667234E-3</v>
      </c>
      <c r="H27" s="58">
        <f t="shared" si="2"/>
        <v>5.2336081635557807E-3</v>
      </c>
      <c r="I27" s="58">
        <f t="shared" si="2"/>
        <v>5.0849257489909983E-3</v>
      </c>
      <c r="J27" s="58">
        <f t="shared" si="2"/>
        <v>4.9400157577705883E-3</v>
      </c>
      <c r="K27" s="58">
        <f t="shared" si="2"/>
        <v>4.7987965971262314E-3</v>
      </c>
    </row>
    <row r="28" spans="1:11" x14ac:dyDescent="0.25">
      <c r="A28" s="71">
        <v>2.6</v>
      </c>
      <c r="B28" s="58">
        <f t="shared" si="2"/>
        <v>4.661188023718732E-3</v>
      </c>
      <c r="C28" s="58">
        <f t="shared" si="2"/>
        <v>4.5271111329673319E-3</v>
      </c>
      <c r="D28" s="58">
        <f t="shared" si="2"/>
        <v>4.3964883481213413E-3</v>
      </c>
      <c r="E28" s="58">
        <f t="shared" si="2"/>
        <v>4.2692434090892961E-3</v>
      </c>
      <c r="F28" s="58">
        <f t="shared" si="2"/>
        <v>4.14530136103608E-3</v>
      </c>
      <c r="G28" s="58">
        <f t="shared" si="2"/>
        <v>4.0245885427583339E-3</v>
      </c>
      <c r="H28" s="58">
        <f t="shared" si="2"/>
        <v>3.907032574852809E-3</v>
      </c>
      <c r="I28" s="58">
        <f t="shared" si="2"/>
        <v>3.7925623476854353E-3</v>
      </c>
      <c r="J28" s="58">
        <f t="shared" si="2"/>
        <v>3.6811080091749826E-3</v>
      </c>
      <c r="K28" s="58">
        <f t="shared" si="2"/>
        <v>3.5726009523997515E-3</v>
      </c>
    </row>
    <row r="29" spans="1:11" x14ac:dyDescent="0.25">
      <c r="A29" s="71">
        <v>2.7</v>
      </c>
      <c r="B29" s="58">
        <f t="shared" si="2"/>
        <v>3.4669738030406183E-3</v>
      </c>
      <c r="C29" s="58">
        <f t="shared" si="2"/>
        <v>3.3641604066692032E-3</v>
      </c>
      <c r="D29" s="58">
        <f t="shared" si="2"/>
        <v>3.2640958158912659E-3</v>
      </c>
      <c r="E29" s="58">
        <f t="shared" si="2"/>
        <v>3.1667162773577617E-3</v>
      </c>
      <c r="F29" s="58">
        <f t="shared" si="2"/>
        <v>3.0719592186504441E-3</v>
      </c>
      <c r="G29" s="58">
        <f t="shared" si="2"/>
        <v>2.9797632350545555E-3</v>
      </c>
      <c r="H29" s="58">
        <f t="shared" si="2"/>
        <v>2.8900680762261599E-3</v>
      </c>
      <c r="I29" s="58">
        <f t="shared" si="2"/>
        <v>2.8028146327649939E-3</v>
      </c>
      <c r="J29" s="58">
        <f t="shared" si="2"/>
        <v>2.7179449227012764E-3</v>
      </c>
      <c r="K29" s="58">
        <f t="shared" si="2"/>
        <v>2.6354020779049137E-3</v>
      </c>
    </row>
    <row r="30" spans="1:11" x14ac:dyDescent="0.25">
      <c r="A30" s="71">
        <v>2.8</v>
      </c>
      <c r="B30" s="58">
        <f t="shared" si="2"/>
        <v>2.5551303304279793E-3</v>
      </c>
      <c r="C30" s="58">
        <f t="shared" si="2"/>
        <v>2.4770749987859109E-3</v>
      </c>
      <c r="D30" s="58">
        <f t="shared" si="2"/>
        <v>2.4011824741893006E-3</v>
      </c>
      <c r="E30" s="58">
        <f t="shared" si="2"/>
        <v>2.3274002067315003E-3</v>
      </c>
      <c r="F30" s="58">
        <f t="shared" si="2"/>
        <v>2.2556766915423632E-3</v>
      </c>
      <c r="G30" s="58">
        <f t="shared" si="2"/>
        <v>2.1859614549132322E-3</v>
      </c>
      <c r="H30" s="58">
        <f t="shared" si="2"/>
        <v>2.1182050404046082E-3</v>
      </c>
      <c r="I30" s="58">
        <f t="shared" si="2"/>
        <v>2.0523589949397181E-3</v>
      </c>
      <c r="J30" s="58">
        <f t="shared" si="2"/>
        <v>1.9883758548943087E-3</v>
      </c>
      <c r="K30" s="58">
        <f t="shared" si="2"/>
        <v>1.9262091321878838E-3</v>
      </c>
    </row>
    <row r="31" spans="1:11" x14ac:dyDescent="0.25">
      <c r="A31" s="71">
        <v>2.9</v>
      </c>
      <c r="B31" s="58">
        <f t="shared" si="2"/>
        <v>1.8658133003840449E-3</v>
      </c>
      <c r="C31" s="58">
        <f t="shared" si="2"/>
        <v>1.8071437808064861E-3</v>
      </c>
      <c r="D31" s="58">
        <f t="shared" si="2"/>
        <v>1.7501569286760832E-3</v>
      </c>
      <c r="E31" s="58">
        <f t="shared" si="2"/>
        <v>1.694810019277293E-3</v>
      </c>
      <c r="F31" s="58">
        <f t="shared" si="2"/>
        <v>1.6410612341569708E-3</v>
      </c>
      <c r="G31" s="58">
        <f t="shared" si="2"/>
        <v>1.5888696473648212E-3</v>
      </c>
      <c r="H31" s="58">
        <f t="shared" si="2"/>
        <v>1.538195211738036E-3</v>
      </c>
      <c r="I31" s="58">
        <f t="shared" si="2"/>
        <v>1.4889987452374465E-3</v>
      </c>
      <c r="J31" s="58">
        <f t="shared" si="2"/>
        <v>1.4412419173399638E-3</v>
      </c>
      <c r="K31" s="58">
        <f t="shared" si="2"/>
        <v>1.3948872354923036E-3</v>
      </c>
    </row>
    <row r="32" spans="1:11" x14ac:dyDescent="0.25">
      <c r="A32" s="71">
        <v>3</v>
      </c>
      <c r="B32" s="58">
        <f t="shared" si="2"/>
        <v>1.3498980316301035E-3</v>
      </c>
      <c r="C32" s="58">
        <f t="shared" si="2"/>
        <v>1.3062384487694256E-3</v>
      </c>
      <c r="D32" s="58">
        <f t="shared" si="2"/>
        <v>1.2638734276723129E-3</v>
      </c>
      <c r="E32" s="58">
        <f t="shared" si="2"/>
        <v>1.2227686935922799E-3</v>
      </c>
      <c r="F32" s="58">
        <f t="shared" si="2"/>
        <v>1.1828907431044033E-3</v>
      </c>
      <c r="G32" s="58">
        <f t="shared" si="2"/>
        <v>1.1442068310226761E-3</v>
      </c>
      <c r="H32" s="58">
        <f t="shared" si="2"/>
        <v>1.1066849574092874E-3</v>
      </c>
      <c r="I32" s="58">
        <f t="shared" si="2"/>
        <v>1.0702938546789387E-3</v>
      </c>
      <c r="J32" s="58">
        <f t="shared" si="2"/>
        <v>1.0350029748028566E-3</v>
      </c>
      <c r="K32" s="58">
        <f t="shared" si="2"/>
        <v>1.0007824766140594E-3</v>
      </c>
    </row>
    <row r="33" spans="1:11" x14ac:dyDescent="0.25">
      <c r="A33" s="71">
        <v>3.1</v>
      </c>
      <c r="B33" s="58">
        <f t="shared" si="2"/>
        <v>9.6760321321831544E-4</v>
      </c>
      <c r="C33" s="58">
        <f t="shared" si="2"/>
        <v>9.3543671951412666E-4</v>
      </c>
      <c r="D33" s="58">
        <f t="shared" si="2"/>
        <v>9.042551998222903E-4</v>
      </c>
      <c r="E33" s="58">
        <f t="shared" si="2"/>
        <v>8.7403151563159032E-4</v>
      </c>
      <c r="F33" s="58">
        <f t="shared" si="2"/>
        <v>8.447391734586196E-4</v>
      </c>
      <c r="G33" s="58">
        <f t="shared" si="2"/>
        <v>8.1635231282861653E-4</v>
      </c>
      <c r="H33" s="58">
        <f t="shared" si="2"/>
        <v>7.8884569437553953E-4</v>
      </c>
      <c r="I33" s="58">
        <f t="shared" si="2"/>
        <v>7.6219468806726365E-4</v>
      </c>
      <c r="J33" s="58">
        <f t="shared" si="2"/>
        <v>7.3637526155390098E-4</v>
      </c>
      <c r="K33" s="58">
        <f t="shared" si="2"/>
        <v>7.1136396864535101E-4</v>
      </c>
    </row>
    <row r="34" spans="1:11" x14ac:dyDescent="0.25">
      <c r="A34" s="71">
        <v>3.2</v>
      </c>
      <c r="B34" s="58">
        <f t="shared" si="2"/>
        <v>6.8713793791586042E-4</v>
      </c>
      <c r="C34" s="58">
        <f t="shared" si="2"/>
        <v>6.6367486143992238E-4</v>
      </c>
      <c r="D34" s="58">
        <f t="shared" si="2"/>
        <v>6.4095298366007025E-4</v>
      </c>
      <c r="E34" s="58">
        <f t="shared" si="2"/>
        <v>6.1895109038678786E-4</v>
      </c>
      <c r="F34" s="58">
        <f t="shared" si="2"/>
        <v>5.976484979344221E-4</v>
      </c>
      <c r="G34" s="58">
        <f t="shared" si="2"/>
        <v>5.7702504239076635E-4</v>
      </c>
      <c r="H34" s="58">
        <f t="shared" si="2"/>
        <v>5.5706106902464469E-4</v>
      </c>
      <c r="I34" s="58">
        <f t="shared" si="2"/>
        <v>5.377374218297204E-4</v>
      </c>
      <c r="J34" s="58">
        <f t="shared" si="2"/>
        <v>5.1903543320697132E-4</v>
      </c>
      <c r="K34" s="58">
        <f t="shared" si="2"/>
        <v>5.0093691378572114E-4</v>
      </c>
    </row>
    <row r="35" spans="1:11" x14ac:dyDescent="0.25">
      <c r="A35" s="71">
        <v>3.3</v>
      </c>
      <c r="B35" s="58">
        <f t="shared" ref="B35:K37" si="3">1-_xlfn.NORM.S.DIST($A35+B$1,TRUE)</f>
        <v>4.8342414238378151E-4</v>
      </c>
      <c r="C35" s="58">
        <f t="shared" si="3"/>
        <v>4.6647985610759335E-4</v>
      </c>
      <c r="D35" s="58">
        <f t="shared" si="3"/>
        <v>4.5008724059214522E-4</v>
      </c>
      <c r="E35" s="58">
        <f t="shared" si="3"/>
        <v>4.3422992038166797E-4</v>
      </c>
      <c r="F35" s="58">
        <f t="shared" si="3"/>
        <v>4.1889194945032848E-4</v>
      </c>
      <c r="G35" s="58">
        <f t="shared" si="3"/>
        <v>4.0405780186403284E-4</v>
      </c>
      <c r="H35" s="58">
        <f t="shared" si="3"/>
        <v>3.8971236258200648E-4</v>
      </c>
      <c r="I35" s="58">
        <f t="shared" si="3"/>
        <v>3.7584091840003886E-4</v>
      </c>
      <c r="J35" s="58">
        <f t="shared" si="3"/>
        <v>3.6242914903306112E-4</v>
      </c>
      <c r="K35" s="58">
        <f t="shared" si="3"/>
        <v>3.4946311833794486E-4</v>
      </c>
    </row>
    <row r="36" spans="1:11" x14ac:dyDescent="0.25">
      <c r="A36" s="71">
        <v>3.4</v>
      </c>
      <c r="B36" s="58">
        <f t="shared" si="3"/>
        <v>3.3692926567685522E-4</v>
      </c>
      <c r="C36" s="58">
        <f t="shared" si="3"/>
        <v>3.2481439741882667E-4</v>
      </c>
      <c r="D36" s="58">
        <f t="shared" si="3"/>
        <v>3.1310567858122695E-4</v>
      </c>
      <c r="E36" s="58">
        <f t="shared" si="3"/>
        <v>3.0179062460866657E-4</v>
      </c>
      <c r="F36" s="58">
        <f t="shared" si="3"/>
        <v>2.9085709329079723E-4</v>
      </c>
      <c r="G36" s="58">
        <f t="shared" si="3"/>
        <v>2.8029327681622362E-4</v>
      </c>
      <c r="H36" s="58">
        <f t="shared" si="3"/>
        <v>2.7008769396352772E-4</v>
      </c>
      <c r="I36" s="58">
        <f t="shared" si="3"/>
        <v>2.6022918242751825E-4</v>
      </c>
      <c r="J36" s="58">
        <f t="shared" si="3"/>
        <v>2.5070689128048329E-4</v>
      </c>
      <c r="K36" s="58">
        <f t="shared" si="3"/>
        <v>2.415102735678909E-4</v>
      </c>
    </row>
    <row r="37" spans="1:11" x14ac:dyDescent="0.25">
      <c r="A37" s="71">
        <v>3.5</v>
      </c>
      <c r="B37" s="58">
        <f t="shared" si="3"/>
        <v>2.3262907903554009E-4</v>
      </c>
      <c r="C37" s="58">
        <f t="shared" si="3"/>
        <v>2.2405334699104884E-4</v>
      </c>
      <c r="D37" s="58">
        <f t="shared" si="3"/>
        <v>2.1577339929468309E-4</v>
      </c>
      <c r="E37" s="58">
        <f t="shared" si="3"/>
        <v>2.0777983348063689E-4</v>
      </c>
      <c r="F37" s="58">
        <f t="shared" si="3"/>
        <v>2.0006351600732053E-4</v>
      </c>
      <c r="G37" s="58">
        <f t="shared" si="3"/>
        <v>1.9261557563565734E-4</v>
      </c>
      <c r="H37" s="58">
        <f t="shared" si="3"/>
        <v>1.8542739693327981E-4</v>
      </c>
      <c r="I37" s="58">
        <f t="shared" si="3"/>
        <v>1.78490613904847E-4</v>
      </c>
      <c r="J37" s="58">
        <f t="shared" si="3"/>
        <v>1.7179710374592982E-4</v>
      </c>
      <c r="K37" s="58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8" t="s">
        <v>117</v>
      </c>
      <c r="B1" s="129">
        <v>0.01</v>
      </c>
      <c r="C1" s="131">
        <v>2.5000000000000001E-2</v>
      </c>
      <c r="D1" s="129">
        <v>0.05</v>
      </c>
      <c r="E1" s="129">
        <v>0.1</v>
      </c>
      <c r="G1" s="120" t="s">
        <v>122</v>
      </c>
      <c r="H1" s="121"/>
      <c r="I1" s="121"/>
      <c r="J1" s="122"/>
    </row>
    <row r="2" spans="1:10" x14ac:dyDescent="0.25">
      <c r="A2" s="68" t="s">
        <v>116</v>
      </c>
      <c r="B2" s="130"/>
      <c r="C2" s="132"/>
      <c r="D2" s="130"/>
      <c r="E2" s="130"/>
      <c r="G2" s="123"/>
      <c r="H2" s="124"/>
      <c r="I2" s="124"/>
      <c r="J2" s="125"/>
    </row>
    <row r="3" spans="1:10" x14ac:dyDescent="0.25">
      <c r="A3" s="73">
        <v>1</v>
      </c>
      <c r="B3" s="74">
        <f t="shared" ref="B3:E18" si="0">_xlfn.CHISQ.INV.RT(B$1,$A3)</f>
        <v>6.6348966010212118</v>
      </c>
      <c r="C3" s="74">
        <f t="shared" si="0"/>
        <v>5.0238861873148863</v>
      </c>
      <c r="D3" s="74">
        <f t="shared" si="0"/>
        <v>3.8414588206941236</v>
      </c>
      <c r="E3" s="74">
        <f t="shared" si="0"/>
        <v>2.7055434540954142</v>
      </c>
      <c r="G3" s="123"/>
      <c r="H3" s="124"/>
      <c r="I3" s="124"/>
      <c r="J3" s="125"/>
    </row>
    <row r="4" spans="1:10" x14ac:dyDescent="0.25">
      <c r="A4" s="73">
        <v>2</v>
      </c>
      <c r="B4" s="74">
        <f t="shared" si="0"/>
        <v>9.2103403719761818</v>
      </c>
      <c r="C4" s="74">
        <f t="shared" si="0"/>
        <v>7.3777589082278725</v>
      </c>
      <c r="D4" s="74">
        <f t="shared" si="0"/>
        <v>5.9914645471079817</v>
      </c>
      <c r="E4" s="74">
        <f t="shared" si="0"/>
        <v>4.6051701859880909</v>
      </c>
      <c r="G4" s="123"/>
      <c r="H4" s="124"/>
      <c r="I4" s="124"/>
      <c r="J4" s="125"/>
    </row>
    <row r="5" spans="1:10" x14ac:dyDescent="0.25">
      <c r="A5" s="73">
        <v>3</v>
      </c>
      <c r="B5" s="74">
        <f t="shared" si="0"/>
        <v>11.344866730144371</v>
      </c>
      <c r="C5" s="74">
        <f t="shared" si="0"/>
        <v>9.3484036044961485</v>
      </c>
      <c r="D5" s="74">
        <f t="shared" si="0"/>
        <v>7.8147279032511792</v>
      </c>
      <c r="E5" s="74">
        <f t="shared" si="0"/>
        <v>6.2513886311703235</v>
      </c>
      <c r="G5" s="126"/>
      <c r="H5" s="127"/>
      <c r="I5" s="127"/>
      <c r="J5" s="128"/>
    </row>
    <row r="6" spans="1:10" x14ac:dyDescent="0.25">
      <c r="A6" s="73">
        <v>4</v>
      </c>
      <c r="B6" s="74">
        <f t="shared" si="0"/>
        <v>13.276704135987623</v>
      </c>
      <c r="C6" s="74">
        <f t="shared" si="0"/>
        <v>11.143286781877798</v>
      </c>
      <c r="D6" s="74">
        <f t="shared" si="0"/>
        <v>9.4877290367811575</v>
      </c>
      <c r="E6" s="74">
        <f t="shared" si="0"/>
        <v>7.7794403397348582</v>
      </c>
    </row>
    <row r="7" spans="1:10" x14ac:dyDescent="0.25">
      <c r="A7" s="73">
        <v>5</v>
      </c>
      <c r="B7" s="74">
        <f t="shared" si="0"/>
        <v>15.086272469388991</v>
      </c>
      <c r="C7" s="74">
        <f t="shared" si="0"/>
        <v>12.832501994030029</v>
      </c>
      <c r="D7" s="74">
        <f t="shared" si="0"/>
        <v>11.070497693516353</v>
      </c>
      <c r="E7" s="74">
        <f t="shared" si="0"/>
        <v>9.2363568997811178</v>
      </c>
    </row>
    <row r="8" spans="1:10" x14ac:dyDescent="0.25">
      <c r="A8" s="73">
        <v>6</v>
      </c>
      <c r="B8" s="74">
        <f t="shared" si="0"/>
        <v>16.811893829770931</v>
      </c>
      <c r="C8" s="74">
        <f t="shared" si="0"/>
        <v>14.449375335447922</v>
      </c>
      <c r="D8" s="74">
        <f t="shared" si="0"/>
        <v>12.591587243743978</v>
      </c>
      <c r="E8" s="74">
        <f t="shared" si="0"/>
        <v>10.64464067566842</v>
      </c>
    </row>
    <row r="9" spans="1:10" x14ac:dyDescent="0.25">
      <c r="A9" s="73">
        <v>7</v>
      </c>
      <c r="B9" s="74">
        <f t="shared" si="0"/>
        <v>18.475306906582361</v>
      </c>
      <c r="C9" s="74">
        <f t="shared" si="0"/>
        <v>16.012764274629326</v>
      </c>
      <c r="D9" s="74">
        <f t="shared" si="0"/>
        <v>14.067140449340167</v>
      </c>
      <c r="E9" s="74">
        <f t="shared" si="0"/>
        <v>12.01703662378053</v>
      </c>
    </row>
    <row r="10" spans="1:10" x14ac:dyDescent="0.25">
      <c r="A10" s="73">
        <v>8</v>
      </c>
      <c r="B10" s="74">
        <f t="shared" si="0"/>
        <v>20.090235029663233</v>
      </c>
      <c r="C10" s="74">
        <f t="shared" si="0"/>
        <v>17.53454613948465</v>
      </c>
      <c r="D10" s="74">
        <f t="shared" si="0"/>
        <v>15.507313055865453</v>
      </c>
      <c r="E10" s="74">
        <f t="shared" si="0"/>
        <v>13.361566136511726</v>
      </c>
    </row>
    <row r="11" spans="1:10" x14ac:dyDescent="0.25">
      <c r="A11" s="73">
        <v>9</v>
      </c>
      <c r="B11" s="74">
        <f t="shared" si="0"/>
        <v>21.665994333461931</v>
      </c>
      <c r="C11" s="74">
        <f t="shared" si="0"/>
        <v>19.022767798641635</v>
      </c>
      <c r="D11" s="74">
        <f t="shared" si="0"/>
        <v>16.918977604620451</v>
      </c>
      <c r="E11" s="74">
        <f t="shared" si="0"/>
        <v>14.683656573259835</v>
      </c>
    </row>
    <row r="12" spans="1:10" x14ac:dyDescent="0.25">
      <c r="A12" s="73">
        <v>10</v>
      </c>
      <c r="B12" s="74">
        <f t="shared" si="0"/>
        <v>23.209251158954359</v>
      </c>
      <c r="C12" s="74">
        <f t="shared" si="0"/>
        <v>20.483177350807395</v>
      </c>
      <c r="D12" s="74">
        <f t="shared" si="0"/>
        <v>18.307038053275146</v>
      </c>
      <c r="E12" s="74">
        <f t="shared" si="0"/>
        <v>15.987179172105261</v>
      </c>
    </row>
    <row r="13" spans="1:10" x14ac:dyDescent="0.25">
      <c r="A13" s="73">
        <v>11</v>
      </c>
      <c r="B13" s="74">
        <f t="shared" si="0"/>
        <v>24.724970311318284</v>
      </c>
      <c r="C13" s="74">
        <f t="shared" si="0"/>
        <v>21.920049261021205</v>
      </c>
      <c r="D13" s="74">
        <f t="shared" si="0"/>
        <v>19.675137572682498</v>
      </c>
      <c r="E13" s="74">
        <f t="shared" si="0"/>
        <v>17.275008517500069</v>
      </c>
    </row>
    <row r="14" spans="1:10" x14ac:dyDescent="0.25">
      <c r="A14" s="73">
        <v>12</v>
      </c>
      <c r="B14" s="74">
        <f t="shared" si="0"/>
        <v>26.216967305535849</v>
      </c>
      <c r="C14" s="74">
        <f t="shared" si="0"/>
        <v>23.336664158645338</v>
      </c>
      <c r="D14" s="74">
        <f t="shared" si="0"/>
        <v>21.026069817483066</v>
      </c>
      <c r="E14" s="74">
        <f t="shared" si="0"/>
        <v>18.549347786703244</v>
      </c>
    </row>
    <row r="15" spans="1:10" x14ac:dyDescent="0.25">
      <c r="A15" s="73">
        <v>13</v>
      </c>
      <c r="B15" s="74">
        <f t="shared" si="0"/>
        <v>27.688249610457049</v>
      </c>
      <c r="C15" s="74">
        <f t="shared" si="0"/>
        <v>24.73560488493154</v>
      </c>
      <c r="D15" s="74">
        <f t="shared" si="0"/>
        <v>22.362032494826938</v>
      </c>
      <c r="E15" s="74">
        <f t="shared" si="0"/>
        <v>19.81192930712756</v>
      </c>
    </row>
    <row r="16" spans="1:10" x14ac:dyDescent="0.25">
      <c r="A16" s="73">
        <v>14</v>
      </c>
      <c r="B16" s="74">
        <f t="shared" si="0"/>
        <v>29.141237740672796</v>
      </c>
      <c r="C16" s="74">
        <f t="shared" si="0"/>
        <v>26.118948045037371</v>
      </c>
      <c r="D16" s="74">
        <f t="shared" si="0"/>
        <v>23.68479130484058</v>
      </c>
      <c r="E16" s="74">
        <f t="shared" si="0"/>
        <v>21.064144212997057</v>
      </c>
    </row>
    <row r="17" spans="1:5" x14ac:dyDescent="0.25">
      <c r="A17" s="73">
        <v>15</v>
      </c>
      <c r="B17" s="74">
        <f t="shared" si="0"/>
        <v>30.577914166892494</v>
      </c>
      <c r="C17" s="74">
        <f t="shared" si="0"/>
        <v>27.488392863442982</v>
      </c>
      <c r="D17" s="74">
        <f t="shared" si="0"/>
        <v>24.99579013972863</v>
      </c>
      <c r="E17" s="74">
        <f t="shared" si="0"/>
        <v>22.307129581578689</v>
      </c>
    </row>
    <row r="18" spans="1:5" x14ac:dyDescent="0.25">
      <c r="A18" s="73">
        <v>16</v>
      </c>
      <c r="B18" s="74">
        <f t="shared" si="0"/>
        <v>31.999926908815183</v>
      </c>
      <c r="C18" s="74">
        <f t="shared" si="0"/>
        <v>28.84535072340476</v>
      </c>
      <c r="D18" s="74">
        <f t="shared" si="0"/>
        <v>26.296227604864239</v>
      </c>
      <c r="E18" s="74">
        <f t="shared" si="0"/>
        <v>23.541828923096112</v>
      </c>
    </row>
    <row r="19" spans="1:5" x14ac:dyDescent="0.25">
      <c r="A19" s="73">
        <v>17</v>
      </c>
      <c r="B19" s="74">
        <f t="shared" ref="B19:E19" si="1">_xlfn.CHISQ.INV.RT(B$1,$A19)</f>
        <v>33.408663605004612</v>
      </c>
      <c r="C19" s="74">
        <f t="shared" si="1"/>
        <v>30.191009121639812</v>
      </c>
      <c r="D19" s="74">
        <f t="shared" si="1"/>
        <v>27.587111638275324</v>
      </c>
      <c r="E19" s="74">
        <f t="shared" si="1"/>
        <v>24.76903534390145</v>
      </c>
    </row>
    <row r="20" spans="1:5" x14ac:dyDescent="0.25">
      <c r="A20" s="73">
        <v>18</v>
      </c>
      <c r="B20" s="74">
        <f t="shared" ref="B20:E32" si="2">_xlfn.CHISQ.INV.RT(B$1,$A20)</f>
        <v>34.805305734705072</v>
      </c>
      <c r="C20" s="74">
        <f t="shared" si="2"/>
        <v>31.52637844038663</v>
      </c>
      <c r="D20" s="74">
        <f t="shared" si="2"/>
        <v>28.869299430392633</v>
      </c>
      <c r="E20" s="74">
        <f t="shared" si="2"/>
        <v>25.989423082637209</v>
      </c>
    </row>
    <row r="21" spans="1:5" x14ac:dyDescent="0.25">
      <c r="A21" s="73">
        <v>19</v>
      </c>
      <c r="B21" s="74">
        <f t="shared" si="2"/>
        <v>36.190869129270048</v>
      </c>
      <c r="C21" s="74">
        <f t="shared" si="2"/>
        <v>32.852326861729708</v>
      </c>
      <c r="D21" s="74">
        <f t="shared" si="2"/>
        <v>30.143527205646155</v>
      </c>
      <c r="E21" s="74">
        <f t="shared" si="2"/>
        <v>27.203571029356826</v>
      </c>
    </row>
    <row r="22" spans="1:5" x14ac:dyDescent="0.25">
      <c r="A22" s="73">
        <v>20</v>
      </c>
      <c r="B22" s="74">
        <f t="shared" si="2"/>
        <v>37.566234786625053</v>
      </c>
      <c r="C22" s="74">
        <f t="shared" si="2"/>
        <v>34.169606902838339</v>
      </c>
      <c r="D22" s="74">
        <f t="shared" si="2"/>
        <v>31.410432844230925</v>
      </c>
      <c r="E22" s="74">
        <f t="shared" si="2"/>
        <v>28.411980584305635</v>
      </c>
    </row>
    <row r="23" spans="1:5" x14ac:dyDescent="0.25">
      <c r="A23" s="73">
        <v>21</v>
      </c>
      <c r="B23" s="74">
        <f t="shared" si="2"/>
        <v>38.932172683516065</v>
      </c>
      <c r="C23" s="74">
        <f t="shared" si="2"/>
        <v>35.478875905727257</v>
      </c>
      <c r="D23" s="74">
        <f t="shared" si="2"/>
        <v>32.670573340917308</v>
      </c>
      <c r="E23" s="74">
        <f t="shared" si="2"/>
        <v>29.615089436182725</v>
      </c>
    </row>
    <row r="24" spans="1:5" x14ac:dyDescent="0.25">
      <c r="A24" s="73">
        <v>22</v>
      </c>
      <c r="B24" s="74">
        <f t="shared" si="2"/>
        <v>40.289360437593864</v>
      </c>
      <c r="C24" s="74">
        <f t="shared" si="2"/>
        <v>36.780712084035557</v>
      </c>
      <c r="D24" s="74">
        <f t="shared" si="2"/>
        <v>33.9244384714438</v>
      </c>
      <c r="E24" s="74">
        <f t="shared" si="2"/>
        <v>30.813282343953034</v>
      </c>
    </row>
    <row r="25" spans="1:5" x14ac:dyDescent="0.25">
      <c r="A25" s="73">
        <v>23</v>
      </c>
      <c r="B25" s="74">
        <f t="shared" si="2"/>
        <v>41.638398118858476</v>
      </c>
      <c r="C25" s="74">
        <f t="shared" si="2"/>
        <v>38.075627250355801</v>
      </c>
      <c r="D25" s="74">
        <f t="shared" si="2"/>
        <v>35.172461626908053</v>
      </c>
      <c r="E25" s="74">
        <f t="shared" si="2"/>
        <v>32.006899681704304</v>
      </c>
    </row>
    <row r="26" spans="1:5" x14ac:dyDescent="0.25">
      <c r="A26" s="73">
        <v>24</v>
      </c>
      <c r="B26" s="74">
        <f t="shared" si="2"/>
        <v>42.979820139351638</v>
      </c>
      <c r="C26" s="74">
        <f t="shared" si="2"/>
        <v>39.364077026603915</v>
      </c>
      <c r="D26" s="74">
        <f t="shared" si="2"/>
        <v>36.415028501807313</v>
      </c>
      <c r="E26" s="74">
        <f t="shared" si="2"/>
        <v>33.196244288628179</v>
      </c>
    </row>
    <row r="27" spans="1:5" x14ac:dyDescent="0.25">
      <c r="A27" s="73">
        <v>25</v>
      </c>
      <c r="B27" s="74">
        <f t="shared" si="2"/>
        <v>44.314104896219156</v>
      </c>
      <c r="C27" s="74">
        <f t="shared" si="2"/>
        <v>40.646469120275199</v>
      </c>
      <c r="D27" s="74">
        <f t="shared" si="2"/>
        <v>37.65248413348278</v>
      </c>
      <c r="E27" s="74">
        <f t="shared" si="2"/>
        <v>34.381587017552953</v>
      </c>
    </row>
    <row r="28" spans="1:5" x14ac:dyDescent="0.25">
      <c r="A28" s="73">
        <v>26</v>
      </c>
      <c r="B28" s="74">
        <f t="shared" si="2"/>
        <v>45.641682666283153</v>
      </c>
      <c r="C28" s="74">
        <f t="shared" si="2"/>
        <v>41.923170096353914</v>
      </c>
      <c r="D28" s="74">
        <f t="shared" si="2"/>
        <v>38.885138659830041</v>
      </c>
      <c r="E28" s="74">
        <f t="shared" si="2"/>
        <v>35.563171271923459</v>
      </c>
    </row>
    <row r="29" spans="1:5" x14ac:dyDescent="0.25">
      <c r="A29" s="73">
        <v>27</v>
      </c>
      <c r="B29" s="74">
        <f t="shared" si="2"/>
        <v>46.962942124751443</v>
      </c>
      <c r="C29" s="74">
        <f t="shared" si="2"/>
        <v>43.194510966156031</v>
      </c>
      <c r="D29" s="74">
        <f t="shared" si="2"/>
        <v>40.113272069413625</v>
      </c>
      <c r="E29" s="74">
        <f t="shared" si="2"/>
        <v>36.741216747797637</v>
      </c>
    </row>
    <row r="30" spans="1:5" x14ac:dyDescent="0.25">
      <c r="A30" s="73">
        <v>28</v>
      </c>
      <c r="B30" s="74">
        <f t="shared" si="2"/>
        <v>48.27823577031549</v>
      </c>
      <c r="C30" s="74">
        <f t="shared" si="2"/>
        <v>44.460791836317753</v>
      </c>
      <c r="D30" s="74">
        <f t="shared" si="2"/>
        <v>41.337138151427396</v>
      </c>
      <c r="E30" s="74">
        <f t="shared" si="2"/>
        <v>37.915922544697068</v>
      </c>
    </row>
    <row r="31" spans="1:5" x14ac:dyDescent="0.25">
      <c r="A31" s="73">
        <v>29</v>
      </c>
      <c r="B31" s="74">
        <f t="shared" si="2"/>
        <v>49.587884472898835</v>
      </c>
      <c r="C31" s="74">
        <f t="shared" si="2"/>
        <v>45.722285804174533</v>
      </c>
      <c r="D31" s="74">
        <f t="shared" si="2"/>
        <v>42.556967804292682</v>
      </c>
      <c r="E31" s="74">
        <f t="shared" si="2"/>
        <v>39.087469770693957</v>
      </c>
    </row>
    <row r="32" spans="1:5" x14ac:dyDescent="0.25">
      <c r="A32" s="73">
        <v>30</v>
      </c>
      <c r="B32" s="74">
        <f t="shared" si="2"/>
        <v>50.892181311517092</v>
      </c>
      <c r="C32" s="74">
        <f t="shared" si="2"/>
        <v>46.979242243671159</v>
      </c>
      <c r="D32" s="74">
        <f t="shared" si="2"/>
        <v>43.772971825742189</v>
      </c>
      <c r="E32" s="74">
        <f t="shared" si="2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8" t="s">
        <v>102</v>
      </c>
      <c r="B1" s="129">
        <v>0.01</v>
      </c>
      <c r="C1" s="131">
        <v>2.5000000000000001E-2</v>
      </c>
      <c r="D1" s="129">
        <v>0.05</v>
      </c>
      <c r="E1" s="129">
        <v>0.1</v>
      </c>
      <c r="G1" s="120" t="s">
        <v>121</v>
      </c>
      <c r="H1" s="121"/>
      <c r="I1" s="121"/>
      <c r="J1" s="122"/>
    </row>
    <row r="2" spans="1:10" x14ac:dyDescent="0.25">
      <c r="A2" s="68" t="s">
        <v>116</v>
      </c>
      <c r="B2" s="130"/>
      <c r="C2" s="132"/>
      <c r="D2" s="130"/>
      <c r="E2" s="130"/>
      <c r="G2" s="123"/>
      <c r="H2" s="124"/>
      <c r="I2" s="124"/>
      <c r="J2" s="125"/>
    </row>
    <row r="3" spans="1:10" x14ac:dyDescent="0.25">
      <c r="A3" s="73">
        <v>1</v>
      </c>
      <c r="B3" s="74">
        <f>-_xlfn.T.INV(B$1,$A3)</f>
        <v>31.820515953773956</v>
      </c>
      <c r="C3" s="74">
        <f t="shared" ref="C3:E32" si="0">-_xlfn.T.INV(C$1,$A3)</f>
        <v>12.706204736174707</v>
      </c>
      <c r="D3" s="74">
        <f t="shared" si="0"/>
        <v>6.3137515146750438</v>
      </c>
      <c r="E3" s="74">
        <f t="shared" si="0"/>
        <v>3.077683537175254</v>
      </c>
      <c r="G3" s="123"/>
      <c r="H3" s="124"/>
      <c r="I3" s="124"/>
      <c r="J3" s="125"/>
    </row>
    <row r="4" spans="1:10" x14ac:dyDescent="0.25">
      <c r="A4" s="73">
        <v>2</v>
      </c>
      <c r="B4" s="74">
        <f t="shared" ref="B4:B32" si="1">-_xlfn.T.INV(B$1,$A4)</f>
        <v>6.9645567342832733</v>
      </c>
      <c r="C4" s="74">
        <f t="shared" si="0"/>
        <v>4.3026527297494637</v>
      </c>
      <c r="D4" s="74">
        <f t="shared" si="0"/>
        <v>2.9199855803537269</v>
      </c>
      <c r="E4" s="74">
        <f t="shared" si="0"/>
        <v>1.8856180831641267</v>
      </c>
      <c r="G4" s="123"/>
      <c r="H4" s="124"/>
      <c r="I4" s="124"/>
      <c r="J4" s="125"/>
    </row>
    <row r="5" spans="1:10" x14ac:dyDescent="0.25">
      <c r="A5" s="73">
        <v>3</v>
      </c>
      <c r="B5" s="74">
        <f t="shared" si="1"/>
        <v>4.5407028585681335</v>
      </c>
      <c r="C5" s="74">
        <f t="shared" si="0"/>
        <v>3.1824463052837091</v>
      </c>
      <c r="D5" s="74">
        <f t="shared" si="0"/>
        <v>2.3533634348018233</v>
      </c>
      <c r="E5" s="74">
        <f t="shared" si="0"/>
        <v>1.63774435369621</v>
      </c>
      <c r="G5" s="126"/>
      <c r="H5" s="127"/>
      <c r="I5" s="127"/>
      <c r="J5" s="128"/>
    </row>
    <row r="6" spans="1:10" x14ac:dyDescent="0.25">
      <c r="A6" s="73">
        <v>4</v>
      </c>
      <c r="B6" s="74">
        <f t="shared" si="1"/>
        <v>3.7469473879791968</v>
      </c>
      <c r="C6" s="74">
        <f t="shared" si="0"/>
        <v>2.7764451051977934</v>
      </c>
      <c r="D6" s="74">
        <f t="shared" si="0"/>
        <v>2.1318467863266499</v>
      </c>
      <c r="E6" s="74">
        <f t="shared" si="0"/>
        <v>1.5332062740589443</v>
      </c>
    </row>
    <row r="7" spans="1:10" x14ac:dyDescent="0.25">
      <c r="A7" s="73">
        <v>5</v>
      </c>
      <c r="B7" s="74">
        <f t="shared" si="1"/>
        <v>3.3649299989072183</v>
      </c>
      <c r="C7" s="74">
        <f t="shared" si="0"/>
        <v>2.570581835636315</v>
      </c>
      <c r="D7" s="74">
        <f t="shared" si="0"/>
        <v>2.0150483733330233</v>
      </c>
      <c r="E7" s="74">
        <f t="shared" si="0"/>
        <v>1.4758840488244813</v>
      </c>
    </row>
    <row r="8" spans="1:10" x14ac:dyDescent="0.25">
      <c r="A8" s="73">
        <v>6</v>
      </c>
      <c r="B8" s="74">
        <f t="shared" si="1"/>
        <v>3.1426684032909828</v>
      </c>
      <c r="C8" s="74">
        <f t="shared" si="0"/>
        <v>2.4469118511449697</v>
      </c>
      <c r="D8" s="74">
        <f t="shared" si="0"/>
        <v>1.9431802805153031</v>
      </c>
      <c r="E8" s="74">
        <f t="shared" si="0"/>
        <v>1.4397557472651481</v>
      </c>
    </row>
    <row r="9" spans="1:10" x14ac:dyDescent="0.25">
      <c r="A9" s="73">
        <v>7</v>
      </c>
      <c r="B9" s="74">
        <f t="shared" si="1"/>
        <v>2.997951566868529</v>
      </c>
      <c r="C9" s="74">
        <f t="shared" si="0"/>
        <v>2.3646242515927849</v>
      </c>
      <c r="D9" s="74">
        <f t="shared" si="0"/>
        <v>1.8945786050900073</v>
      </c>
      <c r="E9" s="74">
        <f t="shared" si="0"/>
        <v>1.4149239276505079</v>
      </c>
    </row>
    <row r="10" spans="1:10" x14ac:dyDescent="0.25">
      <c r="A10" s="73">
        <v>8</v>
      </c>
      <c r="B10" s="74">
        <f t="shared" si="1"/>
        <v>2.8964594477096224</v>
      </c>
      <c r="C10" s="74">
        <f t="shared" si="0"/>
        <v>2.3060041352041671</v>
      </c>
      <c r="D10" s="74">
        <f t="shared" si="0"/>
        <v>1.8595480375308981</v>
      </c>
      <c r="E10" s="74">
        <f t="shared" si="0"/>
        <v>1.3968153097438645</v>
      </c>
    </row>
    <row r="11" spans="1:10" x14ac:dyDescent="0.25">
      <c r="A11" s="73">
        <v>9</v>
      </c>
      <c r="B11" s="74">
        <f t="shared" si="1"/>
        <v>2.8214379250258084</v>
      </c>
      <c r="C11" s="74">
        <f t="shared" si="0"/>
        <v>2.2621571627982053</v>
      </c>
      <c r="D11" s="74">
        <f t="shared" si="0"/>
        <v>1.8331129326562374</v>
      </c>
      <c r="E11" s="74">
        <f t="shared" si="0"/>
        <v>1.383028738396632</v>
      </c>
    </row>
    <row r="12" spans="1:10" x14ac:dyDescent="0.25">
      <c r="A12" s="73">
        <v>10</v>
      </c>
      <c r="B12" s="74">
        <f t="shared" si="1"/>
        <v>2.7637694581126966</v>
      </c>
      <c r="C12" s="74">
        <f t="shared" si="0"/>
        <v>2.2281388519862744</v>
      </c>
      <c r="D12" s="74">
        <f t="shared" si="0"/>
        <v>1.812461122811676</v>
      </c>
      <c r="E12" s="74">
        <f t="shared" si="0"/>
        <v>1.3721836411103363</v>
      </c>
    </row>
    <row r="13" spans="1:10" x14ac:dyDescent="0.25">
      <c r="A13" s="73">
        <v>11</v>
      </c>
      <c r="B13" s="74">
        <f t="shared" si="1"/>
        <v>2.7180791838138614</v>
      </c>
      <c r="C13" s="74">
        <f t="shared" si="0"/>
        <v>2.2009851600916384</v>
      </c>
      <c r="D13" s="74">
        <f t="shared" si="0"/>
        <v>1.7958848187040437</v>
      </c>
      <c r="E13" s="74">
        <f t="shared" si="0"/>
        <v>1.3634303180205409</v>
      </c>
    </row>
    <row r="14" spans="1:10" x14ac:dyDescent="0.25">
      <c r="A14" s="73">
        <v>12</v>
      </c>
      <c r="B14" s="74">
        <f t="shared" si="1"/>
        <v>2.6809979931209149</v>
      </c>
      <c r="C14" s="74">
        <f t="shared" si="0"/>
        <v>2.1788128296672284</v>
      </c>
      <c r="D14" s="74">
        <f t="shared" si="0"/>
        <v>1.7822875556493194</v>
      </c>
      <c r="E14" s="74">
        <f t="shared" si="0"/>
        <v>1.3562173340232047</v>
      </c>
    </row>
    <row r="15" spans="1:10" x14ac:dyDescent="0.25">
      <c r="A15" s="73">
        <v>13</v>
      </c>
      <c r="B15" s="74">
        <f t="shared" si="1"/>
        <v>2.650308837912192</v>
      </c>
      <c r="C15" s="74">
        <f t="shared" si="0"/>
        <v>2.1603686564627926</v>
      </c>
      <c r="D15" s="74">
        <f t="shared" si="0"/>
        <v>1.7709333959868729</v>
      </c>
      <c r="E15" s="74">
        <f t="shared" si="0"/>
        <v>1.3501712887800554</v>
      </c>
    </row>
    <row r="16" spans="1:10" x14ac:dyDescent="0.25">
      <c r="A16" s="73">
        <v>14</v>
      </c>
      <c r="B16" s="74">
        <f t="shared" si="1"/>
        <v>2.6244940675900517</v>
      </c>
      <c r="C16" s="74">
        <f t="shared" si="0"/>
        <v>2.1447866879178044</v>
      </c>
      <c r="D16" s="74">
        <f t="shared" si="0"/>
        <v>1.7613101357748921</v>
      </c>
      <c r="E16" s="74">
        <f t="shared" si="0"/>
        <v>1.3450303744546506</v>
      </c>
    </row>
    <row r="17" spans="1:5" x14ac:dyDescent="0.25">
      <c r="A17" s="73">
        <v>15</v>
      </c>
      <c r="B17" s="74">
        <f t="shared" si="1"/>
        <v>2.6024802950111221</v>
      </c>
      <c r="C17" s="74">
        <f t="shared" si="0"/>
        <v>2.1314495455597742</v>
      </c>
      <c r="D17" s="74">
        <f t="shared" si="0"/>
        <v>1.7530503556925723</v>
      </c>
      <c r="E17" s="74">
        <f t="shared" si="0"/>
        <v>1.3406056078504547</v>
      </c>
    </row>
    <row r="18" spans="1:5" x14ac:dyDescent="0.25">
      <c r="A18" s="73">
        <v>16</v>
      </c>
      <c r="B18" s="74">
        <f t="shared" si="1"/>
        <v>2.5834871852759917</v>
      </c>
      <c r="C18" s="74">
        <f t="shared" si="0"/>
        <v>2.119905299221255</v>
      </c>
      <c r="D18" s="74">
        <f t="shared" si="0"/>
        <v>1.7458836762762506</v>
      </c>
      <c r="E18" s="74">
        <f t="shared" si="0"/>
        <v>1.3367571673273144</v>
      </c>
    </row>
    <row r="19" spans="1:5" x14ac:dyDescent="0.25">
      <c r="A19" s="73">
        <v>17</v>
      </c>
      <c r="B19" s="74">
        <f t="shared" si="1"/>
        <v>2.5669339837247178</v>
      </c>
      <c r="C19" s="74">
        <f t="shared" si="0"/>
        <v>2.109815577833317</v>
      </c>
      <c r="D19" s="74">
        <f t="shared" si="0"/>
        <v>1.7396067260750732</v>
      </c>
      <c r="E19" s="74">
        <f t="shared" si="0"/>
        <v>1.3333793897216262</v>
      </c>
    </row>
    <row r="20" spans="1:5" x14ac:dyDescent="0.25">
      <c r="A20" s="73">
        <v>18</v>
      </c>
      <c r="B20" s="74">
        <f t="shared" si="1"/>
        <v>2.552379630182251</v>
      </c>
      <c r="C20" s="74">
        <f t="shared" si="0"/>
        <v>2.1009220402410378</v>
      </c>
      <c r="D20" s="74">
        <f t="shared" si="0"/>
        <v>1.7340636066175394</v>
      </c>
      <c r="E20" s="74">
        <f t="shared" si="0"/>
        <v>1.3303909435699084</v>
      </c>
    </row>
    <row r="21" spans="1:5" x14ac:dyDescent="0.25">
      <c r="A21" s="73">
        <v>19</v>
      </c>
      <c r="B21" s="74">
        <f t="shared" si="1"/>
        <v>2.5394831906239612</v>
      </c>
      <c r="C21" s="74">
        <f t="shared" si="0"/>
        <v>2.0930240544083096</v>
      </c>
      <c r="D21" s="74">
        <f t="shared" si="0"/>
        <v>1.7291328115213698</v>
      </c>
      <c r="E21" s="74">
        <f t="shared" si="0"/>
        <v>1.3277282090267981</v>
      </c>
    </row>
    <row r="22" spans="1:5" x14ac:dyDescent="0.25">
      <c r="A22" s="73">
        <v>20</v>
      </c>
      <c r="B22" s="74">
        <f t="shared" si="1"/>
        <v>2.5279770027415731</v>
      </c>
      <c r="C22" s="74">
        <f t="shared" si="0"/>
        <v>2.0859634472658648</v>
      </c>
      <c r="D22" s="74">
        <f t="shared" si="0"/>
        <v>1.7247182429207868</v>
      </c>
      <c r="E22" s="74">
        <f t="shared" si="0"/>
        <v>1.3253407069850465</v>
      </c>
    </row>
    <row r="23" spans="1:5" x14ac:dyDescent="0.25">
      <c r="A23" s="73">
        <v>21</v>
      </c>
      <c r="B23" s="74">
        <f t="shared" si="1"/>
        <v>2.5176480160447423</v>
      </c>
      <c r="C23" s="74">
        <f t="shared" si="0"/>
        <v>2.07961384472768</v>
      </c>
      <c r="D23" s="74">
        <f t="shared" si="0"/>
        <v>1.7207429028118781</v>
      </c>
      <c r="E23" s="74">
        <f t="shared" si="0"/>
        <v>1.3231878738651732</v>
      </c>
    </row>
    <row r="24" spans="1:5" x14ac:dyDescent="0.25">
      <c r="A24" s="73">
        <v>22</v>
      </c>
      <c r="B24" s="74">
        <f t="shared" si="1"/>
        <v>2.5083245528990807</v>
      </c>
      <c r="C24" s="74">
        <f t="shared" si="0"/>
        <v>2.0738730679040258</v>
      </c>
      <c r="D24" s="74">
        <f t="shared" si="0"/>
        <v>1.7171443743802424</v>
      </c>
      <c r="E24" s="74">
        <f t="shared" si="0"/>
        <v>1.3212367416133624</v>
      </c>
    </row>
    <row r="25" spans="1:5" x14ac:dyDescent="0.25">
      <c r="A25" s="73">
        <v>23</v>
      </c>
      <c r="B25" s="74">
        <f t="shared" si="1"/>
        <v>2.4998667394946681</v>
      </c>
      <c r="C25" s="74">
        <f t="shared" si="0"/>
        <v>2.0686576104190491</v>
      </c>
      <c r="D25" s="74">
        <f t="shared" si="0"/>
        <v>1.7138715277470482</v>
      </c>
      <c r="E25" s="74">
        <f t="shared" si="0"/>
        <v>1.3194602398161621</v>
      </c>
    </row>
    <row r="26" spans="1:5" x14ac:dyDescent="0.25">
      <c r="A26" s="73">
        <v>24</v>
      </c>
      <c r="B26" s="74">
        <f t="shared" si="1"/>
        <v>2.492159473157757</v>
      </c>
      <c r="C26" s="74">
        <f t="shared" si="0"/>
        <v>2.0638985616280254</v>
      </c>
      <c r="D26" s="74">
        <f t="shared" si="0"/>
        <v>1.7108820799094284</v>
      </c>
      <c r="E26" s="74">
        <f t="shared" si="0"/>
        <v>1.3178359336731498</v>
      </c>
    </row>
    <row r="27" spans="1:5" x14ac:dyDescent="0.25">
      <c r="A27" s="73">
        <v>25</v>
      </c>
      <c r="B27" s="74">
        <f t="shared" si="1"/>
        <v>2.485107175410763</v>
      </c>
      <c r="C27" s="74">
        <f t="shared" si="0"/>
        <v>2.0595385527532977</v>
      </c>
      <c r="D27" s="74">
        <f t="shared" si="0"/>
        <v>1.7081407612518986</v>
      </c>
      <c r="E27" s="74">
        <f t="shared" si="0"/>
        <v>1.3163450726738706</v>
      </c>
    </row>
    <row r="28" spans="1:5" x14ac:dyDescent="0.25">
      <c r="A28" s="73">
        <v>26</v>
      </c>
      <c r="B28" s="74">
        <f t="shared" si="1"/>
        <v>2.4786298235912425</v>
      </c>
      <c r="C28" s="74">
        <f t="shared" si="0"/>
        <v>2.0555294386428731</v>
      </c>
      <c r="D28" s="74">
        <f t="shared" si="0"/>
        <v>1.7056179197592738</v>
      </c>
      <c r="E28" s="74">
        <f t="shared" si="0"/>
        <v>1.3149718642705173</v>
      </c>
    </row>
    <row r="29" spans="1:5" x14ac:dyDescent="0.25">
      <c r="A29" s="73">
        <v>27</v>
      </c>
      <c r="B29" s="74">
        <f t="shared" si="1"/>
        <v>2.4726599119560069</v>
      </c>
      <c r="C29" s="74">
        <f t="shared" si="0"/>
        <v>2.0518305164802859</v>
      </c>
      <c r="D29" s="74">
        <f t="shared" si="0"/>
        <v>1.7032884457221271</v>
      </c>
      <c r="E29" s="74">
        <f t="shared" si="0"/>
        <v>1.3137029128292739</v>
      </c>
    </row>
    <row r="30" spans="1:5" x14ac:dyDescent="0.25">
      <c r="A30" s="73">
        <v>28</v>
      </c>
      <c r="B30" s="74">
        <f t="shared" si="1"/>
        <v>2.467140097967472</v>
      </c>
      <c r="C30" s="74">
        <f t="shared" si="0"/>
        <v>2.0484071417952445</v>
      </c>
      <c r="D30" s="74">
        <f t="shared" si="0"/>
        <v>1.7011309342659326</v>
      </c>
      <c r="E30" s="74">
        <f t="shared" si="0"/>
        <v>1.3125267815926682</v>
      </c>
    </row>
    <row r="31" spans="1:5" x14ac:dyDescent="0.25">
      <c r="A31" s="73">
        <v>29</v>
      </c>
      <c r="B31" s="74">
        <f t="shared" si="1"/>
        <v>2.4620213601504126</v>
      </c>
      <c r="C31" s="74">
        <f t="shared" si="0"/>
        <v>2.0452296421327048</v>
      </c>
      <c r="D31" s="74">
        <f t="shared" si="0"/>
        <v>1.6991270265334986</v>
      </c>
      <c r="E31" s="74">
        <f t="shared" si="0"/>
        <v>1.3114336473015527</v>
      </c>
    </row>
    <row r="32" spans="1:5" x14ac:dyDescent="0.25">
      <c r="A32" s="73">
        <v>30</v>
      </c>
      <c r="B32" s="74">
        <f t="shared" si="1"/>
        <v>2.4572615424005915</v>
      </c>
      <c r="C32" s="74">
        <f t="shared" si="0"/>
        <v>2.0422724563012378</v>
      </c>
      <c r="D32" s="74">
        <f t="shared" si="0"/>
        <v>1.6972608865939587</v>
      </c>
      <c r="E32" s="74">
        <f t="shared" si="0"/>
        <v>1.3104150253913947</v>
      </c>
    </row>
  </sheetData>
  <mergeCells count="5">
    <mergeCell ref="G1:J5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workbookViewId="0">
      <selection activeCell="D1" sqref="D1"/>
    </sheetView>
  </sheetViews>
  <sheetFormatPr defaultRowHeight="15" x14ac:dyDescent="0.25"/>
  <cols>
    <col min="1" max="11" width="13.7109375" customWidth="1"/>
  </cols>
  <sheetData>
    <row r="1" spans="1:16" x14ac:dyDescent="0.25">
      <c r="A1" s="133" t="s">
        <v>47</v>
      </c>
      <c r="B1" s="134"/>
      <c r="C1" s="77">
        <v>0.01</v>
      </c>
    </row>
    <row r="2" spans="1:16" ht="15" customHeight="1" x14ac:dyDescent="0.25">
      <c r="A2" s="138" t="s">
        <v>118</v>
      </c>
      <c r="B2" s="135" t="s">
        <v>119</v>
      </c>
      <c r="C2" s="136"/>
      <c r="D2" s="136"/>
      <c r="E2" s="136"/>
      <c r="F2" s="136"/>
      <c r="G2" s="136"/>
      <c r="H2" s="136"/>
      <c r="I2" s="136"/>
      <c r="J2" s="136"/>
      <c r="K2" s="137"/>
      <c r="M2" s="120" t="s">
        <v>120</v>
      </c>
      <c r="N2" s="121"/>
      <c r="O2" s="121"/>
      <c r="P2" s="122"/>
    </row>
    <row r="3" spans="1:16" ht="15" customHeight="1" x14ac:dyDescent="0.25">
      <c r="A3" s="139"/>
      <c r="B3" s="76">
        <v>1</v>
      </c>
      <c r="C3" s="76">
        <v>2</v>
      </c>
      <c r="D3" s="76">
        <v>3</v>
      </c>
      <c r="E3" s="76">
        <v>4</v>
      </c>
      <c r="F3" s="76">
        <v>5</v>
      </c>
      <c r="G3" s="76">
        <v>6</v>
      </c>
      <c r="H3" s="76">
        <v>7</v>
      </c>
      <c r="I3" s="76">
        <v>8</v>
      </c>
      <c r="J3" s="76">
        <v>9</v>
      </c>
      <c r="K3" s="76">
        <v>10</v>
      </c>
      <c r="M3" s="123"/>
      <c r="N3" s="124"/>
      <c r="O3" s="124"/>
      <c r="P3" s="125"/>
    </row>
    <row r="4" spans="1:16" x14ac:dyDescent="0.25">
      <c r="A4" s="73">
        <v>1</v>
      </c>
      <c r="B4" s="75">
        <f>_xlfn.F.INV.RT($C$1,B$3,$A4)</f>
        <v>4052.1806954768263</v>
      </c>
      <c r="C4" s="75">
        <f t="shared" ref="C4:K19" si="0">_xlfn.F.INV.RT($C$1,C$3,$A4)</f>
        <v>4999.4999999999955</v>
      </c>
      <c r="D4" s="75">
        <f t="shared" si="0"/>
        <v>5403.3520137385403</v>
      </c>
      <c r="E4" s="75">
        <f t="shared" si="0"/>
        <v>5624.5833296294431</v>
      </c>
      <c r="F4" s="75">
        <f t="shared" si="0"/>
        <v>5763.6495541557169</v>
      </c>
      <c r="G4" s="75">
        <f t="shared" si="0"/>
        <v>5858.9861066861959</v>
      </c>
      <c r="H4" s="75">
        <f t="shared" si="0"/>
        <v>5928.3557315865291</v>
      </c>
      <c r="I4" s="75">
        <f t="shared" si="0"/>
        <v>5981.0703077977314</v>
      </c>
      <c r="J4" s="75">
        <f t="shared" si="0"/>
        <v>6022.4732449682679</v>
      </c>
      <c r="K4" s="75">
        <f t="shared" si="0"/>
        <v>6055.8467073958309</v>
      </c>
      <c r="M4" s="123"/>
      <c r="N4" s="124"/>
      <c r="O4" s="124"/>
      <c r="P4" s="125"/>
    </row>
    <row r="5" spans="1:16" x14ac:dyDescent="0.25">
      <c r="A5" s="73">
        <v>2</v>
      </c>
      <c r="B5" s="75">
        <f t="shared" ref="B5:K20" si="1">_xlfn.F.INV.RT($C$1,B$3,$A5)</f>
        <v>98.50251256281409</v>
      </c>
      <c r="C5" s="75">
        <f t="shared" si="0"/>
        <v>98.999999999999957</v>
      </c>
      <c r="D5" s="75">
        <f t="shared" si="0"/>
        <v>99.166201374471555</v>
      </c>
      <c r="E5" s="75">
        <f t="shared" si="0"/>
        <v>99.24937185533102</v>
      </c>
      <c r="F5" s="75">
        <f t="shared" si="0"/>
        <v>99.299296477864175</v>
      </c>
      <c r="G5" s="75">
        <f t="shared" si="0"/>
        <v>99.332588865403423</v>
      </c>
      <c r="H5" s="75">
        <f t="shared" si="0"/>
        <v>99.356373700187277</v>
      </c>
      <c r="I5" s="75">
        <f t="shared" si="0"/>
        <v>99.374214818915945</v>
      </c>
      <c r="J5" s="75">
        <f t="shared" si="0"/>
        <v>99.388092721714372</v>
      </c>
      <c r="K5" s="75">
        <f t="shared" si="0"/>
        <v>99.399195974539353</v>
      </c>
      <c r="M5" s="123"/>
      <c r="N5" s="124"/>
      <c r="O5" s="124"/>
      <c r="P5" s="125"/>
    </row>
    <row r="6" spans="1:16" x14ac:dyDescent="0.25">
      <c r="A6" s="73">
        <v>3</v>
      </c>
      <c r="B6" s="75">
        <f t="shared" si="1"/>
        <v>34.116221564529795</v>
      </c>
      <c r="C6" s="75">
        <f t="shared" si="0"/>
        <v>30.816520350478257</v>
      </c>
      <c r="D6" s="75">
        <f t="shared" si="0"/>
        <v>29.456695126754646</v>
      </c>
      <c r="E6" s="75">
        <f t="shared" si="0"/>
        <v>28.7098983872982</v>
      </c>
      <c r="F6" s="75">
        <f t="shared" si="0"/>
        <v>28.237080837755048</v>
      </c>
      <c r="G6" s="75">
        <f t="shared" si="0"/>
        <v>27.910657357696032</v>
      </c>
      <c r="H6" s="75">
        <f t="shared" si="0"/>
        <v>27.671696070326174</v>
      </c>
      <c r="I6" s="75">
        <f t="shared" si="0"/>
        <v>27.489177030536222</v>
      </c>
      <c r="J6" s="75">
        <f t="shared" si="0"/>
        <v>27.345206333571468</v>
      </c>
      <c r="K6" s="75">
        <f t="shared" si="0"/>
        <v>27.228734121474286</v>
      </c>
      <c r="M6" s="126"/>
      <c r="N6" s="127"/>
      <c r="O6" s="127"/>
      <c r="P6" s="128"/>
    </row>
    <row r="7" spans="1:16" x14ac:dyDescent="0.25">
      <c r="A7" s="73">
        <v>4</v>
      </c>
      <c r="B7" s="75">
        <f t="shared" si="1"/>
        <v>21.197689584391309</v>
      </c>
      <c r="C7" s="75">
        <f t="shared" si="0"/>
        <v>17.999999999999993</v>
      </c>
      <c r="D7" s="75">
        <f t="shared" si="0"/>
        <v>16.694369237175085</v>
      </c>
      <c r="E7" s="75">
        <f t="shared" si="0"/>
        <v>15.977024852557676</v>
      </c>
      <c r="F7" s="75">
        <f t="shared" si="0"/>
        <v>15.521857544425243</v>
      </c>
      <c r="G7" s="75">
        <f t="shared" si="0"/>
        <v>15.206864861157531</v>
      </c>
      <c r="H7" s="75">
        <f t="shared" si="0"/>
        <v>14.975757704446696</v>
      </c>
      <c r="I7" s="75">
        <f t="shared" si="0"/>
        <v>14.798888790632594</v>
      </c>
      <c r="J7" s="75">
        <f t="shared" si="0"/>
        <v>14.659133574738862</v>
      </c>
      <c r="K7" s="75">
        <f t="shared" si="0"/>
        <v>14.545900803323377</v>
      </c>
    </row>
    <row r="8" spans="1:16" x14ac:dyDescent="0.25">
      <c r="A8" s="73">
        <v>5</v>
      </c>
      <c r="B8" s="75">
        <f t="shared" si="1"/>
        <v>16.258177039833654</v>
      </c>
      <c r="C8" s="75">
        <f t="shared" si="0"/>
        <v>13.273933612004834</v>
      </c>
      <c r="D8" s="75">
        <f t="shared" si="0"/>
        <v>12.059953691651989</v>
      </c>
      <c r="E8" s="75">
        <f t="shared" si="0"/>
        <v>11.391928071349769</v>
      </c>
      <c r="F8" s="75">
        <f t="shared" si="0"/>
        <v>10.967020650907992</v>
      </c>
      <c r="G8" s="75">
        <f t="shared" si="0"/>
        <v>10.672254792434337</v>
      </c>
      <c r="H8" s="75">
        <f t="shared" si="0"/>
        <v>10.455510891760897</v>
      </c>
      <c r="I8" s="75">
        <f t="shared" si="0"/>
        <v>10.28931104613593</v>
      </c>
      <c r="J8" s="75">
        <f t="shared" si="0"/>
        <v>10.157761547933342</v>
      </c>
      <c r="K8" s="75">
        <f t="shared" si="0"/>
        <v>10.051017219571275</v>
      </c>
    </row>
    <row r="9" spans="1:16" x14ac:dyDescent="0.25">
      <c r="A9" s="73">
        <v>6</v>
      </c>
      <c r="B9" s="75">
        <f t="shared" si="1"/>
        <v>13.745022533304169</v>
      </c>
      <c r="C9" s="75">
        <f t="shared" si="0"/>
        <v>10.924766500838338</v>
      </c>
      <c r="D9" s="75">
        <f t="shared" si="0"/>
        <v>9.779538240923273</v>
      </c>
      <c r="E9" s="75">
        <f t="shared" si="0"/>
        <v>9.1483010302278522</v>
      </c>
      <c r="F9" s="75">
        <f t="shared" si="0"/>
        <v>8.7458952560199172</v>
      </c>
      <c r="G9" s="75">
        <f t="shared" si="0"/>
        <v>8.4661253404768946</v>
      </c>
      <c r="H9" s="75">
        <f t="shared" si="0"/>
        <v>8.2599952709689841</v>
      </c>
      <c r="I9" s="75">
        <f t="shared" si="0"/>
        <v>8.1016513667387038</v>
      </c>
      <c r="J9" s="75">
        <f t="shared" si="0"/>
        <v>7.9761213666233548</v>
      </c>
      <c r="K9" s="75">
        <f t="shared" si="0"/>
        <v>7.874118533565623</v>
      </c>
    </row>
    <row r="10" spans="1:16" x14ac:dyDescent="0.25">
      <c r="A10" s="73">
        <v>7</v>
      </c>
      <c r="B10" s="75">
        <f t="shared" si="1"/>
        <v>12.246383348435085</v>
      </c>
      <c r="C10" s="75">
        <f t="shared" si="0"/>
        <v>9.5465780211022917</v>
      </c>
      <c r="D10" s="75">
        <f t="shared" si="0"/>
        <v>8.4512850530799906</v>
      </c>
      <c r="E10" s="75">
        <f t="shared" si="0"/>
        <v>7.8466450625466022</v>
      </c>
      <c r="F10" s="75">
        <f t="shared" si="0"/>
        <v>7.4604354929892667</v>
      </c>
      <c r="G10" s="75">
        <f t="shared" si="0"/>
        <v>7.1914047852039982</v>
      </c>
      <c r="H10" s="75">
        <f t="shared" si="0"/>
        <v>6.9928327787113798</v>
      </c>
      <c r="I10" s="75">
        <f t="shared" si="0"/>
        <v>6.8400490718293492</v>
      </c>
      <c r="J10" s="75">
        <f t="shared" si="0"/>
        <v>6.7187524818244668</v>
      </c>
      <c r="K10" s="75">
        <f t="shared" si="0"/>
        <v>6.6200626702914338</v>
      </c>
    </row>
    <row r="11" spans="1:16" x14ac:dyDescent="0.25">
      <c r="A11" s="73">
        <v>8</v>
      </c>
      <c r="B11" s="75">
        <f t="shared" si="1"/>
        <v>11.258624143272641</v>
      </c>
      <c r="C11" s="75">
        <f t="shared" si="0"/>
        <v>8.6491106406735145</v>
      </c>
      <c r="D11" s="75">
        <f t="shared" si="0"/>
        <v>7.5909919475988543</v>
      </c>
      <c r="E11" s="75">
        <f t="shared" si="0"/>
        <v>7.006076622955586</v>
      </c>
      <c r="F11" s="75">
        <f t="shared" si="0"/>
        <v>6.6318251645095909</v>
      </c>
      <c r="G11" s="75">
        <f t="shared" si="0"/>
        <v>6.3706807302391981</v>
      </c>
      <c r="H11" s="75">
        <f t="shared" si="0"/>
        <v>6.177624260952248</v>
      </c>
      <c r="I11" s="75">
        <f t="shared" si="0"/>
        <v>6.0288701066125698</v>
      </c>
      <c r="J11" s="75">
        <f t="shared" si="0"/>
        <v>5.9106188491908576</v>
      </c>
      <c r="K11" s="75">
        <f t="shared" si="0"/>
        <v>5.8142938551226555</v>
      </c>
    </row>
    <row r="12" spans="1:16" x14ac:dyDescent="0.25">
      <c r="A12" s="73">
        <v>9</v>
      </c>
      <c r="B12" s="75">
        <f t="shared" si="1"/>
        <v>10.56143104739539</v>
      </c>
      <c r="C12" s="75">
        <f t="shared" si="0"/>
        <v>8.0215173099320634</v>
      </c>
      <c r="D12" s="75">
        <f t="shared" si="0"/>
        <v>6.9919172222334662</v>
      </c>
      <c r="E12" s="75">
        <f t="shared" si="0"/>
        <v>6.422085458153199</v>
      </c>
      <c r="F12" s="75">
        <f t="shared" si="0"/>
        <v>6.05694071411867</v>
      </c>
      <c r="G12" s="75">
        <f t="shared" si="0"/>
        <v>5.8017703065351292</v>
      </c>
      <c r="H12" s="75">
        <f t="shared" si="0"/>
        <v>5.6128654773762401</v>
      </c>
      <c r="I12" s="75">
        <f t="shared" si="0"/>
        <v>5.4671225154147729</v>
      </c>
      <c r="J12" s="75">
        <f t="shared" si="0"/>
        <v>5.3511288611485881</v>
      </c>
      <c r="K12" s="75">
        <f t="shared" si="0"/>
        <v>5.2565419912884597</v>
      </c>
    </row>
    <row r="13" spans="1:16" x14ac:dyDescent="0.25">
      <c r="A13" s="73">
        <v>10</v>
      </c>
      <c r="B13" s="75">
        <f t="shared" si="1"/>
        <v>10.044289273396597</v>
      </c>
      <c r="C13" s="75">
        <f t="shared" si="0"/>
        <v>7.5594321575479011</v>
      </c>
      <c r="D13" s="75">
        <f t="shared" si="0"/>
        <v>6.5523125575152115</v>
      </c>
      <c r="E13" s="75">
        <f t="shared" si="0"/>
        <v>5.9943386616293672</v>
      </c>
      <c r="F13" s="75">
        <f t="shared" si="0"/>
        <v>5.6363261876690833</v>
      </c>
      <c r="G13" s="75">
        <f t="shared" si="0"/>
        <v>5.3858110448457959</v>
      </c>
      <c r="H13" s="75">
        <f t="shared" si="0"/>
        <v>5.200121250549973</v>
      </c>
      <c r="I13" s="75">
        <f t="shared" si="0"/>
        <v>5.0566931317444173</v>
      </c>
      <c r="J13" s="75">
        <f t="shared" si="0"/>
        <v>4.9424206520886091</v>
      </c>
      <c r="K13" s="75">
        <f t="shared" si="0"/>
        <v>4.8491468020800275</v>
      </c>
    </row>
    <row r="14" spans="1:16" x14ac:dyDescent="0.25">
      <c r="A14" s="73">
        <v>11</v>
      </c>
      <c r="B14" s="75">
        <f t="shared" si="1"/>
        <v>9.6460341119662498</v>
      </c>
      <c r="C14" s="75">
        <f t="shared" si="0"/>
        <v>7.2057133504573807</v>
      </c>
      <c r="D14" s="75">
        <f t="shared" si="0"/>
        <v>6.2167298115386522</v>
      </c>
      <c r="E14" s="75">
        <f t="shared" si="0"/>
        <v>5.6683002128787736</v>
      </c>
      <c r="F14" s="75">
        <f t="shared" si="0"/>
        <v>5.3160089186084933</v>
      </c>
      <c r="G14" s="75">
        <f t="shared" si="0"/>
        <v>5.0692104311952635</v>
      </c>
      <c r="H14" s="75">
        <f t="shared" si="0"/>
        <v>4.8860720392128734</v>
      </c>
      <c r="I14" s="75">
        <f t="shared" si="0"/>
        <v>4.7444676439354669</v>
      </c>
      <c r="J14" s="75">
        <f t="shared" si="0"/>
        <v>4.6315397476474969</v>
      </c>
      <c r="K14" s="75">
        <f t="shared" si="0"/>
        <v>4.5392818112533204</v>
      </c>
    </row>
    <row r="15" spans="1:16" x14ac:dyDescent="0.25">
      <c r="A15" s="73">
        <v>12</v>
      </c>
      <c r="B15" s="75">
        <f t="shared" si="1"/>
        <v>9.3302121031685576</v>
      </c>
      <c r="C15" s="75">
        <f t="shared" si="0"/>
        <v>6.9266081401913002</v>
      </c>
      <c r="D15" s="75">
        <f t="shared" si="0"/>
        <v>5.9525446815458682</v>
      </c>
      <c r="E15" s="75">
        <f t="shared" si="0"/>
        <v>5.4119514344731394</v>
      </c>
      <c r="F15" s="75">
        <f t="shared" si="0"/>
        <v>5.0643431111429162</v>
      </c>
      <c r="G15" s="75">
        <f t="shared" si="0"/>
        <v>4.8205735018803084</v>
      </c>
      <c r="H15" s="75">
        <f t="shared" si="0"/>
        <v>4.6395024465643369</v>
      </c>
      <c r="I15" s="75">
        <f t="shared" si="0"/>
        <v>4.4993652808474325</v>
      </c>
      <c r="J15" s="75">
        <f t="shared" si="0"/>
        <v>4.3875099631801877</v>
      </c>
      <c r="K15" s="75">
        <f t="shared" si="0"/>
        <v>4.2960544040090491</v>
      </c>
    </row>
    <row r="16" spans="1:16" x14ac:dyDescent="0.25">
      <c r="A16" s="73">
        <v>13</v>
      </c>
      <c r="B16" s="75">
        <f t="shared" si="1"/>
        <v>9.0738057285156639</v>
      </c>
      <c r="C16" s="75">
        <f t="shared" si="0"/>
        <v>6.7009645358807814</v>
      </c>
      <c r="D16" s="75">
        <f t="shared" si="0"/>
        <v>5.739380282773376</v>
      </c>
      <c r="E16" s="75">
        <f t="shared" si="0"/>
        <v>5.2053301894162436</v>
      </c>
      <c r="F16" s="75">
        <f t="shared" si="0"/>
        <v>4.8616212079068015</v>
      </c>
      <c r="G16" s="75">
        <f t="shared" si="0"/>
        <v>4.6203633955848549</v>
      </c>
      <c r="H16" s="75">
        <f t="shared" si="0"/>
        <v>4.4409974106651164</v>
      </c>
      <c r="I16" s="75">
        <f t="shared" si="0"/>
        <v>4.3020620108964467</v>
      </c>
      <c r="J16" s="75">
        <f t="shared" si="0"/>
        <v>4.1910777818110407</v>
      </c>
      <c r="K16" s="75">
        <f t="shared" si="0"/>
        <v>4.1002672623635155</v>
      </c>
    </row>
    <row r="17" spans="1:11" x14ac:dyDescent="0.25">
      <c r="A17" s="73">
        <v>14</v>
      </c>
      <c r="B17" s="75">
        <f t="shared" si="1"/>
        <v>8.8615926651764276</v>
      </c>
      <c r="C17" s="75">
        <f t="shared" si="0"/>
        <v>6.5148841021827506</v>
      </c>
      <c r="D17" s="75">
        <f t="shared" si="0"/>
        <v>5.5638858396937421</v>
      </c>
      <c r="E17" s="75">
        <f t="shared" si="0"/>
        <v>5.0353779733294379</v>
      </c>
      <c r="F17" s="75">
        <f t="shared" si="0"/>
        <v>4.694963579397716</v>
      </c>
      <c r="G17" s="75">
        <f t="shared" si="0"/>
        <v>4.4558200259277569</v>
      </c>
      <c r="H17" s="75">
        <f t="shared" si="0"/>
        <v>4.2778818532656411</v>
      </c>
      <c r="I17" s="75">
        <f t="shared" si="0"/>
        <v>4.1399460751272388</v>
      </c>
      <c r="J17" s="75">
        <f t="shared" si="0"/>
        <v>4.0296803368958729</v>
      </c>
      <c r="K17" s="75">
        <f t="shared" si="0"/>
        <v>3.9393963713246292</v>
      </c>
    </row>
    <row r="18" spans="1:11" x14ac:dyDescent="0.25">
      <c r="A18" s="73">
        <v>15</v>
      </c>
      <c r="B18" s="75">
        <f t="shared" si="1"/>
        <v>8.6831168176389504</v>
      </c>
      <c r="C18" s="75">
        <f t="shared" si="0"/>
        <v>6.3588734806671825</v>
      </c>
      <c r="D18" s="75">
        <f t="shared" si="0"/>
        <v>5.4169648578184191</v>
      </c>
      <c r="E18" s="75">
        <f t="shared" si="0"/>
        <v>4.8932095893215815</v>
      </c>
      <c r="F18" s="75">
        <f t="shared" si="0"/>
        <v>4.5556139846530046</v>
      </c>
      <c r="G18" s="75">
        <f t="shared" si="0"/>
        <v>4.3182730537670349</v>
      </c>
      <c r="H18" s="75">
        <f t="shared" si="0"/>
        <v>4.1415463070309544</v>
      </c>
      <c r="I18" s="75">
        <f t="shared" si="0"/>
        <v>4.004453186416943</v>
      </c>
      <c r="J18" s="75">
        <f t="shared" si="0"/>
        <v>3.8947881071250618</v>
      </c>
      <c r="K18" s="75">
        <f t="shared" si="0"/>
        <v>3.8049397459502741</v>
      </c>
    </row>
    <row r="19" spans="1:11" x14ac:dyDescent="0.25">
      <c r="A19" s="73">
        <v>16</v>
      </c>
      <c r="B19" s="75">
        <f t="shared" si="1"/>
        <v>8.5309652858962011</v>
      </c>
      <c r="C19" s="75">
        <f t="shared" si="0"/>
        <v>6.2262352803113821</v>
      </c>
      <c r="D19" s="75">
        <f t="shared" si="0"/>
        <v>5.2922140455209483</v>
      </c>
      <c r="E19" s="75">
        <f t="shared" si="0"/>
        <v>4.772577999723211</v>
      </c>
      <c r="F19" s="75">
        <f t="shared" si="0"/>
        <v>4.4374204955396026</v>
      </c>
      <c r="G19" s="75">
        <f t="shared" si="0"/>
        <v>4.2016337042750695</v>
      </c>
      <c r="H19" s="75">
        <f t="shared" si="0"/>
        <v>4.0259465906650673</v>
      </c>
      <c r="I19" s="75">
        <f t="shared" si="0"/>
        <v>3.8895721399261927</v>
      </c>
      <c r="J19" s="75">
        <f t="shared" si="0"/>
        <v>3.7804151699135691</v>
      </c>
      <c r="K19" s="75">
        <f t="shared" si="0"/>
        <v>3.690931417895162</v>
      </c>
    </row>
    <row r="20" spans="1:11" x14ac:dyDescent="0.25">
      <c r="A20" s="73">
        <v>17</v>
      </c>
      <c r="B20" s="75">
        <f t="shared" si="1"/>
        <v>8.3997401451896341</v>
      </c>
      <c r="C20" s="75">
        <f t="shared" si="1"/>
        <v>6.1121137157978822</v>
      </c>
      <c r="D20" s="75">
        <f t="shared" si="1"/>
        <v>5.1849999172952197</v>
      </c>
      <c r="E20" s="75">
        <f t="shared" si="1"/>
        <v>4.6689676019514152</v>
      </c>
      <c r="F20" s="75">
        <f t="shared" si="1"/>
        <v>4.3359390831830762</v>
      </c>
      <c r="G20" s="75">
        <f t="shared" si="1"/>
        <v>4.101505325976615</v>
      </c>
      <c r="H20" s="75">
        <f t="shared" si="1"/>
        <v>3.9267193882777263</v>
      </c>
      <c r="I20" s="75">
        <f t="shared" si="1"/>
        <v>3.7909641782241854</v>
      </c>
      <c r="J20" s="75">
        <f t="shared" si="1"/>
        <v>3.6822415240458652</v>
      </c>
      <c r="K20" s="75">
        <f t="shared" si="1"/>
        <v>3.5930661336058214</v>
      </c>
    </row>
    <row r="21" spans="1:11" x14ac:dyDescent="0.25">
      <c r="A21" s="73">
        <v>18</v>
      </c>
      <c r="B21" s="75">
        <f t="shared" ref="B21:K33" si="2">_xlfn.F.INV.RT($C$1,B$3,$A21)</f>
        <v>8.2854195550996597</v>
      </c>
      <c r="C21" s="75">
        <f t="shared" si="2"/>
        <v>6.0129048348005281</v>
      </c>
      <c r="D21" s="75">
        <f t="shared" si="2"/>
        <v>5.0918895204140124</v>
      </c>
      <c r="E21" s="75">
        <f t="shared" si="2"/>
        <v>4.5790359665984486</v>
      </c>
      <c r="F21" s="75">
        <f t="shared" si="2"/>
        <v>4.2478821502317352</v>
      </c>
      <c r="G21" s="75">
        <f t="shared" si="2"/>
        <v>4.0146365073547567</v>
      </c>
      <c r="H21" s="75">
        <f t="shared" si="2"/>
        <v>3.8406386598979738</v>
      </c>
      <c r="I21" s="75">
        <f t="shared" si="2"/>
        <v>3.7054218811720387</v>
      </c>
      <c r="J21" s="75">
        <f t="shared" si="2"/>
        <v>3.5970739135457501</v>
      </c>
      <c r="K21" s="75">
        <f t="shared" si="2"/>
        <v>3.5081617296992724</v>
      </c>
    </row>
    <row r="22" spans="1:11" x14ac:dyDescent="0.25">
      <c r="A22" s="73">
        <v>19</v>
      </c>
      <c r="B22" s="75">
        <f t="shared" si="2"/>
        <v>8.184946822468925</v>
      </c>
      <c r="C22" s="75">
        <f t="shared" si="2"/>
        <v>5.9258790222928566</v>
      </c>
      <c r="D22" s="75">
        <f t="shared" si="2"/>
        <v>5.0102868436196015</v>
      </c>
      <c r="E22" s="75">
        <f t="shared" si="2"/>
        <v>4.5002576989066974</v>
      </c>
      <c r="F22" s="75">
        <f t="shared" si="2"/>
        <v>4.1707669806148076</v>
      </c>
      <c r="G22" s="75">
        <f t="shared" si="2"/>
        <v>3.9385726154799414</v>
      </c>
      <c r="H22" s="75">
        <f t="shared" si="2"/>
        <v>3.7652693946393363</v>
      </c>
      <c r="I22" s="75">
        <f t="shared" si="2"/>
        <v>3.630524582702261</v>
      </c>
      <c r="J22" s="75">
        <f t="shared" si="2"/>
        <v>3.5225025399101528</v>
      </c>
      <c r="K22" s="75">
        <f t="shared" si="2"/>
        <v>3.4338168829739004</v>
      </c>
    </row>
    <row r="23" spans="1:11" x14ac:dyDescent="0.25">
      <c r="A23" s="73">
        <v>20</v>
      </c>
      <c r="B23" s="75">
        <f t="shared" si="2"/>
        <v>8.0959580640856981</v>
      </c>
      <c r="C23" s="75">
        <f t="shared" si="2"/>
        <v>5.8489319246111338</v>
      </c>
      <c r="D23" s="75">
        <f t="shared" si="2"/>
        <v>4.9381933823105379</v>
      </c>
      <c r="E23" s="75">
        <f t="shared" si="2"/>
        <v>4.4306901614377745</v>
      </c>
      <c r="F23" s="75">
        <f t="shared" si="2"/>
        <v>4.1026846305847338</v>
      </c>
      <c r="G23" s="75">
        <f t="shared" si="2"/>
        <v>3.8714268151294093</v>
      </c>
      <c r="H23" s="75">
        <f t="shared" si="2"/>
        <v>3.6987401520550511</v>
      </c>
      <c r="I23" s="75">
        <f t="shared" si="2"/>
        <v>3.5644120532989327</v>
      </c>
      <c r="J23" s="75">
        <f t="shared" si="2"/>
        <v>3.4566756315171574</v>
      </c>
      <c r="K23" s="75">
        <f t="shared" si="2"/>
        <v>3.3681863891887427</v>
      </c>
    </row>
    <row r="24" spans="1:11" x14ac:dyDescent="0.25">
      <c r="A24" s="73">
        <v>21</v>
      </c>
      <c r="B24" s="75">
        <f t="shared" si="2"/>
        <v>8.0165969468084768</v>
      </c>
      <c r="C24" s="75">
        <f t="shared" si="2"/>
        <v>5.7804156882425568</v>
      </c>
      <c r="D24" s="75">
        <f t="shared" si="2"/>
        <v>4.8740461970006939</v>
      </c>
      <c r="E24" s="75">
        <f t="shared" si="2"/>
        <v>4.3688151740781915</v>
      </c>
      <c r="F24" s="75">
        <f t="shared" si="2"/>
        <v>4.0421438611741243</v>
      </c>
      <c r="G24" s="75">
        <f t="shared" si="2"/>
        <v>3.8117254972548089</v>
      </c>
      <c r="H24" s="75">
        <f t="shared" si="2"/>
        <v>3.639589558217867</v>
      </c>
      <c r="I24" s="75">
        <f t="shared" si="2"/>
        <v>3.5056317946181963</v>
      </c>
      <c r="J24" s="75">
        <f t="shared" si="2"/>
        <v>3.3981473576496946</v>
      </c>
      <c r="K24" s="75">
        <f t="shared" si="2"/>
        <v>3.3098295716133923</v>
      </c>
    </row>
    <row r="25" spans="1:11" x14ac:dyDescent="0.25">
      <c r="A25" s="73">
        <v>22</v>
      </c>
      <c r="B25" s="75">
        <f t="shared" si="2"/>
        <v>7.9453857291700425</v>
      </c>
      <c r="C25" s="75">
        <f t="shared" si="2"/>
        <v>5.7190219124822725</v>
      </c>
      <c r="D25" s="75">
        <f t="shared" si="2"/>
        <v>4.8166057778160596</v>
      </c>
      <c r="E25" s="75">
        <f t="shared" si="2"/>
        <v>4.3134294969595839</v>
      </c>
      <c r="F25" s="75">
        <f t="shared" si="2"/>
        <v>3.9879632231269468</v>
      </c>
      <c r="G25" s="75">
        <f t="shared" si="2"/>
        <v>3.7583014350037565</v>
      </c>
      <c r="H25" s="75">
        <f t="shared" si="2"/>
        <v>3.58666022429485</v>
      </c>
      <c r="I25" s="75">
        <f t="shared" si="2"/>
        <v>3.4530335271058066</v>
      </c>
      <c r="J25" s="75">
        <f t="shared" si="2"/>
        <v>3.3457727565515318</v>
      </c>
      <c r="K25" s="75">
        <f t="shared" si="2"/>
        <v>3.2576055600492366</v>
      </c>
    </row>
    <row r="26" spans="1:11" x14ac:dyDescent="0.25">
      <c r="A26" s="73">
        <v>23</v>
      </c>
      <c r="B26" s="75">
        <f t="shared" si="2"/>
        <v>7.8811336413683684</v>
      </c>
      <c r="C26" s="75">
        <f t="shared" si="2"/>
        <v>5.6636987680960402</v>
      </c>
      <c r="D26" s="75">
        <f t="shared" si="2"/>
        <v>4.7648767593744088</v>
      </c>
      <c r="E26" s="75">
        <f t="shared" si="2"/>
        <v>4.2635674594574988</v>
      </c>
      <c r="F26" s="75">
        <f t="shared" si="2"/>
        <v>3.9391948547411948</v>
      </c>
      <c r="G26" s="75">
        <f t="shared" si="2"/>
        <v>3.7102183612777666</v>
      </c>
      <c r="H26" s="75">
        <f t="shared" si="2"/>
        <v>3.5390238778798131</v>
      </c>
      <c r="I26" s="75">
        <f t="shared" si="2"/>
        <v>3.4056947335838363</v>
      </c>
      <c r="J26" s="75">
        <f t="shared" si="2"/>
        <v>3.2986335973739407</v>
      </c>
      <c r="K26" s="75">
        <f t="shared" si="2"/>
        <v>3.2105994059372773</v>
      </c>
    </row>
    <row r="27" spans="1:11" x14ac:dyDescent="0.25">
      <c r="A27" s="73">
        <v>24</v>
      </c>
      <c r="B27" s="75">
        <f t="shared" si="2"/>
        <v>7.8228705933679761</v>
      </c>
      <c r="C27" s="75">
        <f t="shared" si="2"/>
        <v>5.6135912114648372</v>
      </c>
      <c r="D27" s="75">
        <f t="shared" si="2"/>
        <v>4.7180508074958016</v>
      </c>
      <c r="E27" s="75">
        <f t="shared" si="2"/>
        <v>4.2184452673562687</v>
      </c>
      <c r="F27" s="75">
        <f t="shared" si="2"/>
        <v>3.8950696548170858</v>
      </c>
      <c r="G27" s="75">
        <f t="shared" si="2"/>
        <v>3.6667167179453148</v>
      </c>
      <c r="H27" s="75">
        <f t="shared" si="2"/>
        <v>3.4959275204932752</v>
      </c>
      <c r="I27" s="75">
        <f t="shared" si="2"/>
        <v>3.3628671199494815</v>
      </c>
      <c r="J27" s="75">
        <f t="shared" si="2"/>
        <v>3.2559850744613912</v>
      </c>
      <c r="K27" s="75">
        <f t="shared" si="2"/>
        <v>3.1680689619836455</v>
      </c>
    </row>
    <row r="28" spans="1:11" x14ac:dyDescent="0.25">
      <c r="A28" s="73">
        <v>25</v>
      </c>
      <c r="B28" s="75">
        <f t="shared" si="2"/>
        <v>7.769798415368995</v>
      </c>
      <c r="C28" s="75">
        <f t="shared" si="2"/>
        <v>5.5679971343240915</v>
      </c>
      <c r="D28" s="75">
        <f t="shared" si="2"/>
        <v>4.6754647823259132</v>
      </c>
      <c r="E28" s="75">
        <f t="shared" si="2"/>
        <v>4.1774202346456386</v>
      </c>
      <c r="F28" s="75">
        <f t="shared" si="2"/>
        <v>3.8549571646630025</v>
      </c>
      <c r="G28" s="75">
        <f t="shared" si="2"/>
        <v>3.6271739696815497</v>
      </c>
      <c r="H28" s="75">
        <f t="shared" si="2"/>
        <v>3.4567540466360827</v>
      </c>
      <c r="I28" s="75">
        <f t="shared" si="2"/>
        <v>3.3239374603151659</v>
      </c>
      <c r="J28" s="75">
        <f t="shared" si="2"/>
        <v>3.2172168262410796</v>
      </c>
      <c r="K28" s="75">
        <f t="shared" si="2"/>
        <v>3.1294060385896803</v>
      </c>
    </row>
    <row r="29" spans="1:11" x14ac:dyDescent="0.25">
      <c r="A29" s="73">
        <v>26</v>
      </c>
      <c r="B29" s="75">
        <f t="shared" si="2"/>
        <v>7.7212544577376017</v>
      </c>
      <c r="C29" s="75">
        <f t="shared" si="2"/>
        <v>5.5263347139389776</v>
      </c>
      <c r="D29" s="75">
        <f t="shared" si="2"/>
        <v>4.6365696243343484</v>
      </c>
      <c r="E29" s="75">
        <f t="shared" si="2"/>
        <v>4.1399604836950115</v>
      </c>
      <c r="F29" s="75">
        <f t="shared" si="2"/>
        <v>3.8183357627898964</v>
      </c>
      <c r="G29" s="75">
        <f t="shared" si="2"/>
        <v>3.5910751263933767</v>
      </c>
      <c r="H29" s="75">
        <f t="shared" si="2"/>
        <v>3.4209929972886104</v>
      </c>
      <c r="I29" s="75">
        <f t="shared" si="2"/>
        <v>3.2883985212388325</v>
      </c>
      <c r="J29" s="75">
        <f t="shared" si="2"/>
        <v>3.1818239903274277</v>
      </c>
      <c r="K29" s="75">
        <f t="shared" si="2"/>
        <v>3.0941075623036727</v>
      </c>
    </row>
    <row r="30" spans="1:11" x14ac:dyDescent="0.25">
      <c r="A30" s="73">
        <v>27</v>
      </c>
      <c r="B30" s="75">
        <f t="shared" si="2"/>
        <v>7.6766840488874859</v>
      </c>
      <c r="C30" s="75">
        <f t="shared" si="2"/>
        <v>5.488117768420703</v>
      </c>
      <c r="D30" s="75">
        <f t="shared" si="2"/>
        <v>4.6009068946622849</v>
      </c>
      <c r="E30" s="75">
        <f t="shared" si="2"/>
        <v>4.1056221130833501</v>
      </c>
      <c r="F30" s="75">
        <f t="shared" si="2"/>
        <v>3.7847702132414436</v>
      </c>
      <c r="G30" s="75">
        <f t="shared" si="2"/>
        <v>3.5579905431887022</v>
      </c>
      <c r="H30" s="75">
        <f t="shared" si="2"/>
        <v>3.3882185368762139</v>
      </c>
      <c r="I30" s="75">
        <f t="shared" si="2"/>
        <v>3.2558271691272624</v>
      </c>
      <c r="J30" s="75">
        <f t="shared" si="2"/>
        <v>3.1493854106511754</v>
      </c>
      <c r="K30" s="75">
        <f t="shared" si="2"/>
        <v>3.0617538614993811</v>
      </c>
    </row>
    <row r="31" spans="1:11" x14ac:dyDescent="0.25">
      <c r="A31" s="73">
        <v>28</v>
      </c>
      <c r="B31" s="75">
        <f t="shared" si="2"/>
        <v>7.6356193977628095</v>
      </c>
      <c r="C31" s="75">
        <f t="shared" si="2"/>
        <v>5.4529369212239249</v>
      </c>
      <c r="D31" s="75">
        <f t="shared" si="2"/>
        <v>4.568090863679573</v>
      </c>
      <c r="E31" s="75">
        <f t="shared" si="2"/>
        <v>4.07403177491961</v>
      </c>
      <c r="F31" s="75">
        <f t="shared" si="2"/>
        <v>3.753894538830854</v>
      </c>
      <c r="G31" s="75">
        <f t="shared" si="2"/>
        <v>3.5275589889138619</v>
      </c>
      <c r="H31" s="75">
        <f t="shared" si="2"/>
        <v>3.3580726588472127</v>
      </c>
      <c r="I31" s="75">
        <f t="shared" si="2"/>
        <v>3.2258676765439178</v>
      </c>
      <c r="J31" s="75">
        <f t="shared" si="2"/>
        <v>3.1195470205736457</v>
      </c>
      <c r="K31" s="75">
        <f t="shared" si="2"/>
        <v>3.0319921098269678</v>
      </c>
    </row>
    <row r="32" spans="1:11" x14ac:dyDescent="0.25">
      <c r="A32" s="73">
        <v>29</v>
      </c>
      <c r="B32" s="75">
        <f t="shared" si="2"/>
        <v>7.59766324995402</v>
      </c>
      <c r="C32" s="75">
        <f t="shared" si="2"/>
        <v>5.420445040307313</v>
      </c>
      <c r="D32" s="75">
        <f t="shared" si="2"/>
        <v>4.5377946777611333</v>
      </c>
      <c r="E32" s="75">
        <f t="shared" si="2"/>
        <v>4.0448732260845732</v>
      </c>
      <c r="F32" s="75">
        <f t="shared" si="2"/>
        <v>3.7253988048022095</v>
      </c>
      <c r="G32" s="75">
        <f t="shared" si="2"/>
        <v>3.4994745829027694</v>
      </c>
      <c r="H32" s="75">
        <f t="shared" si="2"/>
        <v>3.3302522295877437</v>
      </c>
      <c r="I32" s="75">
        <f t="shared" si="2"/>
        <v>3.1982188446886846</v>
      </c>
      <c r="J32" s="75">
        <f t="shared" si="2"/>
        <v>3.0920090251085832</v>
      </c>
      <c r="K32" s="75">
        <f t="shared" si="2"/>
        <v>3.0045235552378218</v>
      </c>
    </row>
    <row r="33" spans="1:11" x14ac:dyDescent="0.25">
      <c r="A33" s="73">
        <v>30</v>
      </c>
      <c r="B33" s="75">
        <f t="shared" si="2"/>
        <v>7.5624760946386322</v>
      </c>
      <c r="C33" s="75">
        <f t="shared" si="2"/>
        <v>5.3903458631778829</v>
      </c>
      <c r="D33" s="75">
        <f t="shared" si="2"/>
        <v>4.5097395624590648</v>
      </c>
      <c r="E33" s="75">
        <f t="shared" si="2"/>
        <v>4.0178768365875239</v>
      </c>
      <c r="F33" s="75">
        <f t="shared" si="2"/>
        <v>3.6990188114125706</v>
      </c>
      <c r="G33" s="75">
        <f t="shared" si="2"/>
        <v>3.4734766086671285</v>
      </c>
      <c r="H33" s="75">
        <f t="shared" si="2"/>
        <v>3.3044988866923952</v>
      </c>
      <c r="I33" s="75">
        <f t="shared" si="2"/>
        <v>3.1726239635133386</v>
      </c>
      <c r="J33" s="75">
        <f t="shared" si="2"/>
        <v>3.0665159079349871</v>
      </c>
      <c r="K33" s="75">
        <f t="shared" si="2"/>
        <v>2.9790935636338816</v>
      </c>
    </row>
  </sheetData>
  <mergeCells count="4">
    <mergeCell ref="M2:P6"/>
    <mergeCell ref="A1:B1"/>
    <mergeCell ref="B2:K2"/>
    <mergeCell ref="A2:A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zoomScale="85" zoomScaleNormal="85" workbookViewId="0">
      <selection activeCell="F21" sqref="F21:G21"/>
    </sheetView>
  </sheetViews>
  <sheetFormatPr defaultRowHeight="15" x14ac:dyDescent="0.25"/>
  <cols>
    <col min="1" max="1" width="12.7109375" customWidth="1"/>
    <col min="2" max="3" width="12.7109375" style="2" customWidth="1"/>
    <col min="4" max="4" width="7.7109375" style="2" customWidth="1"/>
    <col min="5" max="5" width="30.7109375" customWidth="1"/>
    <col min="6" max="7" width="15.140625" style="1" customWidth="1"/>
    <col min="9" max="11" width="12.7109375" style="2" customWidth="1"/>
  </cols>
  <sheetData>
    <row r="1" spans="1:11" x14ac:dyDescent="0.25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20</v>
      </c>
      <c r="J1" s="9" t="s">
        <v>0</v>
      </c>
      <c r="K1" s="9" t="s">
        <v>1</v>
      </c>
    </row>
    <row r="2" spans="1:11" x14ac:dyDescent="0.25">
      <c r="A2" s="3">
        <v>1</v>
      </c>
      <c r="B2" s="4">
        <v>-2.12E-2</v>
      </c>
      <c r="C2" s="4">
        <v>0.26450000000000001</v>
      </c>
      <c r="E2" s="6" t="s">
        <v>5</v>
      </c>
      <c r="F2" s="3">
        <f>COUNT(B2:B24)</f>
        <v>23</v>
      </c>
      <c r="G2" s="3">
        <f>COUNT(C2:C24)</f>
        <v>23</v>
      </c>
      <c r="I2" s="12">
        <v>1</v>
      </c>
      <c r="J2" s="4">
        <v>-0.20180000000000001</v>
      </c>
      <c r="K2" s="4">
        <v>-0.14899999999999999</v>
      </c>
    </row>
    <row r="3" spans="1:11" x14ac:dyDescent="0.25">
      <c r="A3" s="3">
        <v>2</v>
      </c>
      <c r="B3" s="4">
        <v>0.24379999999999999</v>
      </c>
      <c r="C3" s="4">
        <v>0.20860000000000001</v>
      </c>
      <c r="E3" s="6" t="s">
        <v>6</v>
      </c>
      <c r="F3" s="8">
        <f>AVERAGE(B2:B24)</f>
        <v>3.520434782608696E-2</v>
      </c>
      <c r="G3" s="8">
        <f>AVERAGE(C2:C24)</f>
        <v>0.15113478260869564</v>
      </c>
      <c r="I3" s="12">
        <v>2</v>
      </c>
      <c r="J3" s="4">
        <v>-0.15909999999999999</v>
      </c>
      <c r="K3" s="4">
        <v>-0.14099999999999999</v>
      </c>
    </row>
    <row r="4" spans="1:11" x14ac:dyDescent="0.25">
      <c r="A4" s="3">
        <v>3</v>
      </c>
      <c r="B4" s="4">
        <v>0.2296</v>
      </c>
      <c r="C4" s="4">
        <v>0.12479999999999999</v>
      </c>
      <c r="E4" s="6" t="s">
        <v>7</v>
      </c>
      <c r="F4" s="8">
        <f>MEDIAN(B2:B24)</f>
        <v>3.6999999999999998E-2</v>
      </c>
      <c r="G4" s="8">
        <f>MEDIAN(C2:C24)</f>
        <v>0.12479999999999999</v>
      </c>
      <c r="I4" s="12">
        <v>3</v>
      </c>
      <c r="J4" s="4">
        <v>-0.1111</v>
      </c>
      <c r="K4" s="4">
        <v>-0.10589999999999999</v>
      </c>
    </row>
    <row r="5" spans="1:11" x14ac:dyDescent="0.25">
      <c r="A5" s="3">
        <v>4</v>
      </c>
      <c r="B5" s="4">
        <v>-0.20180000000000001</v>
      </c>
      <c r="C5" s="4">
        <v>2.0899999999999998E-2</v>
      </c>
      <c r="E5" s="6" t="s">
        <v>164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>
        <v>-0.10009999999999999</v>
      </c>
      <c r="K5" s="4">
        <v>-5.5999999999999999E-3</v>
      </c>
    </row>
    <row r="6" spans="1:11" x14ac:dyDescent="0.25">
      <c r="A6" s="3">
        <v>5</v>
      </c>
      <c r="B6" s="4">
        <v>0.12959999999999999</v>
      </c>
      <c r="C6" s="4">
        <v>0.20549999999999999</v>
      </c>
      <c r="E6" s="6" t="s">
        <v>8</v>
      </c>
      <c r="F6" s="3">
        <f>_xlfn.PERCENTILE.INC(B2:B24,0.25)</f>
        <v>-6.1199999999999997E-2</v>
      </c>
      <c r="G6" s="3">
        <f>_xlfn.PERCENTILE.INC(C2:C24,0.25)</f>
        <v>2.0400000000000001E-2</v>
      </c>
      <c r="I6" s="12">
        <v>5</v>
      </c>
      <c r="J6" s="4">
        <v>-6.7400000000000002E-2</v>
      </c>
      <c r="K6" s="4">
        <v>1.6E-2</v>
      </c>
    </row>
    <row r="7" spans="1:11" x14ac:dyDescent="0.25">
      <c r="A7" s="3">
        <v>6</v>
      </c>
      <c r="B7" s="4">
        <v>6.1499999999999999E-2</v>
      </c>
      <c r="C7" s="4">
        <v>0.626</v>
      </c>
      <c r="E7" s="6" t="s">
        <v>9</v>
      </c>
      <c r="F7" s="3">
        <f>_xlfn.PERCENTILE.INC(B2:B24,0.75)</f>
        <v>0.11605</v>
      </c>
      <c r="G7" s="3">
        <f>_xlfn.PERCENTILE.INC(C2:C24,0.75)</f>
        <v>0.23330000000000001</v>
      </c>
      <c r="I7" s="12">
        <v>6</v>
      </c>
      <c r="J7" s="4">
        <v>-6.6699999999999995E-2</v>
      </c>
      <c r="K7" s="4">
        <v>1.9900000000000001E-2</v>
      </c>
    </row>
    <row r="8" spans="1:11" x14ac:dyDescent="0.25">
      <c r="A8" s="3">
        <v>7</v>
      </c>
      <c r="B8" s="4">
        <v>-0.15909999999999999</v>
      </c>
      <c r="C8" s="4">
        <v>-0.14899999999999999</v>
      </c>
      <c r="E8" s="6" t="s">
        <v>16</v>
      </c>
      <c r="F8" s="3">
        <f>_xlfn.PERCENTILE.INC(B2:B24,0.8)</f>
        <v>0.12596000000000002</v>
      </c>
      <c r="G8" s="3">
        <f>_xlfn.PERCENTILE.INC(C2:C24,0.8)</f>
        <v>0.26190000000000002</v>
      </c>
      <c r="I8" s="12">
        <v>7</v>
      </c>
      <c r="J8" s="4">
        <v>-5.57E-2</v>
      </c>
      <c r="K8" s="4">
        <v>2.0899999999999998E-2</v>
      </c>
    </row>
    <row r="9" spans="1:11" x14ac:dyDescent="0.25">
      <c r="A9" s="3">
        <v>8</v>
      </c>
      <c r="B9" s="4">
        <v>-0.10009999999999999</v>
      </c>
      <c r="C9" s="4">
        <v>0.25800000000000001</v>
      </c>
      <c r="E9" s="6" t="s">
        <v>17</v>
      </c>
      <c r="F9" s="3">
        <f>_xlfn.PERCENTILE.INC(B2:B24,0.9)</f>
        <v>0.22350000000000003</v>
      </c>
      <c r="G9" s="3">
        <f>_xlfn.PERCENTILE.INC(C2:C24,0.9)</f>
        <v>0.42796000000000001</v>
      </c>
      <c r="I9" s="12">
        <v>8</v>
      </c>
      <c r="J9" s="4">
        <v>-2.6499999999999999E-2</v>
      </c>
      <c r="K9" s="4">
        <v>3.3399999999999999E-2</v>
      </c>
    </row>
    <row r="10" spans="1:11" x14ac:dyDescent="0.25">
      <c r="A10" s="3">
        <v>9</v>
      </c>
      <c r="B10" s="4">
        <v>-2.6499999999999999E-2</v>
      </c>
      <c r="C10" s="4">
        <v>0.17219999999999999</v>
      </c>
      <c r="E10" s="6" t="s">
        <v>18</v>
      </c>
      <c r="F10" s="8">
        <f>_xlfn.PERCENTILE.INC(B2:B24,0.27)</f>
        <v>-5.6359999999999993E-2</v>
      </c>
      <c r="G10" s="8">
        <f>_xlfn.PERCENTILE.INC(C2:C24,0.27)</f>
        <v>2.0839999999999997E-2</v>
      </c>
      <c r="I10" s="12">
        <v>9</v>
      </c>
      <c r="J10" s="4">
        <v>-2.12E-2</v>
      </c>
      <c r="K10" s="4">
        <v>4.5199999999999997E-2</v>
      </c>
    </row>
    <row r="11" spans="1:11" x14ac:dyDescent="0.25">
      <c r="A11" s="3">
        <v>10</v>
      </c>
      <c r="B11" s="4">
        <v>7.7600000000000002E-2</v>
      </c>
      <c r="C11" s="4">
        <v>1.9900000000000001E-2</v>
      </c>
      <c r="E11" s="6" t="s">
        <v>19</v>
      </c>
      <c r="F11" s="8">
        <f>_xlfn.PERCENTILE.INC(B2:B24,0.64)</f>
        <v>7.6312000000000005E-2</v>
      </c>
      <c r="G11" s="8">
        <f>_xlfn.PERCENTILE.INC(C2:C24,0.64)</f>
        <v>0.1825</v>
      </c>
      <c r="I11" s="12">
        <v>10</v>
      </c>
      <c r="J11" s="4">
        <v>-8.2000000000000007E-3</v>
      </c>
      <c r="K11" s="4">
        <v>7.5300000000000006E-2</v>
      </c>
    </row>
    <row r="12" spans="1:11" x14ac:dyDescent="0.25">
      <c r="A12" s="3">
        <v>11</v>
      </c>
      <c r="B12" s="4">
        <v>3.6999999999999998E-2</v>
      </c>
      <c r="C12" s="4">
        <v>0.43309999999999998</v>
      </c>
      <c r="E12" s="6" t="s">
        <v>10</v>
      </c>
      <c r="F12" s="8">
        <f>MIN(B2:B24)</f>
        <v>-0.20180000000000001</v>
      </c>
      <c r="G12" s="8">
        <f>MIN(C2:C24)</f>
        <v>-0.14899999999999999</v>
      </c>
      <c r="I12" s="12">
        <v>11</v>
      </c>
      <c r="J12" s="4">
        <v>1.1900000000000001E-2</v>
      </c>
      <c r="K12" s="4">
        <v>8.9899999999999994E-2</v>
      </c>
    </row>
    <row r="13" spans="1:11" x14ac:dyDescent="0.25">
      <c r="A13" s="3">
        <v>12</v>
      </c>
      <c r="B13" s="4">
        <v>0.1116</v>
      </c>
      <c r="C13" s="4">
        <v>0.54820000000000002</v>
      </c>
      <c r="E13" s="6" t="s">
        <v>11</v>
      </c>
      <c r="F13" s="8">
        <f>MAX(B2:B24)</f>
        <v>0.28139999999999998</v>
      </c>
      <c r="G13" s="8">
        <f>MAX(C2:C24)</f>
        <v>0.626</v>
      </c>
      <c r="I13" s="12">
        <v>12</v>
      </c>
      <c r="J13" s="4">
        <v>3.6999999999999998E-2</v>
      </c>
      <c r="K13" s="4">
        <v>0.12479999999999999</v>
      </c>
    </row>
    <row r="14" spans="1:11" x14ac:dyDescent="0.25">
      <c r="A14" s="3">
        <v>13</v>
      </c>
      <c r="B14" s="4">
        <v>-6.6699999999999995E-2</v>
      </c>
      <c r="C14" s="4">
        <v>4.5199999999999997E-2</v>
      </c>
      <c r="E14" s="6" t="s">
        <v>12</v>
      </c>
      <c r="F14" s="8">
        <f>+F13-F12</f>
        <v>0.48319999999999996</v>
      </c>
      <c r="G14" s="8">
        <f>+G13-G12</f>
        <v>0.77500000000000002</v>
      </c>
      <c r="I14" s="12">
        <v>13</v>
      </c>
      <c r="J14" s="4">
        <v>4.7699999999999999E-2</v>
      </c>
      <c r="K14" s="4">
        <v>0.1482</v>
      </c>
    </row>
    <row r="15" spans="1:11" x14ac:dyDescent="0.25">
      <c r="A15" s="3">
        <v>14</v>
      </c>
      <c r="B15" s="4">
        <v>-8.2000000000000007E-3</v>
      </c>
      <c r="C15" s="4">
        <v>-0.14099999999999999</v>
      </c>
      <c r="E15" s="6" t="s">
        <v>13</v>
      </c>
      <c r="F15" s="8">
        <f>_xlfn.VAR.S(B2:B24)</f>
        <v>1.6698003162055334E-2</v>
      </c>
      <c r="G15" s="8">
        <f>_xlfn.VAR.S(C2:C24)</f>
        <v>4.1543523280632426E-2</v>
      </c>
      <c r="I15" s="12">
        <v>14</v>
      </c>
      <c r="J15" s="4">
        <v>6.1499999999999999E-2</v>
      </c>
      <c r="K15" s="4">
        <v>0.17219999999999999</v>
      </c>
    </row>
    <row r="16" spans="1:11" x14ac:dyDescent="0.25">
      <c r="A16" s="3">
        <v>15</v>
      </c>
      <c r="B16" s="4">
        <v>1.1900000000000001E-2</v>
      </c>
      <c r="C16" s="4">
        <v>-0.10589999999999999</v>
      </c>
      <c r="E16" s="6" t="s">
        <v>2</v>
      </c>
      <c r="F16" s="8">
        <f>_xlfn.STDEV.S(B2:B24)</f>
        <v>0.12922075360426952</v>
      </c>
      <c r="G16" s="8">
        <f>_xlfn.STDEV.S(C2:C24)</f>
        <v>0.20382228357231313</v>
      </c>
      <c r="I16" s="12">
        <v>15</v>
      </c>
      <c r="J16" s="4">
        <v>7.6200000000000004E-2</v>
      </c>
      <c r="K16" s="4">
        <v>0.18049999999999999</v>
      </c>
    </row>
    <row r="17" spans="1:11" x14ac:dyDescent="0.25">
      <c r="A17" s="3">
        <v>16</v>
      </c>
      <c r="B17" s="4">
        <v>0.1205</v>
      </c>
      <c r="C17" s="4">
        <v>0.40739999999999998</v>
      </c>
      <c r="E17" s="6" t="s">
        <v>14</v>
      </c>
      <c r="F17" s="8">
        <f>F16/SQRT(F2)</f>
        <v>2.6944389721807894E-2</v>
      </c>
      <c r="G17" s="8">
        <f>G16/SQRT(G2)</f>
        <v>4.2499884030855813E-2</v>
      </c>
      <c r="I17" s="12">
        <v>16</v>
      </c>
      <c r="J17" s="4">
        <v>7.7600000000000002E-2</v>
      </c>
      <c r="K17" s="4">
        <v>0.20549999999999999</v>
      </c>
    </row>
    <row r="18" spans="1:11" x14ac:dyDescent="0.25">
      <c r="A18" s="3">
        <v>17</v>
      </c>
      <c r="B18" s="4">
        <v>4.7699999999999999E-2</v>
      </c>
      <c r="C18" s="4">
        <v>-5.5999999999999999E-3</v>
      </c>
      <c r="E18" s="6" t="s">
        <v>15</v>
      </c>
      <c r="F18" s="11">
        <f>F16/F3</f>
        <v>3.6705907532397166</v>
      </c>
      <c r="G18" s="11">
        <f>G16/G3</f>
        <v>1.3486126757467283</v>
      </c>
      <c r="I18" s="12">
        <v>17</v>
      </c>
      <c r="J18" s="4">
        <v>0.1116</v>
      </c>
      <c r="K18" s="4">
        <v>0.20860000000000001</v>
      </c>
    </row>
    <row r="19" spans="1:11" x14ac:dyDescent="0.25">
      <c r="A19" s="3">
        <v>18</v>
      </c>
      <c r="B19" s="4">
        <v>0.28139999999999998</v>
      </c>
      <c r="C19" s="4">
        <v>0.1482</v>
      </c>
      <c r="I19" s="12">
        <v>18</v>
      </c>
      <c r="J19" s="4">
        <v>0.1205</v>
      </c>
      <c r="K19" s="4">
        <v>0.25800000000000001</v>
      </c>
    </row>
    <row r="20" spans="1:11" x14ac:dyDescent="0.25">
      <c r="A20" s="3">
        <v>19</v>
      </c>
      <c r="B20" s="4">
        <v>-6.7400000000000002E-2</v>
      </c>
      <c r="C20" s="4">
        <v>7.5300000000000006E-2</v>
      </c>
      <c r="E20" s="7" t="s">
        <v>21</v>
      </c>
      <c r="F20" s="96">
        <f>CORREL(B2:B24,C2:C24)</f>
        <v>0.29081897658677197</v>
      </c>
      <c r="G20" s="97"/>
      <c r="I20" s="12">
        <v>19</v>
      </c>
      <c r="J20" s="4">
        <v>0.12959999999999999</v>
      </c>
      <c r="K20" s="4">
        <v>0.26450000000000001</v>
      </c>
    </row>
    <row r="21" spans="1:11" x14ac:dyDescent="0.25">
      <c r="A21" s="3">
        <v>20</v>
      </c>
      <c r="B21" s="4">
        <v>7.6200000000000004E-2</v>
      </c>
      <c r="C21" s="4">
        <v>8.9899999999999994E-2</v>
      </c>
      <c r="E21" s="20" t="s">
        <v>36</v>
      </c>
      <c r="F21" s="98">
        <f>F20/SQRT((1-(F20^2))/(F2-2))</f>
        <v>1.3929039354677464</v>
      </c>
      <c r="G21" s="98"/>
      <c r="I21" s="12">
        <v>20</v>
      </c>
      <c r="J21" s="4">
        <v>0.1991</v>
      </c>
      <c r="K21" s="4">
        <v>0.40739999999999998</v>
      </c>
    </row>
    <row r="22" spans="1:11" x14ac:dyDescent="0.25">
      <c r="A22" s="3">
        <v>21</v>
      </c>
      <c r="B22" s="4">
        <v>-0.1111</v>
      </c>
      <c r="C22" s="4">
        <v>1.6E-2</v>
      </c>
      <c r="E22" s="20" t="s">
        <v>42</v>
      </c>
      <c r="F22" s="96">
        <f>_xlfn.T.DIST.2T(F21,21)</f>
        <v>0.17822078262232119</v>
      </c>
      <c r="G22" s="97"/>
      <c r="I22" s="12">
        <v>21</v>
      </c>
      <c r="J22" s="4">
        <v>0.2296</v>
      </c>
      <c r="K22" s="4">
        <v>0.43309999999999998</v>
      </c>
    </row>
    <row r="23" spans="1:11" x14ac:dyDescent="0.25">
      <c r="A23" s="3">
        <v>22</v>
      </c>
      <c r="B23" s="4">
        <v>-5.57E-2</v>
      </c>
      <c r="C23" s="4">
        <v>0.18049999999999999</v>
      </c>
      <c r="I23" s="12">
        <v>22</v>
      </c>
      <c r="J23" s="4">
        <v>0.24379999999999999</v>
      </c>
      <c r="K23" s="4">
        <v>0.54820000000000002</v>
      </c>
    </row>
    <row r="24" spans="1:11" x14ac:dyDescent="0.25">
      <c r="A24" s="3">
        <v>23</v>
      </c>
      <c r="B24" s="4">
        <v>0.1991</v>
      </c>
      <c r="C24" s="4">
        <v>3.3399999999999999E-2</v>
      </c>
      <c r="E24" s="20" t="s">
        <v>37</v>
      </c>
      <c r="F24" s="98">
        <f>_xlfn.T.INV.2T(0.05,23-2)</f>
        <v>2.07961384472768</v>
      </c>
      <c r="G24" s="98"/>
      <c r="I24" s="12">
        <v>23</v>
      </c>
      <c r="J24" s="4">
        <v>0.28139999999999998</v>
      </c>
      <c r="K24" s="4">
        <v>0.626</v>
      </c>
    </row>
    <row r="25" spans="1:11" x14ac:dyDescent="0.25">
      <c r="F25" s="99"/>
      <c r="G25" s="99"/>
    </row>
    <row r="26" spans="1:11" x14ac:dyDescent="0.25">
      <c r="E26" s="21" t="s">
        <v>39</v>
      </c>
      <c r="F26" s="23" t="s">
        <v>41</v>
      </c>
    </row>
    <row r="27" spans="1:11" x14ac:dyDescent="0.25">
      <c r="E27" s="22" t="s">
        <v>40</v>
      </c>
      <c r="F27" s="23" t="s">
        <v>43</v>
      </c>
    </row>
    <row r="29" spans="1:11" x14ac:dyDescent="0.25">
      <c r="E29" s="95" t="s">
        <v>44</v>
      </c>
      <c r="F29" s="95"/>
      <c r="G29" s="95"/>
    </row>
    <row r="31" spans="1:11" x14ac:dyDescent="0.25">
      <c r="E31" t="s">
        <v>165</v>
      </c>
    </row>
  </sheetData>
  <sortState ref="K2:K24">
    <sortCondition ref="K1:K24"/>
  </sortState>
  <mergeCells count="6">
    <mergeCell ref="E29:G29"/>
    <mergeCell ref="F20:G20"/>
    <mergeCell ref="F21:G21"/>
    <mergeCell ref="F24:G24"/>
    <mergeCell ref="F22:G22"/>
    <mergeCell ref="F25:G2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2" x14ac:dyDescent="0.25">
      <c r="A1" s="43" t="s">
        <v>93</v>
      </c>
      <c r="B1" s="44"/>
    </row>
    <row r="2" spans="1:2" x14ac:dyDescent="0.25">
      <c r="A2" s="45" t="s">
        <v>91</v>
      </c>
      <c r="B2" s="53">
        <f>1/6</f>
        <v>0.16666666666666666</v>
      </c>
    </row>
    <row r="3" spans="1:2" x14ac:dyDescent="0.25">
      <c r="A3" s="45" t="s">
        <v>94</v>
      </c>
      <c r="B3" s="46">
        <v>10</v>
      </c>
    </row>
    <row r="4" spans="1:2" x14ac:dyDescent="0.25">
      <c r="A4" s="45" t="s">
        <v>85</v>
      </c>
      <c r="B4" s="46">
        <v>10</v>
      </c>
    </row>
    <row r="7" spans="1:2" x14ac:dyDescent="0.25">
      <c r="A7" s="47" t="s">
        <v>86</v>
      </c>
      <c r="B7" s="51">
        <f>FACT(B3)/(FACT(B4)*FACT(B3-B4))*B2^B4*(1-B2)^(B3-B4)</f>
        <v>1.6538171687920198E-8</v>
      </c>
    </row>
    <row r="8" spans="1:2" x14ac:dyDescent="0.25">
      <c r="A8" s="49"/>
    </row>
    <row r="10" spans="1:2" x14ac:dyDescent="0.25">
      <c r="A10" s="45" t="s">
        <v>95</v>
      </c>
      <c r="B10" s="54">
        <v>5.4265875850988188E-2</v>
      </c>
    </row>
    <row r="11" spans="1:2" x14ac:dyDescent="0.25">
      <c r="A11" s="45" t="s">
        <v>96</v>
      </c>
      <c r="B11" s="54">
        <v>2.6752146522379721E-4</v>
      </c>
    </row>
    <row r="13" spans="1:2" x14ac:dyDescent="0.25">
      <c r="A13" s="55" t="s">
        <v>97</v>
      </c>
      <c r="B13" s="56">
        <v>2.4807257531880302E-4</v>
      </c>
    </row>
    <row r="14" spans="1:2" x14ac:dyDescent="0.25">
      <c r="A14" s="55" t="s">
        <v>98</v>
      </c>
      <c r="B14" s="56">
        <v>1.8605443148910226E-5</v>
      </c>
    </row>
    <row r="15" spans="1:2" x14ac:dyDescent="0.25">
      <c r="A15" s="55" t="s">
        <v>99</v>
      </c>
      <c r="B15" s="56">
        <v>8.2690858439600991E-7</v>
      </c>
    </row>
    <row r="16" spans="1:2" x14ac:dyDescent="0.25">
      <c r="A16" s="55" t="s">
        <v>100</v>
      </c>
      <c r="B16" s="56">
        <v>1.6538171687920198E-8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37.140625" bestFit="1" customWidth="1"/>
    <col min="2" max="3" width="17.7109375" customWidth="1"/>
  </cols>
  <sheetData>
    <row r="1" spans="1:12" x14ac:dyDescent="0.25">
      <c r="A1" s="43" t="s">
        <v>89</v>
      </c>
      <c r="B1" s="44"/>
      <c r="C1" s="43" t="s">
        <v>90</v>
      </c>
      <c r="G1" s="100" t="s">
        <v>160</v>
      </c>
      <c r="H1" s="101"/>
      <c r="I1" s="101"/>
      <c r="J1" s="101"/>
      <c r="K1" s="101"/>
      <c r="L1" s="102"/>
    </row>
    <row r="2" spans="1:12" x14ac:dyDescent="0.25">
      <c r="A2" s="45" t="s">
        <v>91</v>
      </c>
      <c r="B2" s="52">
        <f>3/5</f>
        <v>0.6</v>
      </c>
      <c r="C2" s="50"/>
      <c r="G2" s="103"/>
      <c r="H2" s="104"/>
      <c r="I2" s="104"/>
      <c r="J2" s="104"/>
      <c r="K2" s="104"/>
      <c r="L2" s="105"/>
    </row>
    <row r="3" spans="1:12" x14ac:dyDescent="0.25">
      <c r="A3" s="45" t="s">
        <v>92</v>
      </c>
      <c r="B3" s="46">
        <v>20</v>
      </c>
      <c r="C3" s="46">
        <f>+B3-1</f>
        <v>19</v>
      </c>
      <c r="G3" s="103"/>
      <c r="H3" s="104"/>
      <c r="I3" s="104"/>
      <c r="J3" s="104"/>
      <c r="K3" s="104"/>
      <c r="L3" s="105"/>
    </row>
    <row r="4" spans="1:12" x14ac:dyDescent="0.25">
      <c r="A4" s="45" t="s">
        <v>85</v>
      </c>
      <c r="B4" s="46">
        <v>12</v>
      </c>
      <c r="C4" s="46">
        <f>+B4-1</f>
        <v>11</v>
      </c>
      <c r="G4" s="103"/>
      <c r="H4" s="104"/>
      <c r="I4" s="104"/>
      <c r="J4" s="104"/>
      <c r="K4" s="104"/>
      <c r="L4" s="105"/>
    </row>
    <row r="5" spans="1:12" x14ac:dyDescent="0.25">
      <c r="G5" s="103"/>
      <c r="H5" s="104"/>
      <c r="I5" s="104"/>
      <c r="J5" s="104"/>
      <c r="K5" s="104"/>
      <c r="L5" s="105"/>
    </row>
    <row r="6" spans="1:12" x14ac:dyDescent="0.25">
      <c r="G6" s="106"/>
      <c r="H6" s="107"/>
      <c r="I6" s="107"/>
      <c r="J6" s="107"/>
      <c r="K6" s="107"/>
      <c r="L6" s="108"/>
    </row>
    <row r="7" spans="1:12" x14ac:dyDescent="0.25">
      <c r="A7" s="47" t="s">
        <v>86</v>
      </c>
      <c r="B7" s="51">
        <f>(FACT($C$3)/(FACT($C$4)*FACT($C$3-$C$4)))*($B$2^$B$4)*((1-$B$2)^($B$3-$B$4))</f>
        <v>0.10782347265281365</v>
      </c>
    </row>
  </sheetData>
  <mergeCells count="1">
    <mergeCell ref="G1:L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14" x14ac:dyDescent="0.25">
      <c r="A1" s="43" t="s">
        <v>84</v>
      </c>
      <c r="B1" s="44"/>
      <c r="I1" s="100" t="s">
        <v>160</v>
      </c>
      <c r="J1" s="101"/>
      <c r="K1" s="101"/>
      <c r="L1" s="101"/>
      <c r="M1" s="101"/>
      <c r="N1" s="102"/>
    </row>
    <row r="2" spans="1:14" x14ac:dyDescent="0.25">
      <c r="A2" s="45" t="s">
        <v>161</v>
      </c>
      <c r="B2" s="46">
        <v>3</v>
      </c>
      <c r="C2" t="s">
        <v>87</v>
      </c>
      <c r="I2" s="103"/>
      <c r="J2" s="104"/>
      <c r="K2" s="104"/>
      <c r="L2" s="104"/>
      <c r="M2" s="104"/>
      <c r="N2" s="105"/>
    </row>
    <row r="3" spans="1:14" x14ac:dyDescent="0.25">
      <c r="A3" s="45" t="s">
        <v>85</v>
      </c>
      <c r="B3" s="46">
        <f>28/7</f>
        <v>4</v>
      </c>
      <c r="C3" t="s">
        <v>88</v>
      </c>
      <c r="I3" s="103"/>
      <c r="J3" s="104"/>
      <c r="K3" s="104"/>
      <c r="L3" s="104"/>
      <c r="M3" s="104"/>
      <c r="N3" s="105"/>
    </row>
    <row r="4" spans="1:14" x14ac:dyDescent="0.25">
      <c r="I4" s="103"/>
      <c r="J4" s="104"/>
      <c r="K4" s="104"/>
      <c r="L4" s="104"/>
      <c r="M4" s="104"/>
      <c r="N4" s="105"/>
    </row>
    <row r="5" spans="1:14" x14ac:dyDescent="0.25">
      <c r="I5" s="103"/>
      <c r="J5" s="104"/>
      <c r="K5" s="104"/>
      <c r="L5" s="104"/>
      <c r="M5" s="104"/>
      <c r="N5" s="105"/>
    </row>
    <row r="6" spans="1:14" x14ac:dyDescent="0.25">
      <c r="A6" s="47" t="s">
        <v>86</v>
      </c>
      <c r="B6" s="48">
        <f>(EXP(-B2)*(B2^(B3)))/FACT(B3)</f>
        <v>0.16803135574154082</v>
      </c>
      <c r="I6" s="106"/>
      <c r="J6" s="107"/>
      <c r="K6" s="107"/>
      <c r="L6" s="107"/>
      <c r="M6" s="107"/>
      <c r="N6" s="108"/>
    </row>
    <row r="7" spans="1:14" x14ac:dyDescent="0.25">
      <c r="A7" s="49"/>
    </row>
  </sheetData>
  <mergeCells count="1">
    <mergeCell ref="I1:N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zoomScale="85" zoomScaleNormal="85" workbookViewId="0"/>
  </sheetViews>
  <sheetFormatPr defaultRowHeight="15" x14ac:dyDescent="0.25"/>
  <cols>
    <col min="1" max="1" width="19.7109375" style="2" customWidth="1"/>
    <col min="2" max="3" width="11.7109375" style="2" customWidth="1"/>
    <col min="4" max="4" width="11.85546875" style="2" customWidth="1"/>
    <col min="5" max="16384" width="9.140625" style="2"/>
  </cols>
  <sheetData>
    <row r="1" spans="1:7" x14ac:dyDescent="0.25">
      <c r="A1" s="18"/>
      <c r="B1" s="5" t="s">
        <v>31</v>
      </c>
      <c r="F1" s="72" t="s">
        <v>114</v>
      </c>
      <c r="G1" s="72" t="s">
        <v>128</v>
      </c>
    </row>
    <row r="2" spans="1:7" x14ac:dyDescent="0.25">
      <c r="A2" s="7" t="s">
        <v>6</v>
      </c>
      <c r="B2" s="19">
        <v>26.5</v>
      </c>
      <c r="F2" s="19">
        <v>-4</v>
      </c>
      <c r="G2" s="19">
        <f t="shared" ref="G2:G65" si="0">_xlfn.NORM.S.DIST(F2,FALSE)</f>
        <v>1.3383022576488537E-4</v>
      </c>
    </row>
    <row r="3" spans="1:7" x14ac:dyDescent="0.25">
      <c r="A3" s="7" t="s">
        <v>2</v>
      </c>
      <c r="B3" s="19">
        <v>4</v>
      </c>
      <c r="F3" s="19">
        <v>-3.9</v>
      </c>
      <c r="G3" s="19">
        <f t="shared" si="0"/>
        <v>1.9865547139277272E-4</v>
      </c>
    </row>
    <row r="4" spans="1:7" x14ac:dyDescent="0.25">
      <c r="F4" s="19">
        <v>-3.8</v>
      </c>
      <c r="G4" s="19">
        <f t="shared" si="0"/>
        <v>2.9194692579146027E-4</v>
      </c>
    </row>
    <row r="5" spans="1:7" x14ac:dyDescent="0.25">
      <c r="A5" s="109" t="s">
        <v>135</v>
      </c>
      <c r="B5" s="110"/>
      <c r="F5" s="19">
        <v>-3.7</v>
      </c>
      <c r="G5" s="19">
        <f t="shared" si="0"/>
        <v>4.2478027055075143E-4</v>
      </c>
    </row>
    <row r="6" spans="1:7" x14ac:dyDescent="0.25">
      <c r="A6" s="78" t="s">
        <v>132</v>
      </c>
      <c r="B6" s="79">
        <v>37</v>
      </c>
      <c r="F6" s="19">
        <v>-3.6</v>
      </c>
      <c r="G6" s="19">
        <f t="shared" si="0"/>
        <v>6.119019301137719E-4</v>
      </c>
    </row>
    <row r="7" spans="1:7" x14ac:dyDescent="0.25">
      <c r="A7" s="78" t="s">
        <v>133</v>
      </c>
      <c r="B7" s="79">
        <v>20</v>
      </c>
      <c r="F7" s="19">
        <v>-3.5</v>
      </c>
      <c r="G7" s="19">
        <f t="shared" si="0"/>
        <v>8.7268269504576015E-4</v>
      </c>
    </row>
    <row r="8" spans="1:7" x14ac:dyDescent="0.25">
      <c r="A8" s="78" t="s">
        <v>134</v>
      </c>
      <c r="B8" s="79">
        <v>22</v>
      </c>
      <c r="C8" s="79">
        <v>28</v>
      </c>
      <c r="F8" s="19">
        <v>-3.4</v>
      </c>
      <c r="G8" s="19">
        <f t="shared" si="0"/>
        <v>1.2322191684730199E-3</v>
      </c>
    </row>
    <row r="9" spans="1:7" x14ac:dyDescent="0.25">
      <c r="F9" s="19">
        <v>-3.3</v>
      </c>
      <c r="G9" s="19">
        <f t="shared" si="0"/>
        <v>1.7225689390536812E-3</v>
      </c>
    </row>
    <row r="10" spans="1:7" x14ac:dyDescent="0.25">
      <c r="A10" s="109" t="s">
        <v>136</v>
      </c>
      <c r="B10" s="110"/>
      <c r="F10" s="19">
        <v>-3.2</v>
      </c>
      <c r="G10" s="19">
        <f t="shared" si="0"/>
        <v>2.3840882014648404E-3</v>
      </c>
    </row>
    <row r="11" spans="1:7" x14ac:dyDescent="0.25">
      <c r="A11" s="78" t="s">
        <v>137</v>
      </c>
      <c r="B11" s="79">
        <f>+(B6-$B$2)/$B$3</f>
        <v>2.625</v>
      </c>
      <c r="F11" s="19">
        <v>-3.1</v>
      </c>
      <c r="G11" s="19">
        <f t="shared" si="0"/>
        <v>3.2668190561999182E-3</v>
      </c>
    </row>
    <row r="12" spans="1:7" x14ac:dyDescent="0.25">
      <c r="A12" s="78" t="s">
        <v>138</v>
      </c>
      <c r="B12" s="79">
        <f>+(B7-$B$2)/$B$3</f>
        <v>-1.625</v>
      </c>
      <c r="F12" s="19">
        <v>-3</v>
      </c>
      <c r="G12" s="19">
        <f t="shared" si="0"/>
        <v>4.4318484119380075E-3</v>
      </c>
    </row>
    <row r="13" spans="1:7" x14ac:dyDescent="0.25">
      <c r="A13" s="78" t="s">
        <v>139</v>
      </c>
      <c r="B13" s="79">
        <f>+(B8-$B$2)/$B$3</f>
        <v>-1.125</v>
      </c>
      <c r="C13" s="79">
        <f>+(C8-$B$2)/$B$3</f>
        <v>0.375</v>
      </c>
      <c r="F13" s="19">
        <v>-2.9</v>
      </c>
      <c r="G13" s="19">
        <f t="shared" si="0"/>
        <v>5.9525324197758538E-3</v>
      </c>
    </row>
    <row r="14" spans="1:7" x14ac:dyDescent="0.25">
      <c r="F14" s="19">
        <v>-2.8</v>
      </c>
      <c r="G14" s="19">
        <f t="shared" si="0"/>
        <v>7.9154515829799686E-3</v>
      </c>
    </row>
    <row r="15" spans="1:7" x14ac:dyDescent="0.25">
      <c r="A15" s="109" t="s">
        <v>140</v>
      </c>
      <c r="B15" s="110"/>
      <c r="F15" s="19">
        <v>-2.7</v>
      </c>
      <c r="G15" s="19">
        <f t="shared" si="0"/>
        <v>1.0420934814422592E-2</v>
      </c>
    </row>
    <row r="16" spans="1:7" x14ac:dyDescent="0.25">
      <c r="A16" s="78" t="s">
        <v>137</v>
      </c>
      <c r="B16" s="4">
        <f>1-_xlfn.NORM.S.DIST(B11,TRUE)</f>
        <v>4.3324483630126087E-3</v>
      </c>
      <c r="F16" s="19">
        <v>-2.6</v>
      </c>
      <c r="G16" s="19">
        <f t="shared" si="0"/>
        <v>1.3582969233685613E-2</v>
      </c>
    </row>
    <row r="17" spans="1:7" x14ac:dyDescent="0.25">
      <c r="A17" s="78" t="s">
        <v>138</v>
      </c>
      <c r="B17" s="4">
        <f>_xlfn.NORM.S.DIST(B12,TRUE)</f>
        <v>5.2081279415219527E-2</v>
      </c>
      <c r="C17" s="31" t="s">
        <v>162</v>
      </c>
      <c r="D17" s="31" t="s">
        <v>163</v>
      </c>
      <c r="F17" s="19">
        <v>-2.5</v>
      </c>
      <c r="G17" s="19">
        <f t="shared" si="0"/>
        <v>1.752830049356854E-2</v>
      </c>
    </row>
    <row r="18" spans="1:7" x14ac:dyDescent="0.25">
      <c r="A18" s="78" t="s">
        <v>139</v>
      </c>
      <c r="B18" s="4">
        <f>D18-C18</f>
        <v>0.51587524953591501</v>
      </c>
      <c r="C18" s="94">
        <f>_xlfn.NORM.S.DIST(B13,TRUE)</f>
        <v>0.13029451713680881</v>
      </c>
      <c r="D18" s="4">
        <f>_xlfn.NORM.S.DIST(C13,TRUE)</f>
        <v>0.64616976667272386</v>
      </c>
      <c r="F18" s="19">
        <v>-2.4</v>
      </c>
      <c r="G18" s="19">
        <f t="shared" si="0"/>
        <v>2.2394530294842899E-2</v>
      </c>
    </row>
    <row r="19" spans="1:7" x14ac:dyDescent="0.25">
      <c r="F19" s="19">
        <v>-2.2999999999999998</v>
      </c>
      <c r="G19" s="19">
        <f t="shared" si="0"/>
        <v>2.8327037741601186E-2</v>
      </c>
    </row>
    <row r="20" spans="1:7" x14ac:dyDescent="0.25">
      <c r="F20" s="19">
        <v>-2.2000000000000002</v>
      </c>
      <c r="G20" s="19">
        <f t="shared" si="0"/>
        <v>3.5474592846231424E-2</v>
      </c>
    </row>
    <row r="21" spans="1:7" x14ac:dyDescent="0.25">
      <c r="F21" s="19">
        <v>-2.1</v>
      </c>
      <c r="G21" s="19">
        <f t="shared" si="0"/>
        <v>4.3983595980427191E-2</v>
      </c>
    </row>
    <row r="22" spans="1:7" x14ac:dyDescent="0.25">
      <c r="F22" s="19">
        <v>-2</v>
      </c>
      <c r="G22" s="19">
        <f t="shared" si="0"/>
        <v>5.3990966513188063E-2</v>
      </c>
    </row>
    <row r="23" spans="1:7" x14ac:dyDescent="0.25">
      <c r="F23" s="19">
        <v>-1.9</v>
      </c>
      <c r="G23" s="19">
        <f t="shared" si="0"/>
        <v>6.5615814774676595E-2</v>
      </c>
    </row>
    <row r="24" spans="1:7" x14ac:dyDescent="0.25">
      <c r="F24" s="19">
        <v>-1.8</v>
      </c>
      <c r="G24" s="19">
        <f t="shared" si="0"/>
        <v>7.8950158300894149E-2</v>
      </c>
    </row>
    <row r="25" spans="1:7" x14ac:dyDescent="0.25">
      <c r="F25" s="19">
        <v>-1.7</v>
      </c>
      <c r="G25" s="19">
        <f t="shared" si="0"/>
        <v>9.4049077376886947E-2</v>
      </c>
    </row>
    <row r="26" spans="1:7" x14ac:dyDescent="0.25">
      <c r="F26" s="19">
        <v>-1.6</v>
      </c>
      <c r="G26" s="19">
        <f t="shared" si="0"/>
        <v>0.11092083467945554</v>
      </c>
    </row>
    <row r="27" spans="1:7" x14ac:dyDescent="0.25">
      <c r="F27" s="19">
        <v>-1.5</v>
      </c>
      <c r="G27" s="19">
        <f t="shared" si="0"/>
        <v>0.12951759566589174</v>
      </c>
    </row>
    <row r="28" spans="1:7" x14ac:dyDescent="0.25">
      <c r="F28" s="19">
        <v>-1.4</v>
      </c>
      <c r="G28" s="19">
        <f t="shared" si="0"/>
        <v>0.14972746563574488</v>
      </c>
    </row>
    <row r="29" spans="1:7" x14ac:dyDescent="0.25">
      <c r="F29" s="19">
        <v>-1.3</v>
      </c>
      <c r="G29" s="19">
        <f t="shared" si="0"/>
        <v>0.17136859204780736</v>
      </c>
    </row>
    <row r="30" spans="1:7" x14ac:dyDescent="0.25">
      <c r="F30" s="19">
        <v>-1.2</v>
      </c>
      <c r="G30" s="19">
        <f t="shared" si="0"/>
        <v>0.19418605498321295</v>
      </c>
    </row>
    <row r="31" spans="1:7" x14ac:dyDescent="0.25">
      <c r="F31" s="19">
        <v>-1.1000000000000001</v>
      </c>
      <c r="G31" s="19">
        <f t="shared" si="0"/>
        <v>0.21785217703255053</v>
      </c>
    </row>
    <row r="32" spans="1:7" x14ac:dyDescent="0.25">
      <c r="F32" s="19">
        <v>-1</v>
      </c>
      <c r="G32" s="19">
        <f t="shared" si="0"/>
        <v>0.24197072451914337</v>
      </c>
    </row>
    <row r="33" spans="6:7" x14ac:dyDescent="0.25">
      <c r="F33" s="19">
        <v>-0.9</v>
      </c>
      <c r="G33" s="19">
        <f t="shared" si="0"/>
        <v>0.26608524989875482</v>
      </c>
    </row>
    <row r="34" spans="6:7" x14ac:dyDescent="0.25">
      <c r="F34" s="19">
        <v>-0.8</v>
      </c>
      <c r="G34" s="19">
        <f t="shared" si="0"/>
        <v>0.28969155276148273</v>
      </c>
    </row>
    <row r="35" spans="6:7" x14ac:dyDescent="0.25">
      <c r="F35" s="19">
        <v>-0.7</v>
      </c>
      <c r="G35" s="19">
        <f t="shared" si="0"/>
        <v>0.31225393336676127</v>
      </c>
    </row>
    <row r="36" spans="6:7" x14ac:dyDescent="0.25">
      <c r="F36" s="19">
        <v>-0.6</v>
      </c>
      <c r="G36" s="19">
        <f t="shared" si="0"/>
        <v>0.33322460289179967</v>
      </c>
    </row>
    <row r="37" spans="6:7" x14ac:dyDescent="0.25">
      <c r="F37" s="19">
        <v>-0.5</v>
      </c>
      <c r="G37" s="19">
        <f t="shared" si="0"/>
        <v>0.35206532676429952</v>
      </c>
    </row>
    <row r="38" spans="6:7" x14ac:dyDescent="0.25">
      <c r="F38" s="19">
        <v>-0.4</v>
      </c>
      <c r="G38" s="19">
        <f t="shared" si="0"/>
        <v>0.36827014030332333</v>
      </c>
    </row>
    <row r="39" spans="6:7" x14ac:dyDescent="0.25">
      <c r="F39" s="19">
        <v>-0.3</v>
      </c>
      <c r="G39" s="19">
        <f t="shared" si="0"/>
        <v>0.38138781546052414</v>
      </c>
    </row>
    <row r="40" spans="6:7" x14ac:dyDescent="0.25">
      <c r="F40" s="19">
        <v>-0.2</v>
      </c>
      <c r="G40" s="19">
        <f t="shared" si="0"/>
        <v>0.39104269397545588</v>
      </c>
    </row>
    <row r="41" spans="6:7" x14ac:dyDescent="0.25">
      <c r="F41" s="19">
        <v>-0.1</v>
      </c>
      <c r="G41" s="19">
        <f t="shared" si="0"/>
        <v>0.39695254747701181</v>
      </c>
    </row>
    <row r="42" spans="6:7" x14ac:dyDescent="0.25">
      <c r="F42" s="19">
        <v>0</v>
      </c>
      <c r="G42" s="19">
        <f t="shared" si="0"/>
        <v>0.3989422804014327</v>
      </c>
    </row>
    <row r="43" spans="6:7" x14ac:dyDescent="0.25">
      <c r="F43" s="19">
        <v>0.1</v>
      </c>
      <c r="G43" s="19">
        <f t="shared" si="0"/>
        <v>0.39695254747701181</v>
      </c>
    </row>
    <row r="44" spans="6:7" x14ac:dyDescent="0.25">
      <c r="F44" s="19">
        <v>0.2</v>
      </c>
      <c r="G44" s="19">
        <f t="shared" si="0"/>
        <v>0.39104269397545588</v>
      </c>
    </row>
    <row r="45" spans="6:7" x14ac:dyDescent="0.25">
      <c r="F45" s="19">
        <v>0.3</v>
      </c>
      <c r="G45" s="19">
        <f t="shared" si="0"/>
        <v>0.38138781546052414</v>
      </c>
    </row>
    <row r="46" spans="6:7" x14ac:dyDescent="0.25">
      <c r="F46" s="19">
        <v>0.4</v>
      </c>
      <c r="G46" s="19">
        <f t="shared" si="0"/>
        <v>0.36827014030332333</v>
      </c>
    </row>
    <row r="47" spans="6:7" x14ac:dyDescent="0.25">
      <c r="F47" s="19">
        <v>0.5</v>
      </c>
      <c r="G47" s="19">
        <f t="shared" si="0"/>
        <v>0.35206532676429952</v>
      </c>
    </row>
    <row r="48" spans="6:7" x14ac:dyDescent="0.25">
      <c r="F48" s="19">
        <v>0.6</v>
      </c>
      <c r="G48" s="19">
        <f t="shared" si="0"/>
        <v>0.33322460289179967</v>
      </c>
    </row>
    <row r="49" spans="6:7" x14ac:dyDescent="0.25">
      <c r="F49" s="19">
        <v>0.7</v>
      </c>
      <c r="G49" s="19">
        <f t="shared" si="0"/>
        <v>0.31225393336676127</v>
      </c>
    </row>
    <row r="50" spans="6:7" x14ac:dyDescent="0.25">
      <c r="F50" s="19">
        <v>0.8</v>
      </c>
      <c r="G50" s="19">
        <f t="shared" si="0"/>
        <v>0.28969155276148273</v>
      </c>
    </row>
    <row r="51" spans="6:7" x14ac:dyDescent="0.25">
      <c r="F51" s="19">
        <v>0.9</v>
      </c>
      <c r="G51" s="19">
        <f t="shared" si="0"/>
        <v>0.26608524989875482</v>
      </c>
    </row>
    <row r="52" spans="6:7" x14ac:dyDescent="0.25">
      <c r="F52" s="19">
        <v>1</v>
      </c>
      <c r="G52" s="19">
        <f t="shared" si="0"/>
        <v>0.24197072451914337</v>
      </c>
    </row>
    <row r="53" spans="6:7" x14ac:dyDescent="0.25">
      <c r="F53" s="19">
        <v>1.1000000000000001</v>
      </c>
      <c r="G53" s="19">
        <f t="shared" si="0"/>
        <v>0.21785217703255053</v>
      </c>
    </row>
    <row r="54" spans="6:7" x14ac:dyDescent="0.25">
      <c r="F54" s="19">
        <v>1.2</v>
      </c>
      <c r="G54" s="19">
        <f t="shared" si="0"/>
        <v>0.19418605498321295</v>
      </c>
    </row>
    <row r="55" spans="6:7" x14ac:dyDescent="0.25">
      <c r="F55" s="19">
        <v>1.3</v>
      </c>
      <c r="G55" s="19">
        <f t="shared" si="0"/>
        <v>0.17136859204780736</v>
      </c>
    </row>
    <row r="56" spans="6:7" x14ac:dyDescent="0.25">
      <c r="F56" s="19">
        <v>1.4</v>
      </c>
      <c r="G56" s="19">
        <f t="shared" si="0"/>
        <v>0.14972746563574488</v>
      </c>
    </row>
    <row r="57" spans="6:7" x14ac:dyDescent="0.25">
      <c r="F57" s="19">
        <v>1.5</v>
      </c>
      <c r="G57" s="19">
        <f t="shared" si="0"/>
        <v>0.12951759566589174</v>
      </c>
    </row>
    <row r="58" spans="6:7" x14ac:dyDescent="0.25">
      <c r="F58" s="19">
        <v>1.6</v>
      </c>
      <c r="G58" s="19">
        <f t="shared" si="0"/>
        <v>0.11092083467945554</v>
      </c>
    </row>
    <row r="59" spans="6:7" x14ac:dyDescent="0.25">
      <c r="F59" s="19">
        <v>1.7</v>
      </c>
      <c r="G59" s="19">
        <f t="shared" si="0"/>
        <v>9.4049077376886947E-2</v>
      </c>
    </row>
    <row r="60" spans="6:7" x14ac:dyDescent="0.25">
      <c r="F60" s="19">
        <v>1.8</v>
      </c>
      <c r="G60" s="19">
        <f t="shared" si="0"/>
        <v>7.8950158300894149E-2</v>
      </c>
    </row>
    <row r="61" spans="6:7" x14ac:dyDescent="0.25">
      <c r="F61" s="19">
        <v>1.9</v>
      </c>
      <c r="G61" s="19">
        <f t="shared" si="0"/>
        <v>6.5615814774676595E-2</v>
      </c>
    </row>
    <row r="62" spans="6:7" x14ac:dyDescent="0.25">
      <c r="F62" s="19">
        <v>2</v>
      </c>
      <c r="G62" s="19">
        <f t="shared" si="0"/>
        <v>5.3990966513188063E-2</v>
      </c>
    </row>
    <row r="63" spans="6:7" x14ac:dyDescent="0.25">
      <c r="F63" s="19">
        <v>2.1</v>
      </c>
      <c r="G63" s="19">
        <f t="shared" si="0"/>
        <v>4.3983595980427191E-2</v>
      </c>
    </row>
    <row r="64" spans="6:7" x14ac:dyDescent="0.25">
      <c r="F64" s="19">
        <v>2.2000000000000002</v>
      </c>
      <c r="G64" s="19">
        <f t="shared" si="0"/>
        <v>3.5474592846231424E-2</v>
      </c>
    </row>
    <row r="65" spans="6:7" x14ac:dyDescent="0.25">
      <c r="F65" s="19">
        <v>2.2999999999999998</v>
      </c>
      <c r="G65" s="19">
        <f t="shared" si="0"/>
        <v>2.8327037741601186E-2</v>
      </c>
    </row>
    <row r="66" spans="6:7" x14ac:dyDescent="0.25">
      <c r="F66" s="19">
        <v>2.4</v>
      </c>
      <c r="G66" s="19">
        <f t="shared" ref="G66:G82" si="1">_xlfn.NORM.S.DIST(F66,FALSE)</f>
        <v>2.2394530294842899E-2</v>
      </c>
    </row>
    <row r="67" spans="6:7" x14ac:dyDescent="0.25">
      <c r="F67" s="19">
        <v>2.5</v>
      </c>
      <c r="G67" s="19">
        <f t="shared" si="1"/>
        <v>1.752830049356854E-2</v>
      </c>
    </row>
    <row r="68" spans="6:7" x14ac:dyDescent="0.25">
      <c r="F68" s="19">
        <v>2.6</v>
      </c>
      <c r="G68" s="19">
        <f t="shared" si="1"/>
        <v>1.3582969233685613E-2</v>
      </c>
    </row>
    <row r="69" spans="6:7" x14ac:dyDescent="0.25">
      <c r="F69" s="19">
        <v>2.7</v>
      </c>
      <c r="G69" s="19">
        <f t="shared" si="1"/>
        <v>1.0420934814422592E-2</v>
      </c>
    </row>
    <row r="70" spans="6:7" x14ac:dyDescent="0.25">
      <c r="F70" s="19">
        <v>2.8</v>
      </c>
      <c r="G70" s="19">
        <f t="shared" si="1"/>
        <v>7.9154515829799686E-3</v>
      </c>
    </row>
    <row r="71" spans="6:7" x14ac:dyDescent="0.25">
      <c r="F71" s="19">
        <v>2.9</v>
      </c>
      <c r="G71" s="19">
        <f t="shared" si="1"/>
        <v>5.9525324197758538E-3</v>
      </c>
    </row>
    <row r="72" spans="6:7" x14ac:dyDescent="0.25">
      <c r="F72" s="19">
        <v>3</v>
      </c>
      <c r="G72" s="19">
        <f t="shared" si="1"/>
        <v>4.4318484119380075E-3</v>
      </c>
    </row>
    <row r="73" spans="6:7" x14ac:dyDescent="0.25">
      <c r="F73" s="19">
        <v>3.1</v>
      </c>
      <c r="G73" s="19">
        <f t="shared" si="1"/>
        <v>3.2668190561999182E-3</v>
      </c>
    </row>
    <row r="74" spans="6:7" x14ac:dyDescent="0.25">
      <c r="F74" s="19">
        <v>3.2</v>
      </c>
      <c r="G74" s="19">
        <f t="shared" si="1"/>
        <v>2.3840882014648404E-3</v>
      </c>
    </row>
    <row r="75" spans="6:7" x14ac:dyDescent="0.25">
      <c r="F75" s="19">
        <v>3.3</v>
      </c>
      <c r="G75" s="19">
        <f t="shared" si="1"/>
        <v>1.7225689390536812E-3</v>
      </c>
    </row>
    <row r="76" spans="6:7" x14ac:dyDescent="0.25">
      <c r="F76" s="19">
        <v>3.4</v>
      </c>
      <c r="G76" s="19">
        <f t="shared" si="1"/>
        <v>1.2322191684730199E-3</v>
      </c>
    </row>
    <row r="77" spans="6:7" x14ac:dyDescent="0.25">
      <c r="F77" s="19">
        <v>3.5</v>
      </c>
      <c r="G77" s="19">
        <f t="shared" si="1"/>
        <v>8.7268269504576015E-4</v>
      </c>
    </row>
    <row r="78" spans="6:7" x14ac:dyDescent="0.25">
      <c r="F78" s="19">
        <v>3.6</v>
      </c>
      <c r="G78" s="19">
        <f t="shared" si="1"/>
        <v>6.119019301137719E-4</v>
      </c>
    </row>
    <row r="79" spans="6:7" x14ac:dyDescent="0.25">
      <c r="F79" s="19">
        <v>3.7</v>
      </c>
      <c r="G79" s="19">
        <f t="shared" si="1"/>
        <v>4.2478027055075143E-4</v>
      </c>
    </row>
    <row r="80" spans="6:7" x14ac:dyDescent="0.25">
      <c r="F80" s="19">
        <v>3.8</v>
      </c>
      <c r="G80" s="19">
        <f t="shared" si="1"/>
        <v>2.9194692579146027E-4</v>
      </c>
    </row>
    <row r="81" spans="6:7" x14ac:dyDescent="0.25">
      <c r="F81" s="19">
        <v>3.9</v>
      </c>
      <c r="G81" s="19">
        <f t="shared" si="1"/>
        <v>1.9865547139277272E-4</v>
      </c>
    </row>
    <row r="82" spans="6:7" x14ac:dyDescent="0.25">
      <c r="F82" s="19">
        <v>4</v>
      </c>
      <c r="G82" s="19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zoomScale="85" zoomScaleNormal="85" workbookViewId="0"/>
  </sheetViews>
  <sheetFormatPr defaultRowHeight="15" x14ac:dyDescent="0.25"/>
  <cols>
    <col min="1" max="1" width="20.5703125" style="13" customWidth="1"/>
    <col min="2" max="5" width="12.7109375" style="13" customWidth="1"/>
    <col min="6" max="16384" width="9.140625" style="13"/>
  </cols>
  <sheetData>
    <row r="1" spans="1:15" x14ac:dyDescent="0.25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J1" s="100" t="s">
        <v>160</v>
      </c>
      <c r="K1" s="101"/>
      <c r="L1" s="101"/>
      <c r="M1" s="101"/>
      <c r="N1" s="101"/>
      <c r="O1" s="102"/>
    </row>
    <row r="2" spans="1:15" x14ac:dyDescent="0.25">
      <c r="A2" s="14" t="s">
        <v>29</v>
      </c>
      <c r="B2" s="14">
        <v>29</v>
      </c>
      <c r="C2" s="14">
        <v>15</v>
      </c>
      <c r="D2" s="14">
        <v>16</v>
      </c>
      <c r="E2" s="15">
        <v>60</v>
      </c>
      <c r="F2" s="23" t="s">
        <v>74</v>
      </c>
      <c r="J2" s="103"/>
      <c r="K2" s="104"/>
      <c r="L2" s="104"/>
      <c r="M2" s="104"/>
      <c r="N2" s="104"/>
      <c r="O2" s="105"/>
    </row>
    <row r="3" spans="1:15" x14ac:dyDescent="0.25">
      <c r="A3" s="14" t="s">
        <v>30</v>
      </c>
      <c r="B3" s="14">
        <v>0.48299999999999998</v>
      </c>
      <c r="C3" s="14">
        <v>0.25</v>
      </c>
      <c r="D3" s="14">
        <v>0.26700000000000002</v>
      </c>
      <c r="E3" s="17">
        <f>+SUM(B3:D3)</f>
        <v>1</v>
      </c>
      <c r="J3" s="103"/>
      <c r="K3" s="104"/>
      <c r="L3" s="104"/>
      <c r="M3" s="104"/>
      <c r="N3" s="104"/>
      <c r="O3" s="105"/>
    </row>
    <row r="4" spans="1:15" x14ac:dyDescent="0.25">
      <c r="J4" s="103"/>
      <c r="K4" s="104"/>
      <c r="L4" s="104"/>
      <c r="M4" s="104"/>
      <c r="N4" s="104"/>
      <c r="O4" s="105"/>
    </row>
    <row r="5" spans="1:15" x14ac:dyDescent="0.25">
      <c r="A5" s="14" t="s">
        <v>29</v>
      </c>
      <c r="B5" s="14">
        <f>+$E$2/3</f>
        <v>20</v>
      </c>
      <c r="C5" s="14">
        <f>+$E$2/3</f>
        <v>20</v>
      </c>
      <c r="D5" s="14">
        <f>+$E$2/3</f>
        <v>20</v>
      </c>
      <c r="E5" s="15">
        <f>+SUM(B5:D5)</f>
        <v>60</v>
      </c>
      <c r="F5" s="23" t="s">
        <v>75</v>
      </c>
      <c r="J5" s="103"/>
      <c r="K5" s="104"/>
      <c r="L5" s="104"/>
      <c r="M5" s="104"/>
      <c r="N5" s="104"/>
      <c r="O5" s="105"/>
    </row>
    <row r="6" spans="1:15" x14ac:dyDescent="0.25">
      <c r="J6" s="106"/>
      <c r="K6" s="107"/>
      <c r="L6" s="107"/>
      <c r="M6" s="107"/>
      <c r="N6" s="107"/>
      <c r="O6" s="108"/>
    </row>
    <row r="8" spans="1:15" x14ac:dyDescent="0.25">
      <c r="A8" s="36" t="s">
        <v>76</v>
      </c>
      <c r="B8" s="36">
        <f>(B2-B5)^2/B5</f>
        <v>4.05</v>
      </c>
      <c r="C8" s="36">
        <f>(C2-C5)^2/C5</f>
        <v>1.25</v>
      </c>
      <c r="D8" s="36">
        <f>(D2-D5)^2/D5</f>
        <v>0.8</v>
      </c>
      <c r="E8" s="37">
        <f>+SUM(B8:D8)</f>
        <v>6.1</v>
      </c>
    </row>
    <row r="9" spans="1:15" x14ac:dyDescent="0.25">
      <c r="A9" s="111" t="s">
        <v>47</v>
      </c>
      <c r="B9" s="111"/>
      <c r="C9" s="111"/>
      <c r="D9" s="111"/>
      <c r="E9" s="38">
        <v>0.05</v>
      </c>
    </row>
    <row r="10" spans="1:15" x14ac:dyDescent="0.25">
      <c r="A10" s="111" t="s">
        <v>77</v>
      </c>
      <c r="B10" s="111"/>
      <c r="C10" s="111"/>
      <c r="D10" s="111"/>
      <c r="E10" s="39">
        <f>_xlfn.CHISQ.INV.RT(E9,2)</f>
        <v>5.9914645471079817</v>
      </c>
    </row>
    <row r="11" spans="1:15" x14ac:dyDescent="0.25">
      <c r="A11" s="111" t="s">
        <v>38</v>
      </c>
      <c r="B11" s="111"/>
      <c r="C11" s="111"/>
      <c r="D11" s="111"/>
      <c r="E11" s="40">
        <f>_xlfn.CHISQ.DIST.RT(E8,2)</f>
        <v>4.7358924391140929E-2</v>
      </c>
    </row>
    <row r="13" spans="1:15" x14ac:dyDescent="0.25">
      <c r="B13" s="22" t="s">
        <v>39</v>
      </c>
      <c r="C13" s="24" t="s">
        <v>78</v>
      </c>
    </row>
    <row r="14" spans="1:15" x14ac:dyDescent="0.25">
      <c r="B14" s="22" t="s">
        <v>40</v>
      </c>
      <c r="C14" s="24" t="s">
        <v>79</v>
      </c>
    </row>
    <row r="16" spans="1:15" x14ac:dyDescent="0.25">
      <c r="A16" s="112" t="s">
        <v>80</v>
      </c>
      <c r="B16" s="112"/>
      <c r="C16" s="112"/>
      <c r="D16" s="112"/>
    </row>
    <row r="17" spans="1:4" x14ac:dyDescent="0.25">
      <c r="A17" s="112"/>
      <c r="B17" s="112"/>
      <c r="C17" s="112"/>
      <c r="D17" s="112"/>
    </row>
    <row r="18" spans="1:4" x14ac:dyDescent="0.25">
      <c r="A18" s="112"/>
      <c r="B18" s="112"/>
      <c r="C18" s="112"/>
      <c r="D18" s="112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85" zoomScaleNormal="85" workbookViewId="0"/>
  </sheetViews>
  <sheetFormatPr defaultRowHeight="15" x14ac:dyDescent="0.25"/>
  <cols>
    <col min="1" max="2" width="12.7109375" style="2" customWidth="1"/>
    <col min="3" max="3" width="9.140625" style="2"/>
    <col min="4" max="4" width="20.5703125" style="2" customWidth="1"/>
    <col min="5" max="5" width="15.7109375" style="2" customWidth="1"/>
    <col min="6" max="8" width="9.140625" style="2"/>
    <col min="9" max="9" width="20.7109375" style="2" customWidth="1"/>
    <col min="10" max="16384" width="9.140625" style="2"/>
  </cols>
  <sheetData>
    <row r="1" spans="1:11" x14ac:dyDescent="0.25">
      <c r="A1" s="5" t="s">
        <v>34</v>
      </c>
      <c r="B1" s="5" t="s">
        <v>35</v>
      </c>
      <c r="D1" s="5"/>
      <c r="E1" s="5" t="s">
        <v>45</v>
      </c>
      <c r="I1" t="s">
        <v>51</v>
      </c>
      <c r="J1"/>
      <c r="K1"/>
    </row>
    <row r="2" spans="1:11" ht="15.75" thickBot="1" x14ac:dyDescent="0.3">
      <c r="A2" s="19">
        <v>8.9</v>
      </c>
      <c r="B2" s="19">
        <v>5.6</v>
      </c>
      <c r="D2" s="7" t="s">
        <v>32</v>
      </c>
      <c r="E2" s="19">
        <f>_xlfn.VAR.S(A2:A15)</f>
        <v>11.604395604395608</v>
      </c>
      <c r="I2"/>
      <c r="J2"/>
      <c r="K2"/>
    </row>
    <row r="3" spans="1:11" x14ac:dyDescent="0.25">
      <c r="A3" s="19">
        <v>7.7</v>
      </c>
      <c r="B3" s="19">
        <v>4.9000000000000004</v>
      </c>
      <c r="D3" s="7" t="s">
        <v>33</v>
      </c>
      <c r="E3" s="19">
        <f>_xlfn.VAR.S(B2:B15)</f>
        <v>4.2026923076922982</v>
      </c>
      <c r="I3" s="35"/>
      <c r="J3" s="35" t="s">
        <v>34</v>
      </c>
      <c r="K3" s="35" t="s">
        <v>35</v>
      </c>
    </row>
    <row r="4" spans="1:11" x14ac:dyDescent="0.25">
      <c r="A4" s="19">
        <v>8.6</v>
      </c>
      <c r="B4" s="19">
        <v>6.6</v>
      </c>
      <c r="I4" s="33" t="s">
        <v>6</v>
      </c>
      <c r="J4" s="33">
        <v>6.2857142857142856</v>
      </c>
      <c r="K4" s="33">
        <v>6.8500000000000005</v>
      </c>
    </row>
    <row r="5" spans="1:11" x14ac:dyDescent="0.25">
      <c r="A5" s="19">
        <v>3.9</v>
      </c>
      <c r="B5" s="19">
        <v>5.9</v>
      </c>
      <c r="D5" s="28" t="s">
        <v>46</v>
      </c>
      <c r="E5" s="113">
        <f>E2/E3</f>
        <v>2.7611813463373887</v>
      </c>
      <c r="F5" s="113"/>
      <c r="I5" s="33" t="s">
        <v>13</v>
      </c>
      <c r="J5" s="33">
        <v>11.604395604395608</v>
      </c>
      <c r="K5" s="33">
        <v>4.2026923076922982</v>
      </c>
    </row>
    <row r="6" spans="1:11" x14ac:dyDescent="0.25">
      <c r="A6" s="19">
        <v>7.6</v>
      </c>
      <c r="B6" s="19">
        <v>6.5</v>
      </c>
      <c r="D6" s="28" t="s">
        <v>47</v>
      </c>
      <c r="E6" s="114">
        <v>0.05</v>
      </c>
      <c r="F6" s="115"/>
      <c r="I6" s="33" t="s">
        <v>52</v>
      </c>
      <c r="J6" s="33">
        <v>14</v>
      </c>
      <c r="K6" s="33">
        <v>14</v>
      </c>
    </row>
    <row r="7" spans="1:11" x14ac:dyDescent="0.25">
      <c r="A7" s="19">
        <v>10.199999999999999</v>
      </c>
      <c r="B7" s="19">
        <v>5.9</v>
      </c>
      <c r="D7" s="28" t="s">
        <v>38</v>
      </c>
      <c r="E7" s="116">
        <f>_xlfn.F.DIST.RT(E5,13,13)</f>
        <v>3.9172054499024583E-2</v>
      </c>
      <c r="F7" s="116"/>
      <c r="I7" s="33" t="s">
        <v>53</v>
      </c>
      <c r="J7" s="33">
        <v>13</v>
      </c>
      <c r="K7" s="33">
        <v>13</v>
      </c>
    </row>
    <row r="8" spans="1:11" x14ac:dyDescent="0.25">
      <c r="A8" s="19">
        <v>9.6</v>
      </c>
      <c r="B8" s="19">
        <v>3.6</v>
      </c>
      <c r="D8" s="28" t="s">
        <v>48</v>
      </c>
      <c r="E8" s="113">
        <f>_xlfn.F.INV.RT(E6,13,13)</f>
        <v>2.5769270844729792</v>
      </c>
      <c r="F8" s="113"/>
      <c r="I8" s="33" t="s">
        <v>54</v>
      </c>
      <c r="J8" s="33">
        <v>2.7611813463373887</v>
      </c>
      <c r="K8" s="33"/>
    </row>
    <row r="9" spans="1:11" x14ac:dyDescent="0.25">
      <c r="A9" s="19">
        <v>8.9</v>
      </c>
      <c r="B9" s="19">
        <v>5.6</v>
      </c>
      <c r="D9" s="25"/>
      <c r="E9" s="25"/>
      <c r="F9" s="25"/>
      <c r="I9" s="33" t="s">
        <v>55</v>
      </c>
      <c r="J9" s="33">
        <v>3.9172054499024583E-2</v>
      </c>
      <c r="K9" s="33"/>
    </row>
    <row r="10" spans="1:11" ht="15.75" thickBot="1" x14ac:dyDescent="0.3">
      <c r="A10" s="19">
        <v>9.6</v>
      </c>
      <c r="B10" s="19">
        <v>8.8000000000000007</v>
      </c>
      <c r="D10" s="31" t="s">
        <v>39</v>
      </c>
      <c r="E10" s="29" t="s">
        <v>49</v>
      </c>
      <c r="F10" s="25"/>
      <c r="I10" s="34" t="s">
        <v>56</v>
      </c>
      <c r="J10" s="34">
        <v>2.5769270844729792</v>
      </c>
      <c r="K10" s="34"/>
    </row>
    <row r="11" spans="1:11" x14ac:dyDescent="0.25">
      <c r="A11" s="19">
        <v>5.5</v>
      </c>
      <c r="B11" s="19">
        <v>7.8</v>
      </c>
      <c r="D11" s="31" t="s">
        <v>40</v>
      </c>
      <c r="E11" s="29" t="s">
        <v>50</v>
      </c>
      <c r="F11" s="25"/>
    </row>
    <row r="12" spans="1:11" x14ac:dyDescent="0.25">
      <c r="A12" s="19">
        <v>0.5</v>
      </c>
      <c r="B12" s="19">
        <v>9.9</v>
      </c>
      <c r="D12" s="25"/>
      <c r="E12" s="25"/>
      <c r="F12" s="25"/>
    </row>
    <row r="13" spans="1:11" x14ac:dyDescent="0.25">
      <c r="A13" s="19">
        <v>1.5</v>
      </c>
      <c r="B13" s="19">
        <v>11</v>
      </c>
      <c r="D13" s="112" t="s">
        <v>73</v>
      </c>
      <c r="E13" s="112"/>
      <c r="F13" s="112"/>
    </row>
    <row r="14" spans="1:11" x14ac:dyDescent="0.25">
      <c r="A14" s="19">
        <v>1.5</v>
      </c>
      <c r="B14" s="19">
        <v>8.3000000000000007</v>
      </c>
      <c r="D14" s="112"/>
      <c r="E14" s="112"/>
      <c r="F14" s="112"/>
    </row>
    <row r="15" spans="1:11" x14ac:dyDescent="0.25">
      <c r="A15" s="19">
        <v>4</v>
      </c>
      <c r="B15" s="19">
        <v>5.5</v>
      </c>
      <c r="D15" s="112"/>
      <c r="E15" s="112"/>
      <c r="F15" s="112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85" zoomScaleNormal="85" workbookViewId="0"/>
  </sheetViews>
  <sheetFormatPr defaultRowHeight="15" x14ac:dyDescent="0.25"/>
  <cols>
    <col min="1" max="2" width="15.85546875" style="25" customWidth="1"/>
    <col min="3" max="3" width="9.140625" style="25"/>
    <col min="4" max="4" width="20.7109375" style="25" customWidth="1"/>
    <col min="5" max="7" width="12.7109375" style="25" customWidth="1"/>
    <col min="8" max="8" width="9.140625" style="25"/>
    <col min="9" max="9" width="21.7109375" style="25" customWidth="1"/>
    <col min="10" max="11" width="13.85546875" style="25" customWidth="1"/>
    <col min="12" max="16384" width="9.140625" style="25"/>
  </cols>
  <sheetData>
    <row r="1" spans="1:18" x14ac:dyDescent="0.25">
      <c r="A1" s="5" t="s">
        <v>22</v>
      </c>
      <c r="B1" s="5" t="s">
        <v>23</v>
      </c>
      <c r="D1" s="26"/>
      <c r="E1" s="5" t="s">
        <v>6</v>
      </c>
      <c r="F1" s="5" t="s">
        <v>45</v>
      </c>
      <c r="G1" s="5" t="s">
        <v>59</v>
      </c>
      <c r="I1" t="s">
        <v>51</v>
      </c>
      <c r="J1"/>
      <c r="K1"/>
      <c r="M1" s="100" t="s">
        <v>160</v>
      </c>
      <c r="N1" s="101"/>
      <c r="O1" s="101"/>
      <c r="P1" s="101"/>
      <c r="Q1" s="101"/>
      <c r="R1" s="102"/>
    </row>
    <row r="2" spans="1:18" ht="15.75" thickBot="1" x14ac:dyDescent="0.3">
      <c r="A2" s="32">
        <v>72</v>
      </c>
      <c r="B2" s="32">
        <v>66</v>
      </c>
      <c r="D2" s="7" t="s">
        <v>22</v>
      </c>
      <c r="E2" s="27">
        <f>+AVERAGE(A2:A21)</f>
        <v>81.5</v>
      </c>
      <c r="F2" s="27">
        <f>_xlfn.VAR.S(A2:A21)</f>
        <v>137.73684210526315</v>
      </c>
      <c r="G2" s="30">
        <f>COUNT(A2:A21)</f>
        <v>20</v>
      </c>
      <c r="I2"/>
      <c r="J2"/>
      <c r="K2"/>
      <c r="M2" s="103"/>
      <c r="N2" s="104"/>
      <c r="O2" s="104"/>
      <c r="P2" s="104"/>
      <c r="Q2" s="104"/>
      <c r="R2" s="105"/>
    </row>
    <row r="3" spans="1:18" x14ac:dyDescent="0.25">
      <c r="A3" s="32">
        <v>58</v>
      </c>
      <c r="B3" s="32">
        <v>40</v>
      </c>
      <c r="D3" s="7" t="s">
        <v>23</v>
      </c>
      <c r="E3" s="27">
        <f>+AVERAGE(B2:B21)</f>
        <v>57.8</v>
      </c>
      <c r="F3" s="27">
        <f>_xlfn.VAR.S(B2:B21)</f>
        <v>96.799999999999841</v>
      </c>
      <c r="G3" s="30">
        <f>COUNT(B2:B21)</f>
        <v>20</v>
      </c>
      <c r="I3" s="35"/>
      <c r="J3" s="35" t="s">
        <v>22</v>
      </c>
      <c r="K3" s="35" t="s">
        <v>23</v>
      </c>
      <c r="M3" s="103"/>
      <c r="N3" s="104"/>
      <c r="O3" s="104"/>
      <c r="P3" s="104"/>
      <c r="Q3" s="104"/>
      <c r="R3" s="105"/>
    </row>
    <row r="4" spans="1:18" x14ac:dyDescent="0.25">
      <c r="A4" s="32">
        <v>91</v>
      </c>
      <c r="B4" s="32">
        <v>55</v>
      </c>
      <c r="I4" s="33" t="s">
        <v>6</v>
      </c>
      <c r="J4" s="33">
        <v>81.5</v>
      </c>
      <c r="K4" s="33">
        <v>57.8</v>
      </c>
      <c r="M4" s="103"/>
      <c r="N4" s="104"/>
      <c r="O4" s="104"/>
      <c r="P4" s="104"/>
      <c r="Q4" s="104"/>
      <c r="R4" s="105"/>
    </row>
    <row r="5" spans="1:18" x14ac:dyDescent="0.25">
      <c r="A5" s="32">
        <v>88</v>
      </c>
      <c r="B5" s="32">
        <v>70</v>
      </c>
      <c r="I5" s="33" t="s">
        <v>13</v>
      </c>
      <c r="J5" s="33">
        <v>137.73684210526315</v>
      </c>
      <c r="K5" s="33">
        <v>96.799999999999841</v>
      </c>
      <c r="M5" s="103"/>
      <c r="N5" s="104"/>
      <c r="O5" s="104"/>
      <c r="P5" s="104"/>
      <c r="Q5" s="104"/>
      <c r="R5" s="105"/>
    </row>
    <row r="6" spans="1:18" x14ac:dyDescent="0.25">
      <c r="A6" s="32">
        <v>70</v>
      </c>
      <c r="B6" s="32">
        <v>76</v>
      </c>
      <c r="D6" s="28" t="s">
        <v>46</v>
      </c>
      <c r="E6" s="113">
        <f>F2/F3</f>
        <v>1.4229012614180101</v>
      </c>
      <c r="F6" s="113"/>
      <c r="I6" s="33" t="s">
        <v>52</v>
      </c>
      <c r="J6" s="33">
        <v>20</v>
      </c>
      <c r="K6" s="33">
        <v>20</v>
      </c>
      <c r="M6" s="106"/>
      <c r="N6" s="107"/>
      <c r="O6" s="107"/>
      <c r="P6" s="107"/>
      <c r="Q6" s="107"/>
      <c r="R6" s="108"/>
    </row>
    <row r="7" spans="1:18" x14ac:dyDescent="0.25">
      <c r="A7" s="32">
        <v>76</v>
      </c>
      <c r="B7" s="32">
        <v>61</v>
      </c>
      <c r="D7" s="28" t="s">
        <v>47</v>
      </c>
      <c r="E7" s="114">
        <v>0.01</v>
      </c>
      <c r="F7" s="115"/>
      <c r="I7" s="33" t="s">
        <v>53</v>
      </c>
      <c r="J7" s="33">
        <v>19</v>
      </c>
      <c r="K7" s="33">
        <v>19</v>
      </c>
    </row>
    <row r="8" spans="1:18" x14ac:dyDescent="0.25">
      <c r="A8" s="32">
        <v>98</v>
      </c>
      <c r="B8" s="32">
        <v>53</v>
      </c>
      <c r="D8" s="28" t="s">
        <v>38</v>
      </c>
      <c r="E8" s="113">
        <f>_xlfn.F.DIST.RT(E6,G2-1,G3-1)</f>
        <v>0.22460949688391502</v>
      </c>
      <c r="F8" s="113"/>
      <c r="I8" s="33" t="s">
        <v>54</v>
      </c>
      <c r="J8" s="33">
        <v>1.4229012614180101</v>
      </c>
      <c r="K8" s="33"/>
    </row>
    <row r="9" spans="1:18" x14ac:dyDescent="0.25">
      <c r="A9" s="32">
        <v>101</v>
      </c>
      <c r="B9" s="32">
        <v>50</v>
      </c>
      <c r="D9" s="28" t="s">
        <v>48</v>
      </c>
      <c r="E9" s="113">
        <f>_xlfn.F.INV.RT(E7,G2-1,G3-1)</f>
        <v>3.0273578825415757</v>
      </c>
      <c r="F9" s="113"/>
      <c r="I9" s="33" t="s">
        <v>55</v>
      </c>
      <c r="J9" s="33">
        <v>0.22460949688391502</v>
      </c>
      <c r="K9" s="33"/>
    </row>
    <row r="10" spans="1:18" ht="15.75" thickBot="1" x14ac:dyDescent="0.3">
      <c r="A10" s="32">
        <v>65</v>
      </c>
      <c r="B10" s="32">
        <v>47</v>
      </c>
      <c r="I10" s="34" t="s">
        <v>56</v>
      </c>
      <c r="J10" s="34">
        <v>3.0273578825415757</v>
      </c>
      <c r="K10" s="34"/>
    </row>
    <row r="11" spans="1:18" x14ac:dyDescent="0.25">
      <c r="A11" s="32">
        <v>73</v>
      </c>
      <c r="B11" s="32">
        <v>61</v>
      </c>
      <c r="D11" s="31" t="s">
        <v>39</v>
      </c>
      <c r="E11" s="29" t="s">
        <v>49</v>
      </c>
    </row>
    <row r="12" spans="1:18" x14ac:dyDescent="0.25">
      <c r="A12" s="32">
        <v>79</v>
      </c>
      <c r="B12" s="32">
        <v>52</v>
      </c>
      <c r="D12" s="31" t="s">
        <v>40</v>
      </c>
      <c r="E12" s="29" t="s">
        <v>50</v>
      </c>
    </row>
    <row r="13" spans="1:18" x14ac:dyDescent="0.25">
      <c r="A13" s="32">
        <v>82</v>
      </c>
      <c r="B13" s="32">
        <v>48</v>
      </c>
    </row>
    <row r="14" spans="1:18" x14ac:dyDescent="0.25">
      <c r="A14" s="32">
        <v>80</v>
      </c>
      <c r="B14" s="32">
        <v>60</v>
      </c>
      <c r="D14" s="118" t="s">
        <v>72</v>
      </c>
      <c r="E14" s="118"/>
      <c r="F14" s="118"/>
    </row>
    <row r="15" spans="1:18" x14ac:dyDescent="0.25">
      <c r="A15" s="32">
        <v>91</v>
      </c>
      <c r="B15" s="32">
        <v>72</v>
      </c>
    </row>
    <row r="16" spans="1:18" x14ac:dyDescent="0.25">
      <c r="A16" s="32">
        <v>93</v>
      </c>
      <c r="B16" s="32">
        <v>57</v>
      </c>
    </row>
    <row r="17" spans="1:11" x14ac:dyDescent="0.25">
      <c r="A17" s="32">
        <v>88</v>
      </c>
      <c r="B17" s="32">
        <v>70</v>
      </c>
      <c r="D17" s="29" t="s">
        <v>57</v>
      </c>
    </row>
    <row r="18" spans="1:11" x14ac:dyDescent="0.25">
      <c r="A18" s="32">
        <v>97</v>
      </c>
      <c r="B18" s="32">
        <v>66</v>
      </c>
    </row>
    <row r="19" spans="1:11" x14ac:dyDescent="0.25">
      <c r="A19" s="32">
        <v>83</v>
      </c>
      <c r="B19" s="32">
        <v>55</v>
      </c>
      <c r="D19" s="28" t="s">
        <v>58</v>
      </c>
      <c r="E19" s="117">
        <f>SQRT(((G2-1)*F2+(G3-1)*F3)/(G2+G3-2))</f>
        <v>10.829054485624841</v>
      </c>
      <c r="F19" s="117"/>
      <c r="I19" t="s">
        <v>64</v>
      </c>
      <c r="J19"/>
      <c r="K19"/>
    </row>
    <row r="20" spans="1:11" ht="15.75" thickBot="1" x14ac:dyDescent="0.3">
      <c r="A20" s="32">
        <v>71</v>
      </c>
      <c r="B20" s="32">
        <v>46</v>
      </c>
      <c r="D20" s="28" t="s">
        <v>60</v>
      </c>
      <c r="E20" s="117">
        <f>(E2-E3)/(E19*SQRT((1/G2)+(1/G3)))</f>
        <v>6.9208240336659621</v>
      </c>
      <c r="F20" s="117"/>
      <c r="I20"/>
      <c r="J20"/>
      <c r="K20"/>
    </row>
    <row r="21" spans="1:11" x14ac:dyDescent="0.25">
      <c r="A21" s="32">
        <v>74</v>
      </c>
      <c r="B21" s="32">
        <v>51</v>
      </c>
      <c r="D21" s="28" t="s">
        <v>47</v>
      </c>
      <c r="E21" s="114">
        <v>0.01</v>
      </c>
      <c r="F21" s="115"/>
      <c r="I21" s="35"/>
      <c r="J21" s="35" t="s">
        <v>22</v>
      </c>
      <c r="K21" s="35" t="s">
        <v>23</v>
      </c>
    </row>
    <row r="22" spans="1:11" x14ac:dyDescent="0.25">
      <c r="D22" s="28" t="s">
        <v>38</v>
      </c>
      <c r="E22" s="113">
        <f>_xlfn.T.DIST.2T(E20,38)</f>
        <v>3.147827649441967E-8</v>
      </c>
      <c r="F22" s="113"/>
      <c r="I22" s="33" t="s">
        <v>6</v>
      </c>
      <c r="J22" s="33">
        <v>81.5</v>
      </c>
      <c r="K22" s="33">
        <v>57.8</v>
      </c>
    </row>
    <row r="23" spans="1:11" x14ac:dyDescent="0.25">
      <c r="D23" s="28" t="s">
        <v>48</v>
      </c>
      <c r="E23" s="117">
        <f>_xlfn.T.INV.2T(E21,38)</f>
        <v>2.711557601913082</v>
      </c>
      <c r="F23" s="117"/>
      <c r="I23" s="33" t="s">
        <v>13</v>
      </c>
      <c r="J23" s="33">
        <v>137.73684210526315</v>
      </c>
      <c r="K23" s="33">
        <v>96.799999999999841</v>
      </c>
    </row>
    <row r="24" spans="1:11" x14ac:dyDescent="0.25">
      <c r="I24" s="33" t="s">
        <v>52</v>
      </c>
      <c r="J24" s="33">
        <v>20</v>
      </c>
      <c r="K24" s="33">
        <v>20</v>
      </c>
    </row>
    <row r="25" spans="1:11" x14ac:dyDescent="0.25">
      <c r="D25" s="31" t="s">
        <v>39</v>
      </c>
      <c r="E25" s="29" t="s">
        <v>61</v>
      </c>
      <c r="I25" s="33" t="s">
        <v>65</v>
      </c>
      <c r="J25" s="33">
        <v>117.2684210526315</v>
      </c>
      <c r="K25" s="33"/>
    </row>
    <row r="26" spans="1:11" x14ac:dyDescent="0.25">
      <c r="D26" s="31" t="s">
        <v>40</v>
      </c>
      <c r="E26" s="29" t="s">
        <v>62</v>
      </c>
      <c r="I26" s="33" t="s">
        <v>66</v>
      </c>
      <c r="J26" s="33">
        <v>0</v>
      </c>
      <c r="K26" s="33"/>
    </row>
    <row r="27" spans="1:11" x14ac:dyDescent="0.25">
      <c r="I27" s="33" t="s">
        <v>53</v>
      </c>
      <c r="J27" s="33">
        <v>38</v>
      </c>
      <c r="K27" s="33"/>
    </row>
    <row r="28" spans="1:11" x14ac:dyDescent="0.25">
      <c r="D28" s="118" t="s">
        <v>63</v>
      </c>
      <c r="E28" s="118"/>
      <c r="F28" s="118"/>
      <c r="I28" s="33" t="s">
        <v>67</v>
      </c>
      <c r="J28" s="33">
        <v>6.9208240336659621</v>
      </c>
      <c r="K28" s="33"/>
    </row>
    <row r="29" spans="1:11" x14ac:dyDescent="0.25">
      <c r="I29" s="33" t="s">
        <v>68</v>
      </c>
      <c r="J29" s="33">
        <v>1.5739138247209835E-8</v>
      </c>
      <c r="K29" s="33"/>
    </row>
    <row r="30" spans="1:11" x14ac:dyDescent="0.25">
      <c r="I30" s="33" t="s">
        <v>69</v>
      </c>
      <c r="J30" s="33">
        <v>2.4285676308590882</v>
      </c>
      <c r="K30" s="33"/>
    </row>
    <row r="31" spans="1:11" x14ac:dyDescent="0.25">
      <c r="I31" s="33" t="s">
        <v>70</v>
      </c>
      <c r="J31" s="33">
        <v>3.147827649441967E-8</v>
      </c>
      <c r="K31" s="33"/>
    </row>
    <row r="32" spans="1:11" ht="15.75" thickBot="1" x14ac:dyDescent="0.3">
      <c r="I32" s="34" t="s">
        <v>71</v>
      </c>
      <c r="J32" s="34">
        <v>2.711557601913082</v>
      </c>
      <c r="K32" s="34"/>
    </row>
    <row r="36" spans="4:11" x14ac:dyDescent="0.25">
      <c r="F36" s="119" t="s">
        <v>81</v>
      </c>
      <c r="G36" s="119"/>
    </row>
    <row r="37" spans="4:11" x14ac:dyDescent="0.25">
      <c r="D37" s="26"/>
      <c r="E37" s="5" t="s">
        <v>6</v>
      </c>
      <c r="F37" s="5" t="s">
        <v>82</v>
      </c>
      <c r="G37" s="5" t="s">
        <v>83</v>
      </c>
    </row>
    <row r="38" spans="4:11" x14ac:dyDescent="0.25">
      <c r="D38" s="7" t="s">
        <v>22</v>
      </c>
      <c r="E38" s="27">
        <f>+E2</f>
        <v>81.5</v>
      </c>
      <c r="F38" s="27">
        <f>E38-_xlfn.CONFIDENCE.T($E$7,SQRT($F$2),$G$2)</f>
        <v>73.992108391411151</v>
      </c>
      <c r="G38" s="27">
        <f>E38+_xlfn.CONFIDENCE.T($E$7,SQRT($F$2),$G$2)</f>
        <v>89.007891608588849</v>
      </c>
      <c r="I38" s="41"/>
      <c r="J38" s="42"/>
      <c r="K38" s="42"/>
    </row>
    <row r="39" spans="4:11" x14ac:dyDescent="0.25">
      <c r="D39" s="7" t="s">
        <v>23</v>
      </c>
      <c r="E39" s="27">
        <f>+E3</f>
        <v>57.8</v>
      </c>
      <c r="F39" s="27">
        <f>E39-_xlfn.CONFIDENCE.T($E$7,SQRT($F$3),$G$3)</f>
        <v>51.505943865777049</v>
      </c>
      <c r="G39" s="27">
        <f>E39+_xlfn.CONFIDENCE.T($E$7,SQRT($F$3),$G$3)</f>
        <v>64.094056134222953</v>
      </c>
      <c r="I39" s="41"/>
      <c r="J39" s="42"/>
      <c r="K39" s="42"/>
    </row>
  </sheetData>
  <mergeCells count="13">
    <mergeCell ref="E23:F23"/>
    <mergeCell ref="D28:F28"/>
    <mergeCell ref="F36:G36"/>
    <mergeCell ref="D14:F14"/>
    <mergeCell ref="E19:F19"/>
    <mergeCell ref="E20:F20"/>
    <mergeCell ref="E21:F21"/>
    <mergeCell ref="E22:F22"/>
    <mergeCell ref="M1:R6"/>
    <mergeCell ref="E6:F6"/>
    <mergeCell ref="E7:F7"/>
    <mergeCell ref="E9:F9"/>
    <mergeCell ref="E8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Tabela Normal Padrão</vt:lpstr>
      <vt:lpstr>Tabela Qui²</vt:lpstr>
      <vt:lpstr>Tabela t de Student</vt:lpstr>
      <vt:lpstr>Tabela F de Snedecor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Windows User</cp:lastModifiedBy>
  <dcterms:created xsi:type="dcterms:W3CDTF">2018-08-08T19:08:47Z</dcterms:created>
  <dcterms:modified xsi:type="dcterms:W3CDTF">2021-04-30T00:06:43Z</dcterms:modified>
</cp:coreProperties>
</file>