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DieseArbeitsmappe"/>
  <mc:AlternateContent xmlns:mc="http://schemas.openxmlformats.org/markup-compatibility/2006">
    <mc:Choice Requires="x15">
      <x15ac:absPath xmlns:x15ac="http://schemas.microsoft.com/office/spreadsheetml/2010/11/ac" url="C:\LocalData\Prive\"/>
    </mc:Choice>
  </mc:AlternateContent>
  <xr:revisionPtr revIDLastSave="0" documentId="13_ncr:1_{82DB20F9-2AFA-4055-9F31-8F8B31BCC65A}" xr6:coauthVersionLast="45" xr6:coauthVersionMax="46" xr10:uidLastSave="{00000000-0000-0000-0000-000000000000}"/>
  <bookViews>
    <workbookView xWindow="-108" yWindow="-108" windowWidth="23256" windowHeight="12576" tabRatio="637" xr2:uid="{00000000-000D-0000-FFFF-FFFF00000000}"/>
  </bookViews>
  <sheets>
    <sheet name="EURO 2020 score sheet" sheetId="1" r:id="rId1"/>
    <sheet name="Country names" sheetId="18" r:id="rId2"/>
    <sheet name="Fair play rating" sheetId="3" r:id="rId3"/>
    <sheet name="European Qualifiers Rankings" sheetId="4" r:id="rId4"/>
    <sheet name="Allocation of 3rd-placed teams" sheetId="2" r:id="rId5"/>
    <sheet name="Hints" sheetId="17" r:id="rId6"/>
    <sheet name="Faktoren" sheetId="6" state="hidden" r:id="rId7"/>
    <sheet name="Gruppendritte" sheetId="15" state="hidden" r:id="rId8"/>
    <sheet name="Eindeutigkeit" sheetId="16" state="hidden" r:id="rId9"/>
    <sheet name="GrpA" sheetId="8" state="hidden" r:id="rId10"/>
    <sheet name="GrpB" sheetId="10" state="hidden" r:id="rId11"/>
    <sheet name="GrpC" sheetId="11" state="hidden" r:id="rId12"/>
    <sheet name="GrpD" sheetId="12" state="hidden" r:id="rId13"/>
    <sheet name="GrpE" sheetId="13" state="hidden" r:id="rId14"/>
    <sheet name="GrpF" sheetId="14" state="hidden" r:id="rId15"/>
  </sheets>
  <definedNames>
    <definedName name="AnzSpiele">Eindeutigkeit!$G$13</definedName>
    <definedName name="DirVergleich3" localSheetId="9">GrpA!$X$17:$X$34</definedName>
    <definedName name="DirVergleich3" localSheetId="10">GrpB!$X$17:$X$34</definedName>
    <definedName name="DirVergleich3" localSheetId="11">GrpC!$X$17:$X$34</definedName>
    <definedName name="DirVergleich3" localSheetId="12">GrpD!$X$17:$X$34</definedName>
    <definedName name="DirVergleich3" localSheetId="13">GrpE!$X$17:$X$34</definedName>
    <definedName name="DirVergleich3" localSheetId="14">GrpF!$X$17:$X$34</definedName>
    <definedName name="DirVergleich3" localSheetId="7">Gruppendritte!$L$18:$L$19</definedName>
    <definedName name="DirVergleich4" localSheetId="9">GrpA!$AC$17:$AC$34</definedName>
    <definedName name="DirVergleich4" localSheetId="10">GrpB!$AC$17:$AC$34</definedName>
    <definedName name="DirVergleich4" localSheetId="11">GrpC!$AC$17:$AC$34</definedName>
    <definedName name="DirVergleich4" localSheetId="12">GrpD!$AC$17:$AC$34</definedName>
    <definedName name="DirVergleich4" localSheetId="13">GrpE!$AC$17:$AC$34</definedName>
    <definedName name="DirVergleich4" localSheetId="14">GrpF!$AC$17:$AC$34</definedName>
    <definedName name="DirVglMschn" localSheetId="9">GrpA!$O$17:$O$34</definedName>
    <definedName name="DirVglMschn" localSheetId="10">GrpB!$O$17:$O$34</definedName>
    <definedName name="DirVglMschn" localSheetId="11">GrpC!$O$17:$O$34</definedName>
    <definedName name="DirVglMschn" localSheetId="12">GrpD!$O$17:$O$34</definedName>
    <definedName name="DirVglMschn" localSheetId="13">GrpE!$O$17:$O$34</definedName>
    <definedName name="DirVglMschn" localSheetId="14">GrpF!$O$17:$O$34</definedName>
    <definedName name="DirVglMschn" localSheetId="7">Gruppendritte!$C$18:$C$19</definedName>
    <definedName name="EindeutigDritte">Gruppendritte!$I$21</definedName>
    <definedName name="EindeutigGruppen">Eindeutigkeit!$D$4</definedName>
    <definedName name="ElfmeterText1">Eindeutigkeit!$I$13</definedName>
    <definedName name="ElfmeterText2">Eindeutigkeit!$I$14</definedName>
    <definedName name="ElfmLinks" localSheetId="9">GrpA!$J$9</definedName>
    <definedName name="ElfmLinks" localSheetId="10">GrpB!$J$9</definedName>
    <definedName name="ElfmLinks" localSheetId="11">GrpC!$J$9</definedName>
    <definedName name="ElfmLinks" localSheetId="12">GrpD!$J$9</definedName>
    <definedName name="ElfmLinks" localSheetId="13">GrpE!$J$9</definedName>
    <definedName name="ElfmLinks" localSheetId="14">GrpF!$J$9</definedName>
    <definedName name="ElfmRechts" localSheetId="9">GrpA!$L$9</definedName>
    <definedName name="ElfmRechts" localSheetId="10">GrpB!$L$9</definedName>
    <definedName name="ElfmRechts" localSheetId="11">GrpC!$L$9</definedName>
    <definedName name="ElfmRechts" localSheetId="12">GrpD!$L$9</definedName>
    <definedName name="ElfmRechts" localSheetId="13">GrpE!$L$9</definedName>
    <definedName name="ElfmRechts" localSheetId="14">GrpF!$L$9</definedName>
    <definedName name="FairPlayMn1">'Fair play rating'!$B$6:$B$21</definedName>
    <definedName name="FairPlayMn2">'Fair play rating'!$E$6:$E$21</definedName>
    <definedName name="FairPlayPkte1">'Fair play rating'!$C$6:$C$21</definedName>
    <definedName name="FairPlayPkte2">'Fair play rating'!$F$6:$F$21</definedName>
    <definedName name="FaktordirV2">Faktoren!$B$6</definedName>
    <definedName name="FaktordirV3">Faktoren!$B$5</definedName>
    <definedName name="FaktorElfm">Faktoren!$B$9</definedName>
    <definedName name="FaktorFairPlay">Faktoren!$B$10</definedName>
    <definedName name="FaktorPkte">Faktoren!$B$4</definedName>
    <definedName name="FaktorRngLi">Faktoren!$B$11</definedName>
    <definedName name="FaktorTDiff">Faktoren!$B$7</definedName>
    <definedName name="FaktorTErz">Faktoren!$B$8</definedName>
    <definedName name="GanzKoeff1" localSheetId="10">GrpB!$AC$4</definedName>
    <definedName name="GanzKoeff1" localSheetId="11">GrpC!$AC$4</definedName>
    <definedName name="GanzKoeff1" localSheetId="12">GrpD!$AC$4</definedName>
    <definedName name="GanzKoeff1" localSheetId="13">GrpE!$AC$4</definedName>
    <definedName name="GanzKoeff1" localSheetId="14">GrpF!$AC$4</definedName>
    <definedName name="GanzKoeff1">GrpA!$AC$4</definedName>
    <definedName name="GanzKoeff2" localSheetId="10">GrpB!$AC$5</definedName>
    <definedName name="GanzKoeff2" localSheetId="11">GrpC!$AC$5</definedName>
    <definedName name="GanzKoeff2" localSheetId="12">GrpD!$AC$5</definedName>
    <definedName name="GanzKoeff2" localSheetId="13">GrpE!$AC$5</definedName>
    <definedName name="GanzKoeff2" localSheetId="14">GrpF!$AC$5</definedName>
    <definedName name="GanzKoeff2">GrpA!$AC$5</definedName>
    <definedName name="GanzKoeff3" localSheetId="10">GrpB!$AC$6</definedName>
    <definedName name="GanzKoeff3" localSheetId="11">GrpC!$AC$6</definedName>
    <definedName name="GanzKoeff3" localSheetId="12">GrpD!$AC$6</definedName>
    <definedName name="GanzKoeff3" localSheetId="13">GrpE!$AC$6</definedName>
    <definedName name="GanzKoeff3" localSheetId="14">GrpF!$AC$6</definedName>
    <definedName name="GanzKoeff3">GrpA!$AC$6</definedName>
    <definedName name="GanzKoeff4" localSheetId="10">GrpB!$AC$7</definedName>
    <definedName name="GanzKoeff4" localSheetId="11">GrpC!$AC$7</definedName>
    <definedName name="GanzKoeff4" localSheetId="12">GrpD!$AC$7</definedName>
    <definedName name="GanzKoeff4" localSheetId="13">GrpE!$AC$7</definedName>
    <definedName name="GanzKoeff4" localSheetId="14">GrpF!$AC$7</definedName>
    <definedName name="GanzKoeff4">GrpA!$AC$7</definedName>
    <definedName name="GrpKombi">Gruppendritte!$I$18</definedName>
    <definedName name="GrpKombin">'Allocation of 3rd-placed teams'!$C$8:$G$22</definedName>
    <definedName name="LetzteBegLinks" localSheetId="9">GrpA!$B$9</definedName>
    <definedName name="LetzteBegLinks" localSheetId="10">GrpB!$B$9</definedName>
    <definedName name="LetzteBegLinks" localSheetId="11">GrpC!$B$9</definedName>
    <definedName name="LetzteBegLinks" localSheetId="12">GrpD!$B$9</definedName>
    <definedName name="LetzteBegLinks" localSheetId="13">GrpE!$B$9</definedName>
    <definedName name="LetzteBegLinks" localSheetId="14">GrpF!$B$9</definedName>
    <definedName name="LetzteBegRechts" localSheetId="9">GrpA!$D$9</definedName>
    <definedName name="LetzteBegRechts" localSheetId="10">GrpB!$D$9</definedName>
    <definedName name="LetzteBegRechts" localSheetId="11">GrpC!$D$9</definedName>
    <definedName name="LetzteBegRechts" localSheetId="12">GrpD!$D$9</definedName>
    <definedName name="LetzteBegRechts" localSheetId="13">GrpE!$D$9</definedName>
    <definedName name="LetzteBegRechts" localSheetId="14">GrpF!$D$9</definedName>
    <definedName name="Mann1" localSheetId="9">GrpA!$B$4</definedName>
    <definedName name="Mann1" localSheetId="10">GrpB!$B$4</definedName>
    <definedName name="Mann1" localSheetId="11">GrpC!$B$4</definedName>
    <definedName name="Mann1" localSheetId="12">GrpD!$B$4</definedName>
    <definedName name="Mann1" localSheetId="13">GrpE!$B$4</definedName>
    <definedName name="Mann1" localSheetId="14">GrpF!$B$4</definedName>
    <definedName name="Mann2" localSheetId="9">GrpA!$D$4</definedName>
    <definedName name="Mann2" localSheetId="10">GrpB!$D$4</definedName>
    <definedName name="Mann2" localSheetId="11">GrpC!$D$4</definedName>
    <definedName name="Mann2" localSheetId="12">GrpD!$D$4</definedName>
    <definedName name="Mann2" localSheetId="13">GrpE!$D$4</definedName>
    <definedName name="Mann2" localSheetId="14">GrpF!$D$4</definedName>
    <definedName name="Mann3" localSheetId="9">GrpA!$B$5</definedName>
    <definedName name="Mann3" localSheetId="10">GrpB!$B$5</definedName>
    <definedName name="Mann3" localSheetId="11">GrpC!$B$5</definedName>
    <definedName name="Mann3" localSheetId="12">GrpD!$B$5</definedName>
    <definedName name="Mann3" localSheetId="13">GrpE!$B$5</definedName>
    <definedName name="Mann3" localSheetId="14">GrpF!$B$5</definedName>
    <definedName name="Mann4" localSheetId="9">GrpA!$D$5</definedName>
    <definedName name="Mann4" localSheetId="10">GrpB!$D$5</definedName>
    <definedName name="Mann4" localSheetId="11">GrpC!$D$5</definedName>
    <definedName name="Mann4" localSheetId="12">GrpD!$D$5</definedName>
    <definedName name="Mann4" localSheetId="13">GrpE!$D$5</definedName>
    <definedName name="Mann4" localSheetId="14">GrpF!$D$5</definedName>
    <definedName name="Meldung1a">Eindeutigkeit!$I$3</definedName>
    <definedName name="Meldung1b">Eindeutigkeit!$I$7</definedName>
    <definedName name="Meldung2a">Eindeutigkeit!$I$4</definedName>
    <definedName name="Meldung2b">Eindeutigkeit!$I$8</definedName>
    <definedName name="Meldung2ok">Eindeutigkeit!$I$10</definedName>
    <definedName name="Meldung3">Eindeutigkeit!$I$5</definedName>
    <definedName name="Meldung3ok">Eindeutigkeit!$I$11</definedName>
    <definedName name="MschnLinks" localSheetId="9">GrpA!$B$4:$B$9</definedName>
    <definedName name="MschnLinks" localSheetId="10">GrpB!$B$4:$B$9</definedName>
    <definedName name="MschnLinks" localSheetId="11">GrpC!$B$4:$B$9</definedName>
    <definedName name="MschnLinks" localSheetId="12">GrpD!$B$4:$B$9</definedName>
    <definedName name="MschnLinks" localSheetId="13">GrpE!$B$4:$B$9</definedName>
    <definedName name="MschnLinks" localSheetId="14">GrpF!$B$4:$B$9</definedName>
    <definedName name="MschnRechts" localSheetId="9">GrpA!$D$4:$D$9</definedName>
    <definedName name="MschnRechts" localSheetId="10">GrpB!$D$4:$D$9</definedName>
    <definedName name="MschnRechts" localSheetId="11">GrpC!$D$4:$D$9</definedName>
    <definedName name="MschnRechts" localSheetId="12">GrpD!$D$4:$D$9</definedName>
    <definedName name="MschnRechts" localSheetId="13">GrpE!$D$4:$D$9</definedName>
    <definedName name="MschnRechts" localSheetId="14">GrpF!$D$4:$D$9</definedName>
    <definedName name="Pkte1" localSheetId="9">GrpA!$P$4</definedName>
    <definedName name="Pkte1" localSheetId="10">GrpB!$P$4</definedName>
    <definedName name="Pkte1" localSheetId="11">GrpC!$P$4</definedName>
    <definedName name="Pkte1" localSheetId="12">GrpD!$P$4</definedName>
    <definedName name="Pkte1" localSheetId="13">GrpE!$P$4</definedName>
    <definedName name="Pkte1" localSheetId="14">GrpF!$P$4</definedName>
    <definedName name="Pkte1" localSheetId="7">Gruppendritte!$D$4</definedName>
    <definedName name="Pkte2" localSheetId="9">GrpA!$P$5</definedName>
    <definedName name="Pkte2" localSheetId="10">GrpB!$P$5</definedName>
    <definedName name="Pkte2" localSheetId="11">GrpC!$P$5</definedName>
    <definedName name="Pkte2" localSheetId="12">GrpD!$P$5</definedName>
    <definedName name="Pkte2" localSheetId="13">GrpE!$P$5</definedName>
    <definedName name="Pkte2" localSheetId="14">GrpF!$P$5</definedName>
    <definedName name="Pkte2" localSheetId="7">Gruppendritte!$D$5</definedName>
    <definedName name="Pkte3" localSheetId="9">GrpA!$P$6</definedName>
    <definedName name="Pkte3" localSheetId="10">GrpB!$P$6</definedName>
    <definedName name="Pkte3" localSheetId="11">GrpC!$P$6</definedName>
    <definedName name="Pkte3" localSheetId="12">GrpD!$P$6</definedName>
    <definedName name="Pkte3" localSheetId="13">GrpE!$P$6</definedName>
    <definedName name="Pkte3" localSheetId="14">GrpF!$P$6</definedName>
    <definedName name="Pkte3" localSheetId="7">Gruppendritte!$D$6</definedName>
    <definedName name="Pkte4" localSheetId="9">GrpA!$P$7</definedName>
    <definedName name="Pkte4" localSheetId="10">GrpB!$P$7</definedName>
    <definedName name="Pkte4" localSheetId="11">GrpC!$P$7</definedName>
    <definedName name="Pkte4" localSheetId="12">GrpD!$P$7</definedName>
    <definedName name="Pkte4" localSheetId="13">GrpE!$P$7</definedName>
    <definedName name="Pkte4" localSheetId="14">GrpF!$P$7</definedName>
    <definedName name="Pkte4" localSheetId="7">Gruppendritte!$D$7</definedName>
    <definedName name="PkteLinks" localSheetId="9">GrpA!$H$4:$H$9</definedName>
    <definedName name="PkteLinks" localSheetId="10">GrpB!$H$4:$H$9</definedName>
    <definedName name="PkteLinks" localSheetId="11">GrpC!$H$4:$H$9</definedName>
    <definedName name="PkteLinks" localSheetId="12">GrpD!$H$4:$H$9</definedName>
    <definedName name="PkteLinks" localSheetId="13">GrpE!$H$4:$H$9</definedName>
    <definedName name="PkteLinks" localSheetId="14">GrpF!$H$4:$H$9</definedName>
    <definedName name="PkteRechts" localSheetId="9">GrpA!$I$4:$I$9</definedName>
    <definedName name="PkteRechts" localSheetId="10">GrpB!$I$4:$I$9</definedName>
    <definedName name="PkteRechts" localSheetId="11">GrpC!$I$4:$I$9</definedName>
    <definedName name="PkteRechts" localSheetId="12">GrpD!$I$4:$I$9</definedName>
    <definedName name="PkteRechts" localSheetId="13">GrpE!$I$4:$I$9</definedName>
    <definedName name="PkteRechts" localSheetId="14">GrpF!$I$4:$I$9</definedName>
    <definedName name="RngLiLand">'European Qualifiers Rankings'!$E$7:$E$30</definedName>
    <definedName name="RngLiRang">'European Qualifiers Rankings'!$D$7:$D$30</definedName>
    <definedName name="Spiele" localSheetId="9">GrpA!$B$4:$L$9</definedName>
    <definedName name="Spiele" localSheetId="10">GrpB!$B$4:$L$9</definedName>
    <definedName name="Spiele" localSheetId="11">GrpC!$B$4:$L$9</definedName>
    <definedName name="Spiele" localSheetId="12">GrpD!$B$4:$L$9</definedName>
    <definedName name="Spiele" localSheetId="13">GrpE!$B$4:$L$9</definedName>
    <definedName name="Spiele" localSheetId="14">GrpF!$B$4:$L$9</definedName>
    <definedName name="ToreLinks" localSheetId="9">GrpA!$E$4:$E$9</definedName>
    <definedName name="ToreLinks" localSheetId="10">GrpB!$E$4:$E$9</definedName>
    <definedName name="ToreLinks" localSheetId="11">GrpC!$E$4:$E$9</definedName>
    <definedName name="ToreLinks" localSheetId="12">GrpD!$E$4:$E$9</definedName>
    <definedName name="ToreLinks" localSheetId="13">GrpE!$E$4:$E$9</definedName>
    <definedName name="ToreLinks" localSheetId="14">GrpF!$E$4:$E$9</definedName>
    <definedName name="ToreRechts" localSheetId="9">GrpA!$G$4:$G$9</definedName>
    <definedName name="ToreRechts" localSheetId="10">GrpB!$G$4:$G$9</definedName>
    <definedName name="ToreRechts" localSheetId="11">GrpC!$G$4:$G$9</definedName>
    <definedName name="ToreRechts" localSheetId="12">GrpD!$G$4:$G$9</definedName>
    <definedName name="ToreRechts" localSheetId="13">GrpE!$G$4:$G$9</definedName>
    <definedName name="ToreRechts" localSheetId="14">GrpF!$G$4:$G$9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4" i="18" l="1"/>
  <c r="C33" i="18"/>
  <c r="C32" i="18"/>
  <c r="C31" i="18"/>
  <c r="C29" i="18"/>
  <c r="C28" i="18"/>
  <c r="C27" i="18"/>
  <c r="C26" i="18"/>
  <c r="C24" i="18"/>
  <c r="C23" i="18"/>
  <c r="C22" i="18"/>
  <c r="C21" i="18"/>
  <c r="C19" i="18"/>
  <c r="C18" i="18"/>
  <c r="C17" i="18"/>
  <c r="C16" i="18"/>
  <c r="C14" i="18"/>
  <c r="C13" i="18"/>
  <c r="C12" i="18"/>
  <c r="C11" i="18"/>
  <c r="C9" i="18"/>
  <c r="C8" i="18"/>
  <c r="C7" i="18"/>
  <c r="C6" i="18"/>
  <c r="E7" i="14"/>
  <c r="G6" i="14"/>
  <c r="G7" i="13"/>
  <c r="L9" i="11"/>
  <c r="E5" i="8"/>
  <c r="E4" i="11"/>
  <c r="G9" i="13"/>
  <c r="E8" i="11"/>
  <c r="E6" i="14"/>
  <c r="L8" i="12"/>
  <c r="J8" i="10"/>
  <c r="G4" i="13"/>
  <c r="G5" i="8"/>
  <c r="J9" i="12"/>
  <c r="L9" i="10"/>
  <c r="G4" i="14"/>
  <c r="E9" i="11"/>
  <c r="E8" i="8"/>
  <c r="G9" i="10"/>
  <c r="G5" i="13"/>
  <c r="E5" i="11"/>
  <c r="E7" i="8"/>
  <c r="G8" i="11"/>
  <c r="L8" i="14"/>
  <c r="G5" i="11"/>
  <c r="G8" i="8"/>
  <c r="J8" i="13"/>
  <c r="G8" i="10"/>
  <c r="E5" i="13"/>
  <c r="G5" i="14"/>
  <c r="G8" i="13"/>
  <c r="J8" i="11"/>
  <c r="E8" i="14"/>
  <c r="L9" i="8"/>
  <c r="G5" i="12"/>
  <c r="E8" i="10"/>
  <c r="E4" i="14"/>
  <c r="G9" i="8"/>
  <c r="J9" i="13"/>
  <c r="E9" i="10"/>
  <c r="J9" i="14"/>
  <c r="G9" i="11"/>
  <c r="E9" i="8"/>
  <c r="L9" i="12"/>
  <c r="G7" i="14"/>
  <c r="G7" i="12"/>
  <c r="L8" i="8"/>
  <c r="G6" i="13"/>
  <c r="G4" i="11"/>
  <c r="E7" i="13"/>
  <c r="G7" i="8"/>
  <c r="E6" i="13"/>
  <c r="G5" i="10"/>
  <c r="J8" i="14"/>
  <c r="E7" i="10"/>
  <c r="E4" i="13"/>
  <c r="L8" i="11"/>
  <c r="E5" i="14"/>
  <c r="E6" i="12"/>
  <c r="L8" i="10"/>
  <c r="E7" i="11"/>
  <c r="G6" i="8"/>
  <c r="G4" i="12"/>
  <c r="E6" i="10"/>
  <c r="E7" i="12"/>
  <c r="J8" i="12"/>
  <c r="J9" i="8"/>
  <c r="G9" i="12"/>
  <c r="G8" i="14"/>
  <c r="G6" i="12"/>
  <c r="J9" i="10"/>
  <c r="E8" i="13"/>
  <c r="J9" i="11"/>
  <c r="E6" i="8"/>
  <c r="E5" i="10"/>
  <c r="E9" i="13"/>
  <c r="E6" i="11"/>
  <c r="G4" i="8"/>
  <c r="G8" i="12"/>
  <c r="E4" i="10"/>
  <c r="E5" i="12"/>
  <c r="E9" i="14"/>
  <c r="E8" i="12"/>
  <c r="G4" i="10"/>
  <c r="L9" i="13"/>
  <c r="G9" i="14"/>
  <c r="E9" i="12"/>
  <c r="G7" i="10"/>
  <c r="L8" i="13"/>
  <c r="G6" i="11"/>
  <c r="E4" i="8"/>
  <c r="G6" i="10"/>
  <c r="L9" i="14"/>
  <c r="E4" i="12"/>
  <c r="J8" i="8"/>
  <c r="G7" i="11"/>
  <c r="M4" i="14" l="1"/>
  <c r="M8" i="14"/>
  <c r="M5" i="14"/>
  <c r="M9" i="14"/>
  <c r="M6" i="14"/>
  <c r="M7" i="14"/>
  <c r="M6" i="13"/>
  <c r="M4" i="13"/>
  <c r="M8" i="13"/>
  <c r="M5" i="13"/>
  <c r="M9" i="13"/>
  <c r="M7" i="13"/>
  <c r="M4" i="12"/>
  <c r="M6" i="12"/>
  <c r="M8" i="12"/>
  <c r="M5" i="12"/>
  <c r="M9" i="12"/>
  <c r="M7" i="12"/>
  <c r="M4" i="11"/>
  <c r="M6" i="11"/>
  <c r="M8" i="11"/>
  <c r="M5" i="11"/>
  <c r="M9" i="11"/>
  <c r="M7" i="11"/>
  <c r="M7" i="10"/>
  <c r="M4" i="10"/>
  <c r="M6" i="10"/>
  <c r="M8" i="10"/>
  <c r="M5" i="10"/>
  <c r="M9" i="10"/>
  <c r="E21" i="4"/>
  <c r="E26" i="4"/>
  <c r="E7" i="4"/>
  <c r="E18" i="4"/>
  <c r="E8" i="4"/>
  <c r="E25" i="4"/>
  <c r="E15" i="4"/>
  <c r="E20" i="4"/>
  <c r="I8" i="14" l="1"/>
  <c r="H8" i="14"/>
  <c r="I7" i="14"/>
  <c r="H7" i="14"/>
  <c r="I6" i="14"/>
  <c r="H6" i="14"/>
  <c r="H9" i="14"/>
  <c r="I9" i="14"/>
  <c r="H5" i="14"/>
  <c r="I5" i="14"/>
  <c r="H4" i="14"/>
  <c r="Z11" i="14"/>
  <c r="I4" i="14"/>
  <c r="Z11" i="13"/>
  <c r="I4" i="13"/>
  <c r="H4" i="13"/>
  <c r="H7" i="13"/>
  <c r="I7" i="13"/>
  <c r="H9" i="13"/>
  <c r="I9" i="13"/>
  <c r="H5" i="13"/>
  <c r="I5" i="13"/>
  <c r="I8" i="13"/>
  <c r="H8" i="13"/>
  <c r="I6" i="13"/>
  <c r="H6" i="13"/>
  <c r="H9" i="12"/>
  <c r="I9" i="12"/>
  <c r="I6" i="12"/>
  <c r="H6" i="12"/>
  <c r="H5" i="12"/>
  <c r="I5" i="12"/>
  <c r="I8" i="12"/>
  <c r="H8" i="12"/>
  <c r="H4" i="12"/>
  <c r="Z11" i="12"/>
  <c r="I4" i="12"/>
  <c r="I7" i="12"/>
  <c r="H7" i="12"/>
  <c r="I8" i="11"/>
  <c r="H8" i="11"/>
  <c r="H5" i="11"/>
  <c r="I5" i="11"/>
  <c r="I7" i="11"/>
  <c r="H7" i="11"/>
  <c r="I6" i="11"/>
  <c r="H6" i="11"/>
  <c r="H9" i="11"/>
  <c r="I9" i="11"/>
  <c r="Z11" i="11"/>
  <c r="H4" i="11"/>
  <c r="I4" i="11"/>
  <c r="I7" i="10"/>
  <c r="H7" i="10"/>
  <c r="I9" i="10"/>
  <c r="H9" i="10"/>
  <c r="I6" i="10"/>
  <c r="H6" i="10"/>
  <c r="H4" i="10"/>
  <c r="Z11" i="10"/>
  <c r="I4" i="10"/>
  <c r="I5" i="10"/>
  <c r="H5" i="10"/>
  <c r="H8" i="10"/>
  <c r="I8" i="10"/>
  <c r="E10" i="4"/>
  <c r="Q32" i="1"/>
  <c r="R27" i="1"/>
  <c r="R17" i="1"/>
  <c r="E13" i="4"/>
  <c r="R39" i="1"/>
  <c r="R22" i="1"/>
  <c r="Q17" i="1"/>
  <c r="E19" i="4"/>
  <c r="Q39" i="1"/>
  <c r="R12" i="1"/>
  <c r="Q27" i="1"/>
  <c r="E30" i="4"/>
  <c r="Q22" i="1"/>
  <c r="R32" i="1"/>
  <c r="Q12" i="1"/>
  <c r="E23" i="4"/>
  <c r="O17" i="1"/>
  <c r="N39" i="1"/>
  <c r="N22" i="1"/>
  <c r="E11" i="4"/>
  <c r="O32" i="1"/>
  <c r="N27" i="1"/>
  <c r="N17" i="1"/>
  <c r="E27" i="4"/>
  <c r="O22" i="1"/>
  <c r="O12" i="1"/>
  <c r="N32" i="1"/>
  <c r="E14" i="4"/>
  <c r="O39" i="1"/>
  <c r="N12" i="1"/>
  <c r="O27" i="1"/>
  <c r="E24" i="4"/>
  <c r="L22" i="1"/>
  <c r="K39" i="1"/>
  <c r="L17" i="1"/>
  <c r="E28" i="4"/>
  <c r="L32" i="1"/>
  <c r="K17" i="1"/>
  <c r="L27" i="1"/>
  <c r="E16" i="4"/>
  <c r="K32" i="1"/>
  <c r="L12" i="1"/>
  <c r="K22" i="1"/>
  <c r="E9" i="4"/>
  <c r="K27" i="1"/>
  <c r="L39" i="1"/>
  <c r="K12" i="1"/>
  <c r="E12" i="4"/>
  <c r="I17" i="1"/>
  <c r="H39" i="1"/>
  <c r="H22" i="1"/>
  <c r="E17" i="4"/>
  <c r="H27" i="1"/>
  <c r="I32" i="1"/>
  <c r="H17" i="1"/>
  <c r="E29" i="4"/>
  <c r="H32" i="1"/>
  <c r="I12" i="1"/>
  <c r="I22" i="1"/>
  <c r="E22" i="4"/>
  <c r="I27" i="1"/>
  <c r="H12" i="1"/>
  <c r="I39" i="1"/>
  <c r="E32" i="1"/>
  <c r="C32" i="1"/>
  <c r="B32" i="1"/>
  <c r="E17" i="1"/>
  <c r="C27" i="1"/>
  <c r="F27" i="1"/>
  <c r="F32" i="1"/>
  <c r="F22" i="1"/>
  <c r="B17" i="1"/>
  <c r="C22" i="1"/>
  <c r="F12" i="1"/>
  <c r="B12" i="1"/>
  <c r="C39" i="1"/>
  <c r="E22" i="1"/>
  <c r="B22" i="1"/>
  <c r="C17" i="1"/>
  <c r="E39" i="1"/>
  <c r="B27" i="1"/>
  <c r="E12" i="1"/>
  <c r="F39" i="1"/>
  <c r="C12" i="1"/>
  <c r="B39" i="1"/>
  <c r="E27" i="1"/>
  <c r="F17" i="1"/>
  <c r="L82" i="1"/>
  <c r="R72" i="1"/>
  <c r="F72" i="1"/>
  <c r="U64" i="1"/>
  <c r="O64" i="1"/>
  <c r="I64" i="1"/>
  <c r="C64" i="1"/>
  <c r="W56" i="1"/>
  <c r="T56" i="1"/>
  <c r="Q56" i="1"/>
  <c r="N56" i="1"/>
  <c r="K56" i="1"/>
  <c r="H56" i="1"/>
  <c r="E56" i="1"/>
  <c r="B56" i="1"/>
  <c r="D7" i="14"/>
  <c r="D9" i="11"/>
  <c r="B5" i="11"/>
  <c r="B6" i="8"/>
  <c r="D8" i="11"/>
  <c r="D4" i="12"/>
  <c r="B5" i="8"/>
  <c r="D8" i="8"/>
  <c r="B9" i="12"/>
  <c r="D7" i="12"/>
  <c r="B6" i="11"/>
  <c r="D7" i="13"/>
  <c r="B4" i="12"/>
  <c r="D4" i="10"/>
  <c r="B9" i="8"/>
  <c r="D4" i="8"/>
  <c r="B5" i="10"/>
  <c r="B5" i="14"/>
  <c r="D9" i="10"/>
  <c r="D8" i="14"/>
  <c r="D8" i="13"/>
  <c r="D4" i="14"/>
  <c r="D5" i="8"/>
  <c r="B8" i="14"/>
  <c r="D5" i="11"/>
  <c r="B4" i="10"/>
  <c r="D6" i="8"/>
  <c r="B7" i="11"/>
  <c r="B4" i="11"/>
  <c r="B6" i="10"/>
  <c r="B5" i="13"/>
  <c r="B9" i="14"/>
  <c r="D7" i="11"/>
  <c r="B9" i="13"/>
  <c r="B8" i="12"/>
  <c r="D9" i="12"/>
  <c r="D6" i="11"/>
  <c r="D5" i="12"/>
  <c r="B8" i="11"/>
  <c r="B4" i="8"/>
  <c r="D5" i="14"/>
  <c r="D7" i="10"/>
  <c r="B9" i="11"/>
  <c r="B6" i="13"/>
  <c r="D8" i="12"/>
  <c r="B6" i="14"/>
  <c r="D7" i="8"/>
  <c r="D6" i="12"/>
  <c r="D9" i="8"/>
  <c r="D6" i="14"/>
  <c r="D9" i="14"/>
  <c r="B7" i="13"/>
  <c r="B8" i="8"/>
  <c r="B8" i="10"/>
  <c r="D6" i="13"/>
  <c r="D6" i="10"/>
  <c r="B4" i="14"/>
  <c r="D9" i="13"/>
  <c r="B7" i="14"/>
  <c r="D4" i="11"/>
  <c r="B4" i="13"/>
  <c r="D4" i="13"/>
  <c r="D8" i="10"/>
  <c r="D5" i="10"/>
  <c r="B7" i="8"/>
  <c r="B8" i="13"/>
  <c r="B7" i="12"/>
  <c r="B9" i="10"/>
  <c r="D5" i="13"/>
  <c r="B6" i="12"/>
  <c r="B5" i="12"/>
  <c r="B7" i="10"/>
  <c r="O33" i="10" l="1"/>
  <c r="O19" i="10"/>
  <c r="O28" i="10"/>
  <c r="D19" i="10"/>
  <c r="O25" i="10"/>
  <c r="O6" i="10"/>
  <c r="P6" i="10" s="1"/>
  <c r="O34" i="11"/>
  <c r="O24" i="11"/>
  <c r="O7" i="11"/>
  <c r="P7" i="11" s="1"/>
  <c r="O20" i="11"/>
  <c r="O29" i="11"/>
  <c r="D20" i="11"/>
  <c r="O7" i="13"/>
  <c r="O20" i="13"/>
  <c r="O29" i="13"/>
  <c r="O34" i="13"/>
  <c r="O24" i="13"/>
  <c r="D20" i="13"/>
  <c r="O34" i="12"/>
  <c r="O24" i="12"/>
  <c r="D20" i="12"/>
  <c r="O7" i="12"/>
  <c r="P7" i="12" s="1"/>
  <c r="O20" i="12"/>
  <c r="O29" i="12"/>
  <c r="D20" i="14"/>
  <c r="O7" i="14"/>
  <c r="P7" i="14" s="1"/>
  <c r="O20" i="14"/>
  <c r="O29" i="14"/>
  <c r="O34" i="14"/>
  <c r="O24" i="14"/>
  <c r="O34" i="10"/>
  <c r="O24" i="10"/>
  <c r="D20" i="10"/>
  <c r="O7" i="10"/>
  <c r="P7" i="10" s="1"/>
  <c r="O20" i="10"/>
  <c r="O29" i="10"/>
  <c r="D19" i="11"/>
  <c r="O25" i="11"/>
  <c r="O6" i="11"/>
  <c r="P6" i="11" s="1"/>
  <c r="O33" i="11"/>
  <c r="O19" i="11"/>
  <c r="O28" i="11"/>
  <c r="O35" i="14"/>
  <c r="O27" i="14"/>
  <c r="O4" i="14"/>
  <c r="P4" i="14" s="1"/>
  <c r="O22" i="14"/>
  <c r="D17" i="14"/>
  <c r="O17" i="14"/>
  <c r="O17" i="12"/>
  <c r="O35" i="12"/>
  <c r="O4" i="12"/>
  <c r="P4" i="12" s="1"/>
  <c r="O22" i="12"/>
  <c r="D17" i="12"/>
  <c r="O27" i="12"/>
  <c r="O25" i="13"/>
  <c r="O6" i="13"/>
  <c r="P6" i="13" s="1"/>
  <c r="O33" i="13"/>
  <c r="O19" i="13"/>
  <c r="D19" i="13"/>
  <c r="O28" i="13"/>
  <c r="O25" i="14"/>
  <c r="O6" i="14"/>
  <c r="O33" i="14"/>
  <c r="O19" i="14"/>
  <c r="D19" i="14"/>
  <c r="O28" i="14"/>
  <c r="O35" i="11"/>
  <c r="O4" i="11"/>
  <c r="P4" i="11" s="1"/>
  <c r="O22" i="11"/>
  <c r="D17" i="11"/>
  <c r="O17" i="11"/>
  <c r="O27" i="11"/>
  <c r="D19" i="12"/>
  <c r="O25" i="12"/>
  <c r="O6" i="12"/>
  <c r="P6" i="12" s="1"/>
  <c r="O33" i="12"/>
  <c r="O19" i="12"/>
  <c r="O28" i="12"/>
  <c r="O17" i="13"/>
  <c r="O27" i="13"/>
  <c r="O22" i="13"/>
  <c r="D17" i="13"/>
  <c r="O35" i="13"/>
  <c r="O4" i="13"/>
  <c r="P4" i="13" s="1"/>
  <c r="O17" i="10"/>
  <c r="O27" i="10"/>
  <c r="O35" i="10"/>
  <c r="O4" i="10"/>
  <c r="P4" i="10" s="1"/>
  <c r="O22" i="10"/>
  <c r="D17" i="10"/>
  <c r="O5" i="10"/>
  <c r="O30" i="10"/>
  <c r="D18" i="10"/>
  <c r="O18" i="10"/>
  <c r="O23" i="10"/>
  <c r="S23" i="10" s="1" a="1"/>
  <c r="S23" i="10" s="1"/>
  <c r="O32" i="10"/>
  <c r="O18" i="11"/>
  <c r="S18" i="11" s="1" a="1"/>
  <c r="S18" i="11" s="1"/>
  <c r="O23" i="11"/>
  <c r="O32" i="11"/>
  <c r="O30" i="11"/>
  <c r="O5" i="11"/>
  <c r="P5" i="11" s="1"/>
  <c r="D18" i="11"/>
  <c r="O18" i="12"/>
  <c r="O23" i="12"/>
  <c r="O32" i="12"/>
  <c r="O30" i="12"/>
  <c r="D18" i="12"/>
  <c r="O5" i="12"/>
  <c r="P5" i="12" s="1"/>
  <c r="O5" i="13"/>
  <c r="P5" i="13" s="1"/>
  <c r="D18" i="13"/>
  <c r="O18" i="13"/>
  <c r="O23" i="13"/>
  <c r="O32" i="13"/>
  <c r="O30" i="13"/>
  <c r="O5" i="14"/>
  <c r="O32" i="14"/>
  <c r="O30" i="14"/>
  <c r="D18" i="14"/>
  <c r="O18" i="14"/>
  <c r="O23" i="14"/>
  <c r="P7" i="13"/>
  <c r="P19" i="10" a="1"/>
  <c r="P19" i="10" s="1"/>
  <c r="E21" i="3"/>
  <c r="B21" i="3"/>
  <c r="E20" i="3"/>
  <c r="B20" i="3"/>
  <c r="E19" i="3"/>
  <c r="B19" i="3"/>
  <c r="E18" i="3"/>
  <c r="B18" i="3"/>
  <c r="E15" i="3"/>
  <c r="B15" i="3"/>
  <c r="E14" i="3"/>
  <c r="B14" i="3"/>
  <c r="E13" i="3"/>
  <c r="B13" i="3"/>
  <c r="E12" i="3"/>
  <c r="B12" i="3"/>
  <c r="E9" i="3"/>
  <c r="B9" i="3"/>
  <c r="E8" i="3"/>
  <c r="B8" i="3"/>
  <c r="E7" i="3"/>
  <c r="B7" i="3"/>
  <c r="E6" i="3"/>
  <c r="B6" i="3"/>
  <c r="R33" i="10" l="1" a="1"/>
  <c r="R33" i="10" s="1"/>
  <c r="P19" i="11" a="1"/>
  <c r="P19" i="11" s="1"/>
  <c r="R33" i="14" a="1"/>
  <c r="R33" i="14" s="1"/>
  <c r="R19" i="10" a="1"/>
  <c r="R19" i="10" s="1"/>
  <c r="R17" i="11" a="1"/>
  <c r="R17" i="11" s="1"/>
  <c r="P33" i="13" a="1"/>
  <c r="P33" i="13" s="1"/>
  <c r="S19" i="10" a="1"/>
  <c r="S19" i="10" s="1"/>
  <c r="S28" i="13" a="1"/>
  <c r="S28" i="13" s="1"/>
  <c r="P32" i="13" a="1"/>
  <c r="P32" i="13" s="1"/>
  <c r="R19" i="14" a="1"/>
  <c r="R19" i="14" s="1"/>
  <c r="S17" i="13" a="1"/>
  <c r="S17" i="13" s="1"/>
  <c r="P34" i="12" a="1"/>
  <c r="P34" i="12" s="1"/>
  <c r="P18" i="14" a="1"/>
  <c r="P18" i="14" s="1"/>
  <c r="R17" i="10" a="1"/>
  <c r="R17" i="10" s="1"/>
  <c r="S29" i="14" a="1"/>
  <c r="S29" i="14" s="1"/>
  <c r="R32" i="14" a="1"/>
  <c r="R32" i="14" s="1"/>
  <c r="P24" i="13" a="1"/>
  <c r="P24" i="13" s="1"/>
  <c r="P24" i="12" a="1"/>
  <c r="P24" i="12" s="1"/>
  <c r="S33" i="12" a="1"/>
  <c r="S33" i="12" s="1"/>
  <c r="R17" i="14" a="1"/>
  <c r="R17" i="14" s="1"/>
  <c r="P34" i="14" a="1"/>
  <c r="P34" i="14" s="1"/>
  <c r="R34" i="12" a="1"/>
  <c r="R34" i="12" s="1"/>
  <c r="P33" i="11" a="1"/>
  <c r="P33" i="11" s="1"/>
  <c r="R24" i="10" a="1"/>
  <c r="R24" i="10" s="1"/>
  <c r="R28" i="11" a="1"/>
  <c r="R28" i="11" s="1"/>
  <c r="R29" i="10" a="1"/>
  <c r="R29" i="10" s="1"/>
  <c r="P24" i="11" a="1"/>
  <c r="P24" i="11" s="1"/>
  <c r="R22" i="11" a="1"/>
  <c r="R22" i="11" s="1"/>
  <c r="R22" i="14" a="1"/>
  <c r="R22" i="14" s="1"/>
  <c r="R19" i="13" a="1"/>
  <c r="R19" i="13" s="1"/>
  <c r="R18" i="13" a="1"/>
  <c r="R18" i="13" s="1"/>
  <c r="P24" i="10" a="1"/>
  <c r="P24" i="10" s="1"/>
  <c r="P17" i="14" a="1"/>
  <c r="P17" i="14" s="1"/>
  <c r="P28" i="13" a="1"/>
  <c r="P28" i="13" s="1"/>
  <c r="P22" i="14" a="1"/>
  <c r="P22" i="14" s="1"/>
  <c r="S24" i="10" a="1"/>
  <c r="S24" i="10" s="1"/>
  <c r="P29" i="12" a="1"/>
  <c r="P29" i="12" s="1"/>
  <c r="R24" i="11" a="1"/>
  <c r="R24" i="11" s="1"/>
  <c r="P29" i="11" a="1"/>
  <c r="P29" i="11" s="1"/>
  <c r="P27" i="10" a="1"/>
  <c r="P27" i="10" s="1"/>
  <c r="R32" i="11" a="1"/>
  <c r="R32" i="11" s="1"/>
  <c r="P28" i="12" a="1"/>
  <c r="P28" i="12" s="1"/>
  <c r="S34" i="14" a="1"/>
  <c r="S34" i="14" s="1"/>
  <c r="P28" i="10" a="1"/>
  <c r="P28" i="10" s="1"/>
  <c r="P32" i="10" a="1"/>
  <c r="P32" i="10" s="1"/>
  <c r="P29" i="10" a="1"/>
  <c r="P29" i="10" s="1"/>
  <c r="P28" i="11" a="1"/>
  <c r="P28" i="11" s="1"/>
  <c r="P19" i="14" a="1"/>
  <c r="P19" i="14" s="1"/>
  <c r="P18" i="10" a="1"/>
  <c r="P18" i="10" s="1"/>
  <c r="S19" i="11" a="1"/>
  <c r="S19" i="11" s="1"/>
  <c r="P17" i="11" a="1"/>
  <c r="P17" i="11" s="1"/>
  <c r="S24" i="13" a="1"/>
  <c r="S24" i="13" s="1"/>
  <c r="P27" i="12" a="1"/>
  <c r="P27" i="12" s="1"/>
  <c r="S17" i="12" a="1"/>
  <c r="S17" i="12" s="1"/>
  <c r="R34" i="11" a="1"/>
  <c r="R34" i="11" s="1"/>
  <c r="P17" i="10" a="1"/>
  <c r="P17" i="10" s="1"/>
  <c r="S34" i="13" a="1"/>
  <c r="S34" i="13" s="1"/>
  <c r="P18" i="11" a="1"/>
  <c r="P18" i="11" s="1"/>
  <c r="R22" i="10" a="1"/>
  <c r="R22" i="10" s="1"/>
  <c r="P33" i="14" a="1"/>
  <c r="P33" i="14" s="1"/>
  <c r="S24" i="11" a="1"/>
  <c r="S24" i="11" s="1"/>
  <c r="R29" i="12" a="1"/>
  <c r="R29" i="12" s="1"/>
  <c r="S34" i="10" a="1"/>
  <c r="S34" i="10" s="1"/>
  <c r="R22" i="13" a="1"/>
  <c r="R22" i="13" s="1"/>
  <c r="R33" i="11" a="1"/>
  <c r="R33" i="11" s="1"/>
  <c r="R24" i="13" a="1"/>
  <c r="R24" i="13" s="1"/>
  <c r="P19" i="12" a="1"/>
  <c r="P19" i="12" s="1"/>
  <c r="P18" i="12" a="1"/>
  <c r="P18" i="12" s="1"/>
  <c r="P34" i="11" a="1"/>
  <c r="P34" i="11" s="1"/>
  <c r="P17" i="12" a="1"/>
  <c r="P17" i="12" s="1"/>
  <c r="S17" i="10" a="1"/>
  <c r="S17" i="10" s="1"/>
  <c r="S27" i="10" a="1"/>
  <c r="S27" i="10" s="1"/>
  <c r="S22" i="13" a="1"/>
  <c r="S22" i="13" s="1"/>
  <c r="S17" i="11" a="1"/>
  <c r="S17" i="11" s="1"/>
  <c r="Q17" i="11" s="1"/>
  <c r="S19" i="13" a="1"/>
  <c r="S19" i="13" s="1"/>
  <c r="S19" i="12" a="1"/>
  <c r="S19" i="12" s="1"/>
  <c r="R22" i="12" a="1"/>
  <c r="R22" i="12" s="1"/>
  <c r="S34" i="12" a="1"/>
  <c r="S34" i="12" s="1"/>
  <c r="R17" i="12" a="1"/>
  <c r="R17" i="12" s="1"/>
  <c r="S19" i="14" a="1"/>
  <c r="S19" i="14" s="1"/>
  <c r="S34" i="11" a="1"/>
  <c r="S34" i="11" s="1"/>
  <c r="S33" i="11" a="1"/>
  <c r="S33" i="11" s="1"/>
  <c r="S17" i="14" a="1"/>
  <c r="S17" i="14" s="1"/>
  <c r="S33" i="10" a="1"/>
  <c r="S33" i="10" s="1"/>
  <c r="R17" i="13" a="1"/>
  <c r="R17" i="13" s="1"/>
  <c r="P22" i="10" a="1"/>
  <c r="P22" i="10" s="1"/>
  <c r="P17" i="13" a="1"/>
  <c r="P17" i="13" s="1"/>
  <c r="Q19" i="10"/>
  <c r="T19" i="10" s="1"/>
  <c r="S29" i="13" a="1"/>
  <c r="S29" i="13" s="1"/>
  <c r="P22" i="11" a="1"/>
  <c r="P22" i="11" s="1"/>
  <c r="P23" i="12" a="1"/>
  <c r="P23" i="12" s="1"/>
  <c r="P33" i="12" a="1"/>
  <c r="P33" i="12" s="1"/>
  <c r="P22" i="13" a="1"/>
  <c r="P22" i="13" s="1"/>
  <c r="S23" i="13" a="1"/>
  <c r="S23" i="13" s="1"/>
  <c r="S22" i="10" a="1"/>
  <c r="S22" i="10" s="1"/>
  <c r="Q22" i="10" s="1"/>
  <c r="P27" i="14" a="1"/>
  <c r="P27" i="14" s="1"/>
  <c r="P29" i="13" a="1"/>
  <c r="P29" i="13" s="1"/>
  <c r="P22" i="12" a="1"/>
  <c r="P22" i="12" s="1"/>
  <c r="R34" i="13" a="1"/>
  <c r="R34" i="13" s="1"/>
  <c r="R18" i="11" a="1"/>
  <c r="R18" i="11" s="1"/>
  <c r="Q18" i="11" s="1"/>
  <c r="R28" i="10" a="1"/>
  <c r="R28" i="10" s="1"/>
  <c r="R29" i="11" a="1"/>
  <c r="R29" i="11" s="1"/>
  <c r="R19" i="12" a="1"/>
  <c r="R19" i="12" s="1"/>
  <c r="S28" i="10" a="1"/>
  <c r="S28" i="10" s="1"/>
  <c r="S28" i="12" a="1"/>
  <c r="S28" i="12" s="1"/>
  <c r="P28" i="14" a="1"/>
  <c r="P28" i="14" s="1"/>
  <c r="P32" i="14" a="1"/>
  <c r="P32" i="14" s="1"/>
  <c r="S22" i="11" a="1"/>
  <c r="S22" i="11" s="1"/>
  <c r="S33" i="13" a="1"/>
  <c r="S33" i="13" s="1"/>
  <c r="S27" i="12" a="1"/>
  <c r="S27" i="12" s="1"/>
  <c r="P29" i="14" a="1"/>
  <c r="P29" i="14" s="1"/>
  <c r="S27" i="14" a="1"/>
  <c r="S27" i="14" s="1"/>
  <c r="R27" i="11" a="1"/>
  <c r="R27" i="11" s="1"/>
  <c r="W5" i="14"/>
  <c r="S5" i="14"/>
  <c r="R5" i="14"/>
  <c r="S5" i="10"/>
  <c r="R5" i="10"/>
  <c r="W5" i="10"/>
  <c r="AA23" i="11"/>
  <c r="I18" i="11" s="1"/>
  <c r="Y23" i="11"/>
  <c r="R32" i="13" a="1"/>
  <c r="R32" i="13" s="1"/>
  <c r="P33" i="10" a="1"/>
  <c r="P33" i="10" s="1"/>
  <c r="P34" i="13" a="1"/>
  <c r="P34" i="13" s="1"/>
  <c r="P19" i="13" a="1"/>
  <c r="P19" i="13" s="1"/>
  <c r="P5" i="14"/>
  <c r="Z32" i="13"/>
  <c r="Y32" i="13"/>
  <c r="Y32" i="12"/>
  <c r="Z32" i="12"/>
  <c r="AA18" i="11"/>
  <c r="H18" i="11" s="1"/>
  <c r="Y18" i="11"/>
  <c r="E18" i="11" s="1"/>
  <c r="R34" i="10" a="1"/>
  <c r="R34" i="10" s="1"/>
  <c r="R23" i="10" a="1"/>
  <c r="R23" i="10" s="1"/>
  <c r="Q23" i="10" s="1"/>
  <c r="Y22" i="10"/>
  <c r="Z22" i="10"/>
  <c r="G17" i="10" s="1"/>
  <c r="S32" i="13" a="1"/>
  <c r="S32" i="13" s="1"/>
  <c r="Y22" i="13"/>
  <c r="Z22" i="13"/>
  <c r="G17" i="13" s="1"/>
  <c r="S27" i="11" a="1"/>
  <c r="S27" i="11" s="1"/>
  <c r="Z27" i="11"/>
  <c r="Y27" i="11"/>
  <c r="AA19" i="14"/>
  <c r="H19" i="14" s="1"/>
  <c r="Z19" i="14"/>
  <c r="F19" i="14" s="1"/>
  <c r="W6" i="13"/>
  <c r="S6" i="13"/>
  <c r="R6" i="13"/>
  <c r="R33" i="12" a="1"/>
  <c r="R33" i="12" s="1"/>
  <c r="S29" i="12" a="1"/>
  <c r="S29" i="12" s="1"/>
  <c r="S28" i="14" a="1"/>
  <c r="S28" i="14" s="1"/>
  <c r="R27" i="14" a="1"/>
  <c r="R27" i="14" s="1"/>
  <c r="Z17" i="14"/>
  <c r="F17" i="14" s="1"/>
  <c r="Y17" i="14"/>
  <c r="E17" i="14" s="1"/>
  <c r="AA33" i="11"/>
  <c r="Y33" i="11"/>
  <c r="AA24" i="10"/>
  <c r="I20" i="10" s="1"/>
  <c r="Z24" i="10"/>
  <c r="G20" i="10" s="1"/>
  <c r="Z29" i="12"/>
  <c r="AA29" i="12"/>
  <c r="J20" i="12" s="1"/>
  <c r="AA34" i="13"/>
  <c r="Z34" i="13"/>
  <c r="AA24" i="11"/>
  <c r="I20" i="11" s="1"/>
  <c r="Z24" i="11"/>
  <c r="G20" i="11" s="1"/>
  <c r="AA23" i="14"/>
  <c r="I18" i="14" s="1"/>
  <c r="Y23" i="14"/>
  <c r="AA23" i="13"/>
  <c r="I18" i="13" s="1"/>
  <c r="Y23" i="13"/>
  <c r="AA23" i="12"/>
  <c r="I18" i="12" s="1"/>
  <c r="Y23" i="12"/>
  <c r="Y32" i="10"/>
  <c r="Z32" i="10"/>
  <c r="S32" i="10" a="1"/>
  <c r="S32" i="10" s="1"/>
  <c r="W4" i="10"/>
  <c r="R4" i="10"/>
  <c r="S4" i="10"/>
  <c r="R27" i="13" a="1"/>
  <c r="R27" i="13" s="1"/>
  <c r="Y27" i="13"/>
  <c r="Z27" i="13"/>
  <c r="Z17" i="11"/>
  <c r="F17" i="11" s="1"/>
  <c r="Y17" i="11"/>
  <c r="E17" i="11" s="1"/>
  <c r="AA33" i="14"/>
  <c r="Y33" i="14"/>
  <c r="S32" i="12" a="1"/>
  <c r="S32" i="12" s="1"/>
  <c r="R29" i="14" a="1"/>
  <c r="R29" i="14" s="1"/>
  <c r="R23" i="14" a="1"/>
  <c r="R23" i="14" s="1"/>
  <c r="W6" i="11"/>
  <c r="S6" i="11"/>
  <c r="R6" i="11"/>
  <c r="AA34" i="10"/>
  <c r="Z34" i="10"/>
  <c r="Z29" i="13"/>
  <c r="AA29" i="13"/>
  <c r="J20" i="13" s="1"/>
  <c r="AA34" i="11"/>
  <c r="Z34" i="11"/>
  <c r="Z17" i="13"/>
  <c r="F17" i="13" s="1"/>
  <c r="Y17" i="13"/>
  <c r="E17" i="13" s="1"/>
  <c r="S32" i="11" a="1"/>
  <c r="S32" i="11" s="1"/>
  <c r="W6" i="14"/>
  <c r="R6" i="14"/>
  <c r="S6" i="14"/>
  <c r="S22" i="12" a="1"/>
  <c r="S22" i="12" s="1"/>
  <c r="R24" i="12" a="1"/>
  <c r="R24" i="12" s="1"/>
  <c r="Z27" i="12"/>
  <c r="Y27" i="12"/>
  <c r="R28" i="14" a="1"/>
  <c r="R28" i="14" s="1"/>
  <c r="Y22" i="14"/>
  <c r="Z22" i="14"/>
  <c r="G17" i="14" s="1"/>
  <c r="AA24" i="14"/>
  <c r="I20" i="14" s="1"/>
  <c r="Z24" i="14"/>
  <c r="G20" i="14" s="1"/>
  <c r="W7" i="12"/>
  <c r="S7" i="12"/>
  <c r="R7" i="12"/>
  <c r="R6" i="10"/>
  <c r="W6" i="10"/>
  <c r="S6" i="10"/>
  <c r="P32" i="11" a="1"/>
  <c r="P32" i="11" s="1"/>
  <c r="AA18" i="14"/>
  <c r="H18" i="14" s="1"/>
  <c r="Y18" i="14"/>
  <c r="E18" i="14" s="1"/>
  <c r="AA18" i="12"/>
  <c r="H18" i="12" s="1"/>
  <c r="Y18" i="12"/>
  <c r="E18" i="12" s="1"/>
  <c r="AA23" i="10"/>
  <c r="I18" i="10" s="1"/>
  <c r="Y23" i="10"/>
  <c r="AA18" i="10"/>
  <c r="H18" i="10" s="1"/>
  <c r="Y18" i="10"/>
  <c r="E18" i="10" s="1"/>
  <c r="R27" i="10" a="1"/>
  <c r="R27" i="10" s="1"/>
  <c r="R18" i="10" a="1"/>
  <c r="R18" i="10" s="1"/>
  <c r="Y27" i="10"/>
  <c r="Z27" i="10"/>
  <c r="R33" i="13" a="1"/>
  <c r="R33" i="13" s="1"/>
  <c r="R28" i="13" a="1"/>
  <c r="R28" i="13" s="1"/>
  <c r="Q28" i="13" s="1"/>
  <c r="AA28" i="12"/>
  <c r="J19" i="12" s="1"/>
  <c r="Y28" i="12"/>
  <c r="S28" i="11" a="1"/>
  <c r="S28" i="11" s="1"/>
  <c r="Z22" i="11"/>
  <c r="G17" i="11" s="1"/>
  <c r="Y22" i="11"/>
  <c r="R27" i="12" a="1"/>
  <c r="R27" i="12" s="1"/>
  <c r="R18" i="14" a="1"/>
  <c r="R18" i="14" s="1"/>
  <c r="R4" i="14"/>
  <c r="W4" i="14"/>
  <c r="S4" i="14"/>
  <c r="AA34" i="14"/>
  <c r="Z34" i="14"/>
  <c r="R7" i="13"/>
  <c r="W7" i="13"/>
  <c r="S7" i="13"/>
  <c r="AA18" i="13"/>
  <c r="H18" i="13" s="1"/>
  <c r="Y18" i="13"/>
  <c r="E18" i="13" s="1"/>
  <c r="S18" i="13" a="1"/>
  <c r="S18" i="13" s="1"/>
  <c r="P5" i="10"/>
  <c r="V24" i="10" s="1"/>
  <c r="X24" i="10" s="1"/>
  <c r="P23" i="13" a="1"/>
  <c r="P23" i="13" s="1"/>
  <c r="P23" i="14" a="1"/>
  <c r="P23" i="14" s="1"/>
  <c r="S24" i="12" a="1"/>
  <c r="S24" i="12" s="1"/>
  <c r="P34" i="10" a="1"/>
  <c r="P34" i="10" s="1"/>
  <c r="P23" i="10" a="1"/>
  <c r="P23" i="10" s="1"/>
  <c r="P23" i="11" a="1"/>
  <c r="P23" i="11" s="1"/>
  <c r="P27" i="11" a="1"/>
  <c r="P27" i="11" s="1"/>
  <c r="P32" i="12" a="1"/>
  <c r="P32" i="12" s="1"/>
  <c r="P24" i="14" a="1"/>
  <c r="P24" i="14" s="1"/>
  <c r="P6" i="14"/>
  <c r="W5" i="13"/>
  <c r="S5" i="13"/>
  <c r="R5" i="13"/>
  <c r="S5" i="11"/>
  <c r="R5" i="11"/>
  <c r="W5" i="11"/>
  <c r="R32" i="10" a="1"/>
  <c r="R32" i="10" s="1"/>
  <c r="S18" i="10" a="1"/>
  <c r="S18" i="10" s="1"/>
  <c r="Z17" i="10"/>
  <c r="F17" i="10" s="1"/>
  <c r="Y17" i="10"/>
  <c r="E17" i="10" s="1"/>
  <c r="R23" i="13" a="1"/>
  <c r="R23" i="13" s="1"/>
  <c r="S27" i="13" a="1"/>
  <c r="S27" i="13" s="1"/>
  <c r="AA19" i="12"/>
  <c r="H19" i="12" s="1"/>
  <c r="Z19" i="12"/>
  <c r="F19" i="12" s="1"/>
  <c r="R19" i="11" a="1"/>
  <c r="R19" i="11" s="1"/>
  <c r="R23" i="11" a="1"/>
  <c r="R23" i="11" s="1"/>
  <c r="W4" i="11"/>
  <c r="S4" i="11"/>
  <c r="R4" i="11"/>
  <c r="AA28" i="13"/>
  <c r="J19" i="13" s="1"/>
  <c r="Y28" i="13"/>
  <c r="R23" i="12" a="1"/>
  <c r="R23" i="12" s="1"/>
  <c r="S18" i="12" a="1"/>
  <c r="S18" i="12" s="1"/>
  <c r="Y22" i="12"/>
  <c r="Z22" i="12"/>
  <c r="G17" i="12" s="1"/>
  <c r="R34" i="14" a="1"/>
  <c r="R34" i="14" s="1"/>
  <c r="R24" i="14" a="1"/>
  <c r="R24" i="14" s="1"/>
  <c r="Z27" i="14"/>
  <c r="Y27" i="14"/>
  <c r="AA29" i="10"/>
  <c r="J20" i="10" s="1"/>
  <c r="Z29" i="10"/>
  <c r="Z29" i="14"/>
  <c r="AA29" i="14"/>
  <c r="J20" i="14" s="1"/>
  <c r="AA24" i="12"/>
  <c r="I20" i="12" s="1"/>
  <c r="Z24" i="12"/>
  <c r="G20" i="12" s="1"/>
  <c r="P18" i="13" a="1"/>
  <c r="P18" i="13" s="1"/>
  <c r="P27" i="13" a="1"/>
  <c r="P27" i="13" s="1"/>
  <c r="Y32" i="14"/>
  <c r="Z32" i="14"/>
  <c r="S5" i="12"/>
  <c r="R5" i="12"/>
  <c r="W5" i="12"/>
  <c r="S29" i="10" a="1"/>
  <c r="S29" i="10" s="1"/>
  <c r="R29" i="13" a="1"/>
  <c r="R29" i="13" s="1"/>
  <c r="S4" i="13"/>
  <c r="W4" i="13"/>
  <c r="R4" i="13"/>
  <c r="AA33" i="12"/>
  <c r="Y33" i="12"/>
  <c r="S23" i="11" a="1"/>
  <c r="S23" i="11" s="1"/>
  <c r="R32" i="12" a="1"/>
  <c r="R32" i="12" s="1"/>
  <c r="W4" i="12"/>
  <c r="S4" i="12"/>
  <c r="R4" i="12"/>
  <c r="S23" i="14" a="1"/>
  <c r="S23" i="14" s="1"/>
  <c r="S32" i="14" a="1"/>
  <c r="S32" i="14" s="1"/>
  <c r="S22" i="14" a="1"/>
  <c r="S22" i="14" s="1"/>
  <c r="AA34" i="12"/>
  <c r="Z34" i="12"/>
  <c r="S29" i="11" a="1"/>
  <c r="S29" i="11" s="1"/>
  <c r="Z29" i="11"/>
  <c r="AA29" i="11"/>
  <c r="J20" i="11" s="1"/>
  <c r="Y28" i="10"/>
  <c r="AA28" i="10"/>
  <c r="J19" i="10" s="1"/>
  <c r="W6" i="12"/>
  <c r="R6" i="12"/>
  <c r="S6" i="12"/>
  <c r="AA28" i="14"/>
  <c r="J19" i="14" s="1"/>
  <c r="Y28" i="14"/>
  <c r="AA19" i="13"/>
  <c r="H19" i="13" s="1"/>
  <c r="Z19" i="13"/>
  <c r="F19" i="13" s="1"/>
  <c r="R18" i="12" a="1"/>
  <c r="R18" i="12" s="1"/>
  <c r="S24" i="14" a="1"/>
  <c r="S24" i="14" s="1"/>
  <c r="AA28" i="11"/>
  <c r="J19" i="11" s="1"/>
  <c r="Y28" i="11"/>
  <c r="W7" i="10"/>
  <c r="S7" i="10"/>
  <c r="R7" i="10"/>
  <c r="R7" i="14"/>
  <c r="W7" i="14"/>
  <c r="S7" i="14"/>
  <c r="Z19" i="10"/>
  <c r="F19" i="10" s="1"/>
  <c r="AA19" i="10"/>
  <c r="H19" i="10" s="1"/>
  <c r="Y32" i="11"/>
  <c r="Z32" i="11"/>
  <c r="AA33" i="13"/>
  <c r="Y33" i="13"/>
  <c r="R28" i="12" a="1"/>
  <c r="R28" i="12" s="1"/>
  <c r="S23" i="12" a="1"/>
  <c r="S23" i="12" s="1"/>
  <c r="Z17" i="12"/>
  <c r="F17" i="12" s="1"/>
  <c r="Y17" i="12"/>
  <c r="E17" i="12" s="1"/>
  <c r="S18" i="14" a="1"/>
  <c r="S18" i="14" s="1"/>
  <c r="S33" i="14" a="1"/>
  <c r="S33" i="14" s="1"/>
  <c r="Z19" i="11"/>
  <c r="F19" i="11" s="1"/>
  <c r="AA19" i="11"/>
  <c r="H19" i="11" s="1"/>
  <c r="AA24" i="13"/>
  <c r="I20" i="13" s="1"/>
  <c r="Z24" i="13"/>
  <c r="G20" i="13" s="1"/>
  <c r="W7" i="11"/>
  <c r="S7" i="11"/>
  <c r="R7" i="11"/>
  <c r="AA33" i="10"/>
  <c r="Y33" i="10"/>
  <c r="V18" i="12"/>
  <c r="X18" i="12" s="1"/>
  <c r="V19" i="12"/>
  <c r="X19" i="12" s="1"/>
  <c r="V27" i="12"/>
  <c r="X27" i="12" s="1"/>
  <c r="V17" i="12"/>
  <c r="X17" i="12" s="1"/>
  <c r="V28" i="12"/>
  <c r="X28" i="12" s="1"/>
  <c r="V29" i="12"/>
  <c r="X29" i="12" s="1"/>
  <c r="V24" i="11"/>
  <c r="X24" i="11" s="1"/>
  <c r="V23" i="13"/>
  <c r="X23" i="13" s="1"/>
  <c r="V19" i="13"/>
  <c r="X19" i="13" s="1"/>
  <c r="V24" i="13"/>
  <c r="X24" i="13" s="1"/>
  <c r="V22" i="13"/>
  <c r="X22" i="13" s="1"/>
  <c r="V18" i="13"/>
  <c r="X18" i="13" s="1"/>
  <c r="V29" i="13"/>
  <c r="X29" i="13" s="1"/>
  <c r="V28" i="13"/>
  <c r="X28" i="13" s="1"/>
  <c r="V17" i="13"/>
  <c r="X17" i="13" s="1"/>
  <c r="V27" i="13"/>
  <c r="X27" i="13" s="1"/>
  <c r="V28" i="11"/>
  <c r="X28" i="11" s="1"/>
  <c r="V22" i="11"/>
  <c r="X22" i="11" s="1"/>
  <c r="V27" i="11"/>
  <c r="X27" i="11" s="1"/>
  <c r="V29" i="11"/>
  <c r="X29" i="11" s="1"/>
  <c r="V23" i="11"/>
  <c r="X23" i="11" s="1"/>
  <c r="M4" i="8"/>
  <c r="D19" i="8"/>
  <c r="O6" i="8"/>
  <c r="X6" i="14" s="1"/>
  <c r="O33" i="8"/>
  <c r="O25" i="8"/>
  <c r="O28" i="8"/>
  <c r="O19" i="8"/>
  <c r="O4" i="8"/>
  <c r="X4" i="14" s="1"/>
  <c r="D17" i="8"/>
  <c r="O22" i="8"/>
  <c r="O27" i="8"/>
  <c r="O35" i="8"/>
  <c r="O17" i="8"/>
  <c r="M8" i="8"/>
  <c r="O18" i="8"/>
  <c r="O23" i="8"/>
  <c r="D18" i="8"/>
  <c r="O5" i="8"/>
  <c r="X5" i="14" s="1"/>
  <c r="O32" i="8"/>
  <c r="O30" i="8"/>
  <c r="M6" i="8"/>
  <c r="O7" i="8"/>
  <c r="X7" i="14" s="1"/>
  <c r="O20" i="8"/>
  <c r="O24" i="8"/>
  <c r="D20" i="8"/>
  <c r="O34" i="8"/>
  <c r="O29" i="8"/>
  <c r="M5" i="8"/>
  <c r="M7" i="8"/>
  <c r="Q33" i="10" l="1"/>
  <c r="Q33" i="14"/>
  <c r="Q22" i="11"/>
  <c r="Q34" i="12"/>
  <c r="T34" i="12" s="1"/>
  <c r="Q19" i="14"/>
  <c r="T19" i="14" s="1"/>
  <c r="Q17" i="13"/>
  <c r="T17" i="13" s="1"/>
  <c r="Q17" i="10"/>
  <c r="T17" i="10" s="1"/>
  <c r="Q34" i="14"/>
  <c r="T34" i="14" s="1"/>
  <c r="Q29" i="14"/>
  <c r="T29" i="14" s="1"/>
  <c r="Q33" i="12"/>
  <c r="T33" i="12" s="1"/>
  <c r="Q32" i="14"/>
  <c r="T32" i="14" s="1"/>
  <c r="T17" i="11"/>
  <c r="Q29" i="12"/>
  <c r="T29" i="12" s="1"/>
  <c r="T33" i="14"/>
  <c r="Q19" i="12"/>
  <c r="T19" i="12" s="1"/>
  <c r="Q17" i="14"/>
  <c r="T17" i="14" s="1"/>
  <c r="Q18" i="13"/>
  <c r="T18" i="13" s="1"/>
  <c r="Q24" i="10"/>
  <c r="T24" i="10" s="1"/>
  <c r="Q28" i="11"/>
  <c r="T28" i="11" s="1"/>
  <c r="Q24" i="13"/>
  <c r="T24" i="13" s="1"/>
  <c r="Q29" i="10"/>
  <c r="T29" i="10" s="1"/>
  <c r="V18" i="10"/>
  <c r="X18" i="10" s="1"/>
  <c r="Q24" i="11"/>
  <c r="T24" i="11" s="1"/>
  <c r="Q19" i="13"/>
  <c r="T19" i="13" s="1"/>
  <c r="Q17" i="12"/>
  <c r="T17" i="12" s="1"/>
  <c r="Q22" i="14"/>
  <c r="T22" i="14" s="1"/>
  <c r="Q27" i="11"/>
  <c r="T27" i="11" s="1"/>
  <c r="Q22" i="12"/>
  <c r="T22" i="12" s="1"/>
  <c r="Q29" i="13"/>
  <c r="T29" i="13" s="1"/>
  <c r="T28" i="13"/>
  <c r="Q34" i="13"/>
  <c r="T34" i="13" s="1"/>
  <c r="Q32" i="11"/>
  <c r="T32" i="11" s="1"/>
  <c r="Q27" i="12"/>
  <c r="T27" i="12" s="1"/>
  <c r="Q27" i="10"/>
  <c r="T27" i="10" s="1"/>
  <c r="Q32" i="12"/>
  <c r="T32" i="12" s="1"/>
  <c r="Q28" i="12"/>
  <c r="T28" i="12" s="1"/>
  <c r="L20" i="12"/>
  <c r="Z7" i="12" s="1"/>
  <c r="Q19" i="11"/>
  <c r="T19" i="11" s="1"/>
  <c r="T18" i="11"/>
  <c r="Q29" i="11"/>
  <c r="T29" i="11" s="1"/>
  <c r="Q23" i="13"/>
  <c r="T23" i="13" s="1"/>
  <c r="T23" i="10"/>
  <c r="V24" i="14"/>
  <c r="X24" i="14" s="1"/>
  <c r="Q34" i="11"/>
  <c r="T34" i="11" s="1"/>
  <c r="Q34" i="10"/>
  <c r="T34" i="10" s="1"/>
  <c r="V18" i="14"/>
  <c r="X18" i="14" s="1"/>
  <c r="Q28" i="14"/>
  <c r="T28" i="14" s="1"/>
  <c r="Q33" i="11"/>
  <c r="T33" i="11" s="1"/>
  <c r="Q22" i="13"/>
  <c r="T22" i="13" s="1"/>
  <c r="Q32" i="10"/>
  <c r="T32" i="10" s="1"/>
  <c r="L18" i="14"/>
  <c r="Z5" i="14" s="1"/>
  <c r="L19" i="14"/>
  <c r="Z6" i="14" s="1"/>
  <c r="V17" i="14"/>
  <c r="X17" i="14" s="1"/>
  <c r="L19" i="12"/>
  <c r="Z6" i="12" s="1"/>
  <c r="V23" i="14"/>
  <c r="X23" i="14" s="1"/>
  <c r="L17" i="13"/>
  <c r="Z4" i="13" s="1"/>
  <c r="V22" i="14"/>
  <c r="X22" i="14" s="1"/>
  <c r="L18" i="13"/>
  <c r="Z5" i="13" s="1"/>
  <c r="V19" i="14"/>
  <c r="X19" i="14" s="1"/>
  <c r="L17" i="14"/>
  <c r="Z4" i="14" s="1"/>
  <c r="L18" i="10"/>
  <c r="Z5" i="10" s="1"/>
  <c r="L18" i="11"/>
  <c r="Z5" i="11" s="1"/>
  <c r="L17" i="11"/>
  <c r="Z4" i="11" s="1"/>
  <c r="Q33" i="13"/>
  <c r="T33" i="13" s="1"/>
  <c r="Q6" i="11"/>
  <c r="AC6" i="11" s="1"/>
  <c r="L19" i="10"/>
  <c r="Z6" i="10" s="1"/>
  <c r="V22" i="10"/>
  <c r="X22" i="10" s="1"/>
  <c r="L20" i="10"/>
  <c r="Z7" i="10" s="1"/>
  <c r="V17" i="10"/>
  <c r="X17" i="10" s="1"/>
  <c r="L19" i="13"/>
  <c r="Z6" i="13" s="1"/>
  <c r="V19" i="10"/>
  <c r="X19" i="10" s="1"/>
  <c r="V23" i="10"/>
  <c r="X23" i="10" s="1"/>
  <c r="L18" i="12"/>
  <c r="Z5" i="12" s="1"/>
  <c r="L20" i="11"/>
  <c r="Z7" i="11" s="1"/>
  <c r="L20" i="14"/>
  <c r="Z7" i="14" s="1"/>
  <c r="L19" i="11"/>
  <c r="Z6" i="11" s="1"/>
  <c r="Q18" i="12"/>
  <c r="T18" i="12" s="1"/>
  <c r="Q4" i="11"/>
  <c r="AC4" i="11" s="1"/>
  <c r="L17" i="10"/>
  <c r="Z4" i="10" s="1"/>
  <c r="Q27" i="14"/>
  <c r="T27" i="14" s="1"/>
  <c r="T22" i="10"/>
  <c r="Q7" i="11"/>
  <c r="AC7" i="11" s="1"/>
  <c r="L17" i="12"/>
  <c r="Z4" i="12" s="1"/>
  <c r="Q6" i="12"/>
  <c r="AC6" i="12" s="1"/>
  <c r="T33" i="10"/>
  <c r="Q5" i="13"/>
  <c r="AC5" i="13" s="1"/>
  <c r="T22" i="11"/>
  <c r="Q4" i="13"/>
  <c r="AC4" i="13" s="1"/>
  <c r="Q4" i="12"/>
  <c r="AC4" i="12" s="1"/>
  <c r="Q5" i="12"/>
  <c r="AC5" i="12" s="1"/>
  <c r="Q28" i="10"/>
  <c r="T28" i="10" s="1"/>
  <c r="Q6" i="13"/>
  <c r="AC6" i="13" s="1"/>
  <c r="Q5" i="14"/>
  <c r="AC5" i="14" s="1"/>
  <c r="Q6" i="14"/>
  <c r="AC6" i="14" s="1"/>
  <c r="Q6" i="10"/>
  <c r="AC6" i="10" s="1"/>
  <c r="Q7" i="12"/>
  <c r="AC7" i="12" s="1"/>
  <c r="Q5" i="11"/>
  <c r="AC5" i="11" s="1"/>
  <c r="Q7" i="13"/>
  <c r="AC7" i="13" s="1"/>
  <c r="Q18" i="10"/>
  <c r="T18" i="10" s="1"/>
  <c r="Q23" i="14"/>
  <c r="T23" i="14" s="1"/>
  <c r="Q5" i="10"/>
  <c r="AC5" i="10" s="1"/>
  <c r="Q24" i="14"/>
  <c r="T24" i="14" s="1"/>
  <c r="Q27" i="13"/>
  <c r="T27" i="13" s="1"/>
  <c r="L20" i="13"/>
  <c r="Z7" i="13" s="1"/>
  <c r="Q7" i="14"/>
  <c r="AC7" i="14" s="1"/>
  <c r="Q7" i="10"/>
  <c r="AC7" i="10" s="1"/>
  <c r="Q4" i="10"/>
  <c r="AC4" i="10" s="1"/>
  <c r="Q32" i="13"/>
  <c r="T32" i="13" s="1"/>
  <c r="Q23" i="11"/>
  <c r="T23" i="11" s="1"/>
  <c r="Q4" i="14"/>
  <c r="AC4" i="14" s="1"/>
  <c r="Q24" i="12"/>
  <c r="T24" i="12" s="1"/>
  <c r="Q18" i="14"/>
  <c r="T18" i="14" s="1"/>
  <c r="Q23" i="12"/>
  <c r="T23" i="12" s="1"/>
  <c r="Y4" i="13"/>
  <c r="X4" i="12"/>
  <c r="X4" i="13"/>
  <c r="X7" i="12"/>
  <c r="X7" i="13"/>
  <c r="X6" i="12"/>
  <c r="X6" i="13"/>
  <c r="X5" i="12"/>
  <c r="X5" i="13"/>
  <c r="X4" i="10"/>
  <c r="X4" i="11"/>
  <c r="X6" i="10"/>
  <c r="X6" i="11"/>
  <c r="X7" i="10"/>
  <c r="X7" i="11"/>
  <c r="X5" i="10"/>
  <c r="X5" i="11"/>
  <c r="H5" i="8"/>
  <c r="I5" i="8"/>
  <c r="I4" i="8"/>
  <c r="H4" i="8"/>
  <c r="H7" i="8"/>
  <c r="I7" i="8"/>
  <c r="I6" i="8"/>
  <c r="H6" i="8"/>
  <c r="I8" i="8"/>
  <c r="H8" i="8"/>
  <c r="X4" i="8"/>
  <c r="W4" i="8"/>
  <c r="W7" i="8"/>
  <c r="X7" i="8"/>
  <c r="X6" i="8"/>
  <c r="W6" i="8"/>
  <c r="W5" i="8"/>
  <c r="X5" i="8"/>
  <c r="U32" i="14" l="1"/>
  <c r="V32" i="14" s="1"/>
  <c r="U34" i="14"/>
  <c r="V34" i="14" s="1"/>
  <c r="W34" i="14"/>
  <c r="W32" i="14"/>
  <c r="W33" i="14"/>
  <c r="U33" i="14"/>
  <c r="V33" i="14" s="1"/>
  <c r="W19" i="14"/>
  <c r="W32" i="10"/>
  <c r="U34" i="10"/>
  <c r="V34" i="10" s="1"/>
  <c r="W18" i="12"/>
  <c r="U28" i="13"/>
  <c r="U17" i="11"/>
  <c r="V17" i="11" s="1"/>
  <c r="X17" i="11" s="1"/>
  <c r="Y4" i="11" s="1"/>
  <c r="W19" i="11"/>
  <c r="U19" i="11"/>
  <c r="V19" i="11" s="1"/>
  <c r="X19" i="11" s="1"/>
  <c r="W18" i="11"/>
  <c r="W17" i="11"/>
  <c r="W28" i="12"/>
  <c r="U28" i="12"/>
  <c r="U27" i="12"/>
  <c r="U19" i="12"/>
  <c r="U19" i="13"/>
  <c r="U29" i="12"/>
  <c r="W17" i="12"/>
  <c r="W19" i="12"/>
  <c r="W27" i="10"/>
  <c r="W18" i="10"/>
  <c r="AB33" i="11"/>
  <c r="AC33" i="11" s="1"/>
  <c r="U22" i="10"/>
  <c r="U18" i="12"/>
  <c r="X11" i="14"/>
  <c r="V6" i="14" s="1"/>
  <c r="U18" i="11"/>
  <c r="V18" i="11" s="1"/>
  <c r="X18" i="11" s="1"/>
  <c r="W23" i="12"/>
  <c r="W29" i="12"/>
  <c r="W27" i="12"/>
  <c r="W33" i="11"/>
  <c r="U17" i="12"/>
  <c r="W27" i="11"/>
  <c r="X11" i="13"/>
  <c r="V4" i="13" s="1"/>
  <c r="U29" i="11"/>
  <c r="U24" i="13"/>
  <c r="W24" i="13"/>
  <c r="U23" i="13"/>
  <c r="X11" i="11"/>
  <c r="V6" i="11" s="1"/>
  <c r="U29" i="14"/>
  <c r="V29" i="14" s="1"/>
  <c r="W29" i="11"/>
  <c r="W34" i="10"/>
  <c r="AB22" i="12"/>
  <c r="AC22" i="12" s="1"/>
  <c r="W24" i="12"/>
  <c r="U28" i="11"/>
  <c r="W28" i="11"/>
  <c r="U27" i="11"/>
  <c r="U32" i="10"/>
  <c r="V32" i="10" s="1"/>
  <c r="X32" i="10" s="1"/>
  <c r="Y5" i="10" s="1"/>
  <c r="W23" i="13"/>
  <c r="AB24" i="11"/>
  <c r="AC24" i="11" s="1"/>
  <c r="AB17" i="12"/>
  <c r="AC17" i="12" s="1"/>
  <c r="U27" i="10"/>
  <c r="V27" i="10" s="1"/>
  <c r="X27" i="10" s="1"/>
  <c r="Y4" i="10" s="1"/>
  <c r="W22" i="13"/>
  <c r="U33" i="10"/>
  <c r="V33" i="10" s="1"/>
  <c r="U22" i="13"/>
  <c r="U33" i="13"/>
  <c r="V33" i="13" s="1"/>
  <c r="AB19" i="11"/>
  <c r="AC19" i="11" s="1"/>
  <c r="W33" i="10"/>
  <c r="W29" i="14"/>
  <c r="AB17" i="13"/>
  <c r="AC17" i="13" s="1"/>
  <c r="X12" i="12"/>
  <c r="U7" i="12" s="1"/>
  <c r="W33" i="13"/>
  <c r="U34" i="13"/>
  <c r="V34" i="13" s="1"/>
  <c r="W32" i="13"/>
  <c r="AB19" i="10"/>
  <c r="AC19" i="10" s="1"/>
  <c r="W34" i="13"/>
  <c r="U32" i="13"/>
  <c r="V32" i="13" s="1"/>
  <c r="X32" i="13" s="1"/>
  <c r="Y5" i="13" s="1"/>
  <c r="AB33" i="14"/>
  <c r="AC33" i="14" s="1"/>
  <c r="AB22" i="10"/>
  <c r="AC22" i="10" s="1"/>
  <c r="X12" i="10"/>
  <c r="U4" i="10" s="1"/>
  <c r="W23" i="10"/>
  <c r="AB19" i="14"/>
  <c r="AC19" i="14" s="1"/>
  <c r="AB32" i="11"/>
  <c r="AC32" i="11" s="1"/>
  <c r="AB24" i="12"/>
  <c r="AC24" i="12" s="1"/>
  <c r="AB27" i="12"/>
  <c r="AC27" i="12" s="1"/>
  <c r="U17" i="13"/>
  <c r="U18" i="13"/>
  <c r="AB18" i="11"/>
  <c r="AC18" i="11" s="1"/>
  <c r="AB29" i="11"/>
  <c r="AC29" i="11" s="1"/>
  <c r="AB34" i="12"/>
  <c r="AC34" i="12" s="1"/>
  <c r="AB22" i="11"/>
  <c r="AC22" i="11" s="1"/>
  <c r="W22" i="10"/>
  <c r="X11" i="12"/>
  <c r="V5" i="12" s="1"/>
  <c r="AB23" i="10"/>
  <c r="AC23" i="10" s="1"/>
  <c r="U24" i="11"/>
  <c r="AB34" i="11"/>
  <c r="AC34" i="11" s="1"/>
  <c r="AB18" i="12"/>
  <c r="AC18" i="12" s="1"/>
  <c r="AB32" i="12"/>
  <c r="AC32" i="12" s="1"/>
  <c r="W17" i="14"/>
  <c r="U24" i="10"/>
  <c r="W18" i="13"/>
  <c r="W19" i="10"/>
  <c r="AB28" i="11"/>
  <c r="AC28" i="11" s="1"/>
  <c r="X12" i="11"/>
  <c r="U4" i="11" s="1"/>
  <c r="AB33" i="12"/>
  <c r="AC33" i="12" s="1"/>
  <c r="W18" i="14"/>
  <c r="U23" i="10"/>
  <c r="W17" i="13"/>
  <c r="U17" i="14"/>
  <c r="AB27" i="11"/>
  <c r="AC27" i="11" s="1"/>
  <c r="W19" i="13"/>
  <c r="AB17" i="11"/>
  <c r="AC17" i="11" s="1"/>
  <c r="AB23" i="12"/>
  <c r="AC23" i="12" s="1"/>
  <c r="W24" i="10"/>
  <c r="AB19" i="12"/>
  <c r="AC19" i="12" s="1"/>
  <c r="AB17" i="10"/>
  <c r="AC17" i="10" s="1"/>
  <c r="AB28" i="12"/>
  <c r="AC28" i="12" s="1"/>
  <c r="W29" i="10"/>
  <c r="U23" i="12"/>
  <c r="V23" i="12" s="1"/>
  <c r="X23" i="12" s="1"/>
  <c r="AB22" i="13"/>
  <c r="AC22" i="13" s="1"/>
  <c r="AB34" i="10"/>
  <c r="AC34" i="10" s="1"/>
  <c r="U19" i="14"/>
  <c r="U18" i="10"/>
  <c r="AB29" i="10"/>
  <c r="AC29" i="10" s="1"/>
  <c r="X11" i="10"/>
  <c r="V6" i="10" s="1"/>
  <c r="W23" i="11"/>
  <c r="AB33" i="10"/>
  <c r="AC33" i="10" s="1"/>
  <c r="W22" i="11"/>
  <c r="AB27" i="10"/>
  <c r="AC27" i="10" s="1"/>
  <c r="AB24" i="10"/>
  <c r="AC24" i="10" s="1"/>
  <c r="AB18" i="10"/>
  <c r="AC18" i="10" s="1"/>
  <c r="AB32" i="10"/>
  <c r="AC32" i="10" s="1"/>
  <c r="AB28" i="10"/>
  <c r="AC28" i="10" s="1"/>
  <c r="AB23" i="11"/>
  <c r="AC23" i="11" s="1"/>
  <c r="AB27" i="13"/>
  <c r="AC27" i="13" s="1"/>
  <c r="U22" i="12"/>
  <c r="V22" i="12" s="1"/>
  <c r="AB23" i="13"/>
  <c r="AC23" i="13" s="1"/>
  <c r="U27" i="14"/>
  <c r="V27" i="14" s="1"/>
  <c r="W28" i="14"/>
  <c r="U22" i="11"/>
  <c r="U17" i="10"/>
  <c r="U28" i="14"/>
  <c r="V28" i="14" s="1"/>
  <c r="X28" i="14" s="1"/>
  <c r="AB18" i="13"/>
  <c r="AC18" i="13" s="1"/>
  <c r="AB28" i="13"/>
  <c r="AC28" i="13" s="1"/>
  <c r="U24" i="12"/>
  <c r="V24" i="12" s="1"/>
  <c r="X24" i="12" s="1"/>
  <c r="W27" i="14"/>
  <c r="AB19" i="13"/>
  <c r="AC19" i="13" s="1"/>
  <c r="AB33" i="13"/>
  <c r="AC33" i="13" s="1"/>
  <c r="W24" i="11"/>
  <c r="AB24" i="13"/>
  <c r="AC24" i="13" s="1"/>
  <c r="AB32" i="13"/>
  <c r="AC32" i="13" s="1"/>
  <c r="W27" i="13"/>
  <c r="U23" i="11"/>
  <c r="AB29" i="13"/>
  <c r="AC29" i="13" s="1"/>
  <c r="AB34" i="13"/>
  <c r="AC34" i="13" s="1"/>
  <c r="W29" i="13"/>
  <c r="W32" i="11"/>
  <c r="U33" i="11"/>
  <c r="V33" i="11" s="1"/>
  <c r="X33" i="11" s="1"/>
  <c r="W17" i="10"/>
  <c r="U19" i="10"/>
  <c r="X12" i="14"/>
  <c r="U4" i="14" s="1"/>
  <c r="U27" i="13"/>
  <c r="W28" i="10"/>
  <c r="AB24" i="14"/>
  <c r="AC24" i="14" s="1"/>
  <c r="W22" i="12"/>
  <c r="W22" i="14"/>
  <c r="U24" i="14"/>
  <c r="W24" i="14"/>
  <c r="AB23" i="14"/>
  <c r="AC23" i="14" s="1"/>
  <c r="AB29" i="12"/>
  <c r="AC29" i="12" s="1"/>
  <c r="U28" i="10"/>
  <c r="V28" i="10" s="1"/>
  <c r="W28" i="13"/>
  <c r="U29" i="13"/>
  <c r="AB34" i="14"/>
  <c r="AC34" i="14" s="1"/>
  <c r="AB32" i="14"/>
  <c r="AC32" i="14" s="1"/>
  <c r="U29" i="10"/>
  <c r="V29" i="10" s="1"/>
  <c r="X29" i="10" s="1"/>
  <c r="AB22" i="14"/>
  <c r="AC22" i="14" s="1"/>
  <c r="AB17" i="14"/>
  <c r="AC17" i="14" s="1"/>
  <c r="U32" i="11"/>
  <c r="V32" i="11" s="1"/>
  <c r="W34" i="11"/>
  <c r="U22" i="14"/>
  <c r="U34" i="11"/>
  <c r="V34" i="11" s="1"/>
  <c r="AB18" i="14"/>
  <c r="AC18" i="14" s="1"/>
  <c r="AB29" i="14"/>
  <c r="AC29" i="14" s="1"/>
  <c r="U18" i="14"/>
  <c r="AB28" i="14"/>
  <c r="AC28" i="14" s="1"/>
  <c r="AB27" i="14"/>
  <c r="AC27" i="14" s="1"/>
  <c r="U23" i="14"/>
  <c r="W23" i="14"/>
  <c r="W33" i="12"/>
  <c r="U32" i="12"/>
  <c r="V32" i="12" s="1"/>
  <c r="W34" i="12"/>
  <c r="U34" i="12"/>
  <c r="V34" i="12" s="1"/>
  <c r="X34" i="12" s="1"/>
  <c r="W32" i="12"/>
  <c r="U33" i="12"/>
  <c r="V33" i="12" s="1"/>
  <c r="X34" i="14" l="1"/>
  <c r="X33" i="14"/>
  <c r="Y6" i="14" s="1"/>
  <c r="X32" i="14"/>
  <c r="Y5" i="14" s="1"/>
  <c r="X28" i="10"/>
  <c r="X29" i="14"/>
  <c r="X27" i="14"/>
  <c r="Y4" i="14" s="1"/>
  <c r="X33" i="13"/>
  <c r="Y6" i="13" s="1"/>
  <c r="X34" i="13"/>
  <c r="Y7" i="13" s="1"/>
  <c r="X34" i="11"/>
  <c r="Y7" i="11" s="1"/>
  <c r="X32" i="11"/>
  <c r="Y5" i="11" s="1"/>
  <c r="X33" i="10"/>
  <c r="AA6" i="14"/>
  <c r="X34" i="10"/>
  <c r="Y7" i="10" s="1"/>
  <c r="AA4" i="12"/>
  <c r="AA6" i="11"/>
  <c r="Y6" i="11"/>
  <c r="V7" i="12"/>
  <c r="V4" i="12"/>
  <c r="V4" i="14"/>
  <c r="V5" i="13"/>
  <c r="V6" i="13"/>
  <c r="V7" i="14"/>
  <c r="V5" i="14"/>
  <c r="V7" i="13"/>
  <c r="U5" i="12"/>
  <c r="AA4" i="13"/>
  <c r="X32" i="12"/>
  <c r="Y5" i="12" s="1"/>
  <c r="U5" i="10"/>
  <c r="U6" i="10"/>
  <c r="U5" i="11"/>
  <c r="U7" i="11"/>
  <c r="X33" i="12"/>
  <c r="Y6" i="12" s="1"/>
  <c r="U7" i="10"/>
  <c r="AA7" i="11"/>
  <c r="U6" i="11"/>
  <c r="Y7" i="12"/>
  <c r="V7" i="10"/>
  <c r="U4" i="12"/>
  <c r="U6" i="12"/>
  <c r="V4" i="11"/>
  <c r="V7" i="11"/>
  <c r="V5" i="11"/>
  <c r="X22" i="12"/>
  <c r="Y4" i="12" s="1"/>
  <c r="AA5" i="13"/>
  <c r="AA6" i="10"/>
  <c r="AA5" i="12"/>
  <c r="AA4" i="14"/>
  <c r="U7" i="14"/>
  <c r="AA4" i="10"/>
  <c r="U5" i="14"/>
  <c r="AA5" i="11"/>
  <c r="AA7" i="12"/>
  <c r="AA5" i="10"/>
  <c r="AA6" i="12"/>
  <c r="AA4" i="11"/>
  <c r="V4" i="10"/>
  <c r="V5" i="10"/>
  <c r="V6" i="12"/>
  <c r="AA7" i="14"/>
  <c r="AA5" i="14"/>
  <c r="AA7" i="10"/>
  <c r="AA6" i="13"/>
  <c r="AA7" i="13"/>
  <c r="X12" i="13" s="1"/>
  <c r="U5" i="13" s="1"/>
  <c r="U6" i="14"/>
  <c r="AA33" i="8"/>
  <c r="AA34" i="8"/>
  <c r="Y22" i="8"/>
  <c r="S4" i="8"/>
  <c r="Y27" i="8"/>
  <c r="Y28" i="8"/>
  <c r="Y23" i="8"/>
  <c r="Z27" i="8"/>
  <c r="Z29" i="8"/>
  <c r="Z19" i="8"/>
  <c r="F19" i="8" s="1"/>
  <c r="Z24" i="8"/>
  <c r="G20" i="8" s="1"/>
  <c r="Y18" i="8"/>
  <c r="E18" i="8" s="1"/>
  <c r="Z22" i="8"/>
  <c r="G17" i="8" s="1"/>
  <c r="Z17" i="8"/>
  <c r="F17" i="8" s="1"/>
  <c r="R4" i="8"/>
  <c r="P4" i="8"/>
  <c r="AA29" i="8"/>
  <c r="J20" i="8" s="1"/>
  <c r="Y17" i="8"/>
  <c r="E17" i="8" s="1"/>
  <c r="AA28" i="8"/>
  <c r="J19" i="8" s="1"/>
  <c r="Y7" i="14" l="1"/>
  <c r="T7" i="14" s="1"/>
  <c r="Y6" i="10"/>
  <c r="T6" i="10" s="1"/>
  <c r="T6" i="14"/>
  <c r="T4" i="14"/>
  <c r="T6" i="11"/>
  <c r="T4" i="12"/>
  <c r="T7" i="12"/>
  <c r="T5" i="13"/>
  <c r="T7" i="11"/>
  <c r="T5" i="12"/>
  <c r="T4" i="11"/>
  <c r="T5" i="11"/>
  <c r="T5" i="14"/>
  <c r="T4" i="10"/>
  <c r="T5" i="10"/>
  <c r="T6" i="12"/>
  <c r="T7" i="10"/>
  <c r="U6" i="13"/>
  <c r="T6" i="13" s="1"/>
  <c r="U7" i="13"/>
  <c r="T7" i="13" s="1"/>
  <c r="U4" i="13"/>
  <c r="T4" i="13" s="1"/>
  <c r="Q4" i="8"/>
  <c r="AC4" i="8" s="1"/>
  <c r="T13" i="12" l="1"/>
  <c r="Q13" i="12" s="1"/>
  <c r="T11" i="12"/>
  <c r="P11" i="12" s="1"/>
  <c r="AE11" i="12" s="1"/>
  <c r="T12" i="12"/>
  <c r="Q12" i="12" s="1"/>
  <c r="T14" i="11"/>
  <c r="P14" i="11" s="1"/>
  <c r="AE14" i="11" s="1"/>
  <c r="T12" i="11"/>
  <c r="S12" i="11" s="1"/>
  <c r="AH12" i="11" s="1"/>
  <c r="T11" i="11"/>
  <c r="R11" i="11" s="1"/>
  <c r="AF11" i="11" s="1"/>
  <c r="T13" i="11"/>
  <c r="R13" i="11" s="1"/>
  <c r="AF13" i="11" s="1"/>
  <c r="T11" i="14"/>
  <c r="O11" i="14" s="1"/>
  <c r="T14" i="12"/>
  <c r="S14" i="12" s="1"/>
  <c r="AH14" i="12" s="1"/>
  <c r="T14" i="14"/>
  <c r="S14" i="14" s="1"/>
  <c r="AH14" i="14" s="1"/>
  <c r="T12" i="14"/>
  <c r="P12" i="14" s="1"/>
  <c r="AE12" i="14" s="1"/>
  <c r="T13" i="14"/>
  <c r="S13" i="14" s="1"/>
  <c r="AH13" i="14" s="1"/>
  <c r="T11" i="10"/>
  <c r="O11" i="10" s="1"/>
  <c r="T13" i="13"/>
  <c r="Q13" i="13" s="1"/>
  <c r="T13" i="10"/>
  <c r="S13" i="10" s="1"/>
  <c r="AH13" i="10" s="1"/>
  <c r="T14" i="10"/>
  <c r="P14" i="10" s="1"/>
  <c r="AE14" i="10" s="1"/>
  <c r="T12" i="10"/>
  <c r="S12" i="10" s="1"/>
  <c r="AH12" i="10" s="1"/>
  <c r="T12" i="13"/>
  <c r="P12" i="13" s="1"/>
  <c r="AE12" i="13" s="1"/>
  <c r="T14" i="13"/>
  <c r="Q14" i="13" s="1"/>
  <c r="T11" i="13"/>
  <c r="S11" i="13" s="1"/>
  <c r="AH11" i="13" s="1"/>
  <c r="O13" i="12" l="1"/>
  <c r="Q11" i="11"/>
  <c r="Q11" i="12"/>
  <c r="R13" i="12"/>
  <c r="AF13" i="12" s="1"/>
  <c r="S13" i="12"/>
  <c r="AH13" i="12" s="1"/>
  <c r="O14" i="11"/>
  <c r="P13" i="12"/>
  <c r="AE13" i="12" s="1"/>
  <c r="S11" i="12"/>
  <c r="AH11" i="12" s="1"/>
  <c r="O11" i="11"/>
  <c r="S13" i="13"/>
  <c r="AH13" i="13" s="1"/>
  <c r="O11" i="12"/>
  <c r="Q13" i="11"/>
  <c r="R11" i="12"/>
  <c r="AF11" i="12" s="1"/>
  <c r="S13" i="11"/>
  <c r="AH13" i="11" s="1"/>
  <c r="R12" i="13"/>
  <c r="AF12" i="13" s="1"/>
  <c r="O13" i="10"/>
  <c r="P13" i="11"/>
  <c r="AE13" i="11" s="1"/>
  <c r="R12" i="12"/>
  <c r="AF12" i="12" s="1"/>
  <c r="S12" i="12"/>
  <c r="AH12" i="12" s="1"/>
  <c r="R11" i="14"/>
  <c r="AF11" i="14" s="1"/>
  <c r="O14" i="12"/>
  <c r="P14" i="12"/>
  <c r="AE14" i="12" s="1"/>
  <c r="P12" i="12"/>
  <c r="AE12" i="12" s="1"/>
  <c r="S11" i="14"/>
  <c r="AH11" i="14" s="1"/>
  <c r="R13" i="13"/>
  <c r="AF13" i="13" s="1"/>
  <c r="S11" i="11"/>
  <c r="AH11" i="11" s="1"/>
  <c r="P11" i="14"/>
  <c r="AE11" i="14" s="1"/>
  <c r="O12" i="13"/>
  <c r="V11" i="11"/>
  <c r="R13" i="10"/>
  <c r="AF13" i="10" s="1"/>
  <c r="S12" i="14"/>
  <c r="AH12" i="14" s="1"/>
  <c r="O12" i="12"/>
  <c r="S14" i="11"/>
  <c r="AH14" i="11" s="1"/>
  <c r="O13" i="11"/>
  <c r="R14" i="14"/>
  <c r="AF14" i="14" s="1"/>
  <c r="O14" i="14"/>
  <c r="R14" i="11"/>
  <c r="AF14" i="11" s="1"/>
  <c r="P14" i="14"/>
  <c r="AE14" i="14" s="1"/>
  <c r="Q14" i="14"/>
  <c r="O12" i="14"/>
  <c r="R12" i="14"/>
  <c r="AF12" i="14" s="1"/>
  <c r="Q11" i="10"/>
  <c r="Q14" i="11"/>
  <c r="V11" i="12"/>
  <c r="Q11" i="14"/>
  <c r="P12" i="11"/>
  <c r="AE12" i="11" s="1"/>
  <c r="O13" i="13"/>
  <c r="P11" i="11"/>
  <c r="AE11" i="11" s="1"/>
  <c r="Q12" i="11"/>
  <c r="R11" i="10"/>
  <c r="AF11" i="10" s="1"/>
  <c r="O12" i="11"/>
  <c r="S11" i="10"/>
  <c r="AH11" i="10" s="1"/>
  <c r="P11" i="10"/>
  <c r="AE11" i="10" s="1"/>
  <c r="R12" i="11"/>
  <c r="AF12" i="11" s="1"/>
  <c r="V11" i="13"/>
  <c r="R14" i="12"/>
  <c r="AF14" i="12" s="1"/>
  <c r="P11" i="13"/>
  <c r="AE11" i="13" s="1"/>
  <c r="Q14" i="12"/>
  <c r="P13" i="14"/>
  <c r="AE13" i="14" s="1"/>
  <c r="Q12" i="14"/>
  <c r="O12" i="10"/>
  <c r="R12" i="10"/>
  <c r="AF12" i="10" s="1"/>
  <c r="Q12" i="10"/>
  <c r="P12" i="10"/>
  <c r="AE12" i="10" s="1"/>
  <c r="O11" i="13"/>
  <c r="R13" i="14"/>
  <c r="AF13" i="14" s="1"/>
  <c r="Q13" i="14"/>
  <c r="V11" i="14"/>
  <c r="O13" i="14"/>
  <c r="Q12" i="13"/>
  <c r="V11" i="10"/>
  <c r="Q13" i="10"/>
  <c r="S12" i="13"/>
  <c r="AH12" i="13" s="1"/>
  <c r="P13" i="13"/>
  <c r="AE13" i="13" s="1"/>
  <c r="P13" i="10"/>
  <c r="AE13" i="10" s="1"/>
  <c r="R14" i="10"/>
  <c r="AF14" i="10" s="1"/>
  <c r="O14" i="10"/>
  <c r="Q14" i="10"/>
  <c r="S14" i="10"/>
  <c r="AH14" i="10" s="1"/>
  <c r="R14" i="13"/>
  <c r="AF14" i="13" s="1"/>
  <c r="O14" i="13"/>
  <c r="S14" i="13"/>
  <c r="AH14" i="13" s="1"/>
  <c r="P14" i="13"/>
  <c r="AE14" i="13" s="1"/>
  <c r="Q11" i="13"/>
  <c r="R11" i="13"/>
  <c r="AF11" i="13" s="1"/>
  <c r="Z32" i="8"/>
  <c r="S7" i="8"/>
  <c r="Z34" i="8"/>
  <c r="AA24" i="8"/>
  <c r="I20" i="8" s="1"/>
  <c r="AA23" i="8"/>
  <c r="I18" i="8" s="1"/>
  <c r="R7" i="8"/>
  <c r="P7" i="8"/>
  <c r="Q7" i="8" l="1"/>
  <c r="AC7" i="8" s="1"/>
  <c r="Y32" i="8"/>
  <c r="S6" i="8"/>
  <c r="R5" i="8"/>
  <c r="AA18" i="8"/>
  <c r="H18" i="8" s="1"/>
  <c r="S24" i="8" a="1"/>
  <c r="S24" i="8" s="1"/>
  <c r="S32" i="8" a="1"/>
  <c r="S32" i="8" s="1"/>
  <c r="S18" i="8" a="1"/>
  <c r="S18" i="8" s="1"/>
  <c r="S33" i="8" a="1"/>
  <c r="S33" i="8" s="1"/>
  <c r="S23" i="8" a="1"/>
  <c r="S23" i="8" s="1"/>
  <c r="S19" i="8" a="1"/>
  <c r="S19" i="8" s="1"/>
  <c r="S27" i="8" a="1"/>
  <c r="S27" i="8" s="1"/>
  <c r="Y33" i="8"/>
  <c r="S29" i="8" a="1"/>
  <c r="S29" i="8" s="1"/>
  <c r="S28" i="8" a="1"/>
  <c r="S28" i="8" s="1"/>
  <c r="S34" i="8" a="1"/>
  <c r="S34" i="8" s="1"/>
  <c r="S17" i="8" a="1"/>
  <c r="S17" i="8" s="1"/>
  <c r="S22" i="8" a="1"/>
  <c r="S22" i="8" s="1"/>
  <c r="R18" i="8" a="1"/>
  <c r="R18" i="8" s="1"/>
  <c r="AA19" i="8"/>
  <c r="H19" i="8" s="1"/>
  <c r="R27" i="8" a="1"/>
  <c r="R27" i="8" s="1"/>
  <c r="R24" i="8" a="1"/>
  <c r="R24" i="8" s="1"/>
  <c r="R6" i="8"/>
  <c r="R29" i="8" a="1"/>
  <c r="R29" i="8" s="1"/>
  <c r="R17" i="8" a="1"/>
  <c r="R17" i="8" s="1"/>
  <c r="R22" i="8" a="1"/>
  <c r="R22" i="8" s="1"/>
  <c r="R34" i="8" a="1"/>
  <c r="R34" i="8" s="1"/>
  <c r="R32" i="8" a="1"/>
  <c r="R32" i="8" s="1"/>
  <c r="R28" i="8" a="1"/>
  <c r="R28" i="8" s="1"/>
  <c r="R23" i="8" a="1"/>
  <c r="R23" i="8" s="1"/>
  <c r="R33" i="8" a="1"/>
  <c r="R33" i="8" s="1"/>
  <c r="S5" i="8"/>
  <c r="R19" i="8" a="1"/>
  <c r="R19" i="8" s="1"/>
  <c r="M9" i="8"/>
  <c r="H9" i="8" s="1"/>
  <c r="Q5" i="8" l="1"/>
  <c r="Q6" i="8"/>
  <c r="Q19" i="8"/>
  <c r="Q23" i="8"/>
  <c r="Q22" i="8"/>
  <c r="Q27" i="8"/>
  <c r="Q33" i="8"/>
  <c r="Q18" i="8"/>
  <c r="Q32" i="8"/>
  <c r="Q17" i="8"/>
  <c r="Q34" i="8"/>
  <c r="Q28" i="8"/>
  <c r="Q29" i="8"/>
  <c r="Q24" i="8"/>
  <c r="P5" i="8"/>
  <c r="I9" i="8"/>
  <c r="P6" i="8" s="1"/>
  <c r="Z11" i="8"/>
  <c r="P32" i="8" l="1" a="1"/>
  <c r="P32" i="8" s="1"/>
  <c r="T32" i="8" s="1"/>
  <c r="P34" i="8" a="1"/>
  <c r="P34" i="8" s="1"/>
  <c r="T34" i="8" s="1"/>
  <c r="P24" i="8" a="1"/>
  <c r="P24" i="8" s="1"/>
  <c r="T24" i="8" s="1"/>
  <c r="P17" i="8" a="1"/>
  <c r="P17" i="8" s="1"/>
  <c r="T17" i="8" s="1"/>
  <c r="AC6" i="8"/>
  <c r="L19" i="8"/>
  <c r="Z6" i="8" s="1"/>
  <c r="P23" i="8" a="1"/>
  <c r="P23" i="8" s="1"/>
  <c r="T23" i="8" s="1"/>
  <c r="L20" i="8"/>
  <c r="Z7" i="8" s="1"/>
  <c r="L17" i="8"/>
  <c r="Z4" i="8" s="1"/>
  <c r="L18" i="8"/>
  <c r="Z5" i="8" s="1"/>
  <c r="AC5" i="8"/>
  <c r="X12" i="8"/>
  <c r="P29" i="8" a="1"/>
  <c r="P29" i="8" s="1"/>
  <c r="T29" i="8" s="1"/>
  <c r="P27" i="8" a="1"/>
  <c r="P27" i="8" s="1"/>
  <c r="T27" i="8" s="1"/>
  <c r="P33" i="8" a="1"/>
  <c r="P33" i="8" s="1"/>
  <c r="T33" i="8" s="1"/>
  <c r="P18" i="8" a="1"/>
  <c r="P18" i="8" s="1"/>
  <c r="T18" i="8" s="1"/>
  <c r="P28" i="8" a="1"/>
  <c r="P28" i="8" s="1"/>
  <c r="T28" i="8" s="1"/>
  <c r="P22" i="8" a="1"/>
  <c r="P22" i="8" s="1"/>
  <c r="T22" i="8" s="1"/>
  <c r="P19" i="8" a="1"/>
  <c r="P19" i="8" s="1"/>
  <c r="T19" i="8" s="1"/>
  <c r="W34" i="8" l="1"/>
  <c r="AB34" i="8"/>
  <c r="AC34" i="8" s="1"/>
  <c r="AB27" i="8"/>
  <c r="AC27" i="8" s="1"/>
  <c r="U32" i="8"/>
  <c r="V32" i="8" s="1"/>
  <c r="W32" i="8"/>
  <c r="AB29" i="8"/>
  <c r="AC29" i="8" s="1"/>
  <c r="AB24" i="8"/>
  <c r="AC24" i="8" s="1"/>
  <c r="U22" i="8"/>
  <c r="V22" i="8" s="1"/>
  <c r="W22" i="8"/>
  <c r="U27" i="8"/>
  <c r="V27" i="8" s="1"/>
  <c r="W27" i="8"/>
  <c r="AB32" i="8"/>
  <c r="AC32" i="8" s="1"/>
  <c r="U29" i="8"/>
  <c r="V29" i="8" s="1"/>
  <c r="W29" i="8"/>
  <c r="U4" i="8"/>
  <c r="U7" i="8"/>
  <c r="U6" i="8"/>
  <c r="U5" i="8"/>
  <c r="B34" i="1"/>
  <c r="X11" i="8"/>
  <c r="U24" i="8"/>
  <c r="V24" i="8" s="1"/>
  <c r="X24" i="8" s="1"/>
  <c r="W24" i="8"/>
  <c r="AB22" i="8"/>
  <c r="AC22" i="8" s="1"/>
  <c r="W28" i="8"/>
  <c r="U28" i="8"/>
  <c r="V28" i="8" s="1"/>
  <c r="AB17" i="8"/>
  <c r="AC17" i="8" s="1"/>
  <c r="AB23" i="8"/>
  <c r="AC23" i="8" s="1"/>
  <c r="U17" i="8"/>
  <c r="V17" i="8" s="1"/>
  <c r="X17" i="8" s="1"/>
  <c r="W17" i="8"/>
  <c r="AB18" i="8"/>
  <c r="AC18" i="8" s="1"/>
  <c r="W23" i="8"/>
  <c r="U23" i="8"/>
  <c r="V23" i="8" s="1"/>
  <c r="U18" i="8"/>
  <c r="V18" i="8" s="1"/>
  <c r="W18" i="8"/>
  <c r="AB28" i="8"/>
  <c r="AC28" i="8" s="1"/>
  <c r="AB33" i="8"/>
  <c r="AC33" i="8" s="1"/>
  <c r="W19" i="8"/>
  <c r="U19" i="8"/>
  <c r="V19" i="8" s="1"/>
  <c r="X19" i="8" s="1"/>
  <c r="U33" i="8"/>
  <c r="V33" i="8" s="1"/>
  <c r="X33" i="8" s="1"/>
  <c r="W33" i="8"/>
  <c r="AB19" i="8"/>
  <c r="AC19" i="8" s="1"/>
  <c r="U34" i="8"/>
  <c r="V34" i="8" s="1"/>
  <c r="X34" i="8" s="1"/>
  <c r="X23" i="8" l="1"/>
  <c r="X22" i="8"/>
  <c r="X28" i="8"/>
  <c r="Y6" i="8" s="1"/>
  <c r="X27" i="8"/>
  <c r="X18" i="8"/>
  <c r="X32" i="8"/>
  <c r="AA6" i="8"/>
  <c r="AA7" i="8"/>
  <c r="X29" i="8"/>
  <c r="Y7" i="8" s="1"/>
  <c r="AA4" i="8"/>
  <c r="V5" i="8"/>
  <c r="V6" i="8"/>
  <c r="B41" i="1"/>
  <c r="V7" i="8"/>
  <c r="V4" i="8"/>
  <c r="AA5" i="8"/>
  <c r="Y4" i="8" l="1"/>
  <c r="T4" i="8" s="1"/>
  <c r="Y5" i="8"/>
  <c r="T5" i="8" s="1"/>
  <c r="T6" i="8"/>
  <c r="T7" i="8"/>
  <c r="T13" i="8" l="1"/>
  <c r="S13" i="8" s="1"/>
  <c r="T12" i="8"/>
  <c r="R12" i="8" s="1"/>
  <c r="AF12" i="8" s="1"/>
  <c r="T11" i="8"/>
  <c r="S11" i="8" s="1"/>
  <c r="AH11" i="8" s="1"/>
  <c r="T14" i="8"/>
  <c r="Q14" i="8" s="1"/>
  <c r="Q13" i="8" l="1"/>
  <c r="E4" i="15" s="1"/>
  <c r="O13" i="8"/>
  <c r="C4" i="15" s="1"/>
  <c r="P13" i="8"/>
  <c r="AE13" i="8" s="1"/>
  <c r="R13" i="8"/>
  <c r="F4" i="15" s="1"/>
  <c r="O14" i="8"/>
  <c r="B6" i="1" s="1"/>
  <c r="P14" i="8"/>
  <c r="AE14" i="8" s="1"/>
  <c r="S14" i="8"/>
  <c r="AH14" i="8" s="1"/>
  <c r="R14" i="8"/>
  <c r="AF14" i="8" s="1"/>
  <c r="P12" i="8"/>
  <c r="AE12" i="8" s="1"/>
  <c r="Q12" i="8"/>
  <c r="P11" i="8"/>
  <c r="AE11" i="8" s="1"/>
  <c r="O11" i="8"/>
  <c r="B3" i="1" s="1"/>
  <c r="S12" i="8"/>
  <c r="AH12" i="8" s="1"/>
  <c r="Q11" i="8"/>
  <c r="O12" i="8"/>
  <c r="B4" i="1" s="1"/>
  <c r="R11" i="8"/>
  <c r="AF11" i="8" s="1"/>
  <c r="V11" i="8"/>
  <c r="C4" i="16" s="1"/>
  <c r="AH13" i="8"/>
  <c r="G4" i="15"/>
  <c r="AF13" i="8" l="1"/>
  <c r="C5" i="1" s="1"/>
  <c r="D4" i="15"/>
  <c r="B5" i="1"/>
  <c r="C4" i="1"/>
  <c r="C6" i="1"/>
  <c r="C3" i="1"/>
  <c r="B7" i="1"/>
  <c r="E4" i="16"/>
  <c r="K4" i="15"/>
  <c r="L4" i="15"/>
  <c r="H4" i="15" l="1"/>
  <c r="F4" i="16"/>
  <c r="F5" i="15"/>
  <c r="E41" i="1"/>
  <c r="E5" i="1"/>
  <c r="E6" i="1"/>
  <c r="G5" i="15"/>
  <c r="C5" i="15"/>
  <c r="K5" i="15" s="1"/>
  <c r="E7" i="1"/>
  <c r="F4" i="1"/>
  <c r="E5" i="15"/>
  <c r="F3" i="1"/>
  <c r="E4" i="1"/>
  <c r="F6" i="1"/>
  <c r="E3" i="1"/>
  <c r="F5" i="1"/>
  <c r="L5" i="15" l="1"/>
  <c r="C5" i="16"/>
  <c r="E5" i="16" s="1"/>
  <c r="D5" i="15"/>
  <c r="H5" i="15" l="1"/>
  <c r="F5" i="16"/>
  <c r="E34" i="1" l="1"/>
  <c r="H41" i="1"/>
  <c r="F6" i="15"/>
  <c r="I3" i="1"/>
  <c r="H4" i="1"/>
  <c r="G6" i="15"/>
  <c r="C6" i="15"/>
  <c r="K6" i="15" s="1"/>
  <c r="H5" i="1"/>
  <c r="I5" i="1"/>
  <c r="I4" i="1"/>
  <c r="H3" i="1"/>
  <c r="H6" i="1"/>
  <c r="I6" i="1"/>
  <c r="E6" i="15"/>
  <c r="H7" i="1"/>
  <c r="D6" i="15"/>
  <c r="L6" i="15" l="1"/>
  <c r="H6" i="15" s="1"/>
  <c r="C6" i="16"/>
  <c r="E6" i="16" s="1"/>
  <c r="H34" i="1"/>
  <c r="F6" i="16" l="1"/>
  <c r="F7" i="15"/>
  <c r="E7" i="15"/>
  <c r="K5" i="1"/>
  <c r="G7" i="15"/>
  <c r="K3" i="1"/>
  <c r="K41" i="1"/>
  <c r="K7" i="1"/>
  <c r="L5" i="1"/>
  <c r="L4" i="1"/>
  <c r="C7" i="15"/>
  <c r="L7" i="15" s="1"/>
  <c r="L6" i="1"/>
  <c r="L3" i="1"/>
  <c r="K4" i="1"/>
  <c r="K6" i="1"/>
  <c r="D7" i="15"/>
  <c r="C7" i="16"/>
  <c r="E7" i="16" s="1"/>
  <c r="K34" i="1"/>
  <c r="K7" i="15" l="1"/>
  <c r="H7" i="15" s="1"/>
  <c r="F7" i="16"/>
  <c r="O3" i="1"/>
  <c r="G8" i="15"/>
  <c r="E8" i="15"/>
  <c r="N7" i="1"/>
  <c r="N4" i="1"/>
  <c r="F8" i="15"/>
  <c r="N41" i="1"/>
  <c r="N5" i="1"/>
  <c r="O5" i="1"/>
  <c r="C8" i="15"/>
  <c r="L8" i="15" s="1"/>
  <c r="O6" i="1"/>
  <c r="N3" i="1"/>
  <c r="N6" i="1"/>
  <c r="O4" i="1"/>
  <c r="C8" i="16"/>
  <c r="E8" i="16" s="1"/>
  <c r="D8" i="15"/>
  <c r="N34" i="1"/>
  <c r="K8" i="15" l="1"/>
  <c r="H8" i="15" s="1"/>
  <c r="F8" i="16"/>
  <c r="G9" i="15"/>
  <c r="R4" i="1"/>
  <c r="R6" i="1"/>
  <c r="Q41" i="1"/>
  <c r="F9" i="15"/>
  <c r="Q3" i="1"/>
  <c r="C9" i="15"/>
  <c r="L9" i="15" s="1"/>
  <c r="Q5" i="1"/>
  <c r="G13" i="16"/>
  <c r="H47" i="1" s="1"/>
  <c r="Q7" i="1"/>
  <c r="R3" i="1"/>
  <c r="E9" i="15"/>
  <c r="R5" i="1"/>
  <c r="Q4" i="1"/>
  <c r="Q6" i="1"/>
  <c r="D9" i="15"/>
  <c r="C9" i="16"/>
  <c r="D4" i="16" s="1"/>
  <c r="Q34" i="1"/>
  <c r="K9" i="15" l="1"/>
  <c r="H9" i="15" s="1"/>
  <c r="B45" i="1"/>
  <c r="H53" i="1" s="1"/>
  <c r="I61" i="1" s="1"/>
  <c r="H69" i="1" s="1"/>
  <c r="N45" i="1"/>
  <c r="W53" i="1" s="1"/>
  <c r="W61" i="1" s="1"/>
  <c r="Q46" i="1"/>
  <c r="U53" i="1" s="1"/>
  <c r="E46" i="1"/>
  <c r="O53" i="1" s="1"/>
  <c r="E9" i="16"/>
  <c r="N46" i="1"/>
  <c r="C53" i="1" s="1"/>
  <c r="H48" i="1"/>
  <c r="E47" i="1"/>
  <c r="Q47" i="1"/>
  <c r="K45" i="1"/>
  <c r="T53" i="1" s="1"/>
  <c r="K46" i="1"/>
  <c r="B53" i="1" s="1"/>
  <c r="C61" i="1" s="1"/>
  <c r="N47" i="1"/>
  <c r="Q48" i="1"/>
  <c r="B48" i="1"/>
  <c r="E45" i="1"/>
  <c r="K53" i="1" s="1"/>
  <c r="K61" i="1" s="1"/>
  <c r="E48" i="1"/>
  <c r="K48" i="1"/>
  <c r="K47" i="1"/>
  <c r="B47" i="1"/>
  <c r="N48" i="1"/>
  <c r="B46" i="1"/>
  <c r="N53" i="1" s="1"/>
  <c r="H46" i="1"/>
  <c r="I53" i="1" s="1"/>
  <c r="Q45" i="1"/>
  <c r="E53" i="1" s="1"/>
  <c r="E61" i="1" s="1"/>
  <c r="F69" i="1" s="1"/>
  <c r="H45" i="1"/>
  <c r="Q53" i="1" s="1"/>
  <c r="L79" i="1" l="1"/>
  <c r="O61" i="1"/>
  <c r="U61" i="1"/>
  <c r="T69" i="1" s="1"/>
  <c r="H12" i="15"/>
  <c r="D12" i="15" s="1"/>
  <c r="M12" i="15" s="1"/>
  <c r="H15" i="15"/>
  <c r="F15" i="15" s="1"/>
  <c r="N15" i="15" s="1"/>
  <c r="H16" i="15"/>
  <c r="C16" i="15" s="1"/>
  <c r="W48" i="1" s="1"/>
  <c r="H14" i="15"/>
  <c r="F14" i="15" s="1"/>
  <c r="N14" i="15" s="1"/>
  <c r="H13" i="15"/>
  <c r="C13" i="15" s="1"/>
  <c r="T47" i="1" s="1"/>
  <c r="H11" i="15"/>
  <c r="F11" i="15" s="1"/>
  <c r="N11" i="15" s="1"/>
  <c r="F9" i="16"/>
  <c r="G8" i="16" s="1"/>
  <c r="G9" i="16" l="1"/>
  <c r="G4" i="16"/>
  <c r="G7" i="16"/>
  <c r="G15" i="15"/>
  <c r="P15" i="15" s="1"/>
  <c r="D15" i="15"/>
  <c r="M15" i="15" s="1"/>
  <c r="E15" i="15"/>
  <c r="C15" i="15"/>
  <c r="W47" i="1" s="1"/>
  <c r="I15" i="15"/>
  <c r="X47" i="1" s="1"/>
  <c r="I14" i="15"/>
  <c r="V48" i="1" s="1"/>
  <c r="G11" i="15"/>
  <c r="P11" i="15" s="1"/>
  <c r="F12" i="15"/>
  <c r="N12" i="15" s="1"/>
  <c r="C11" i="15"/>
  <c r="T45" i="1" s="1"/>
  <c r="G14" i="15"/>
  <c r="P14" i="15" s="1"/>
  <c r="G16" i="15"/>
  <c r="P16" i="15" s="1"/>
  <c r="D16" i="15"/>
  <c r="M16" i="15" s="1"/>
  <c r="F16" i="15"/>
  <c r="N16" i="15" s="1"/>
  <c r="I11" i="15"/>
  <c r="E16" i="15"/>
  <c r="I16" i="15"/>
  <c r="X48" i="1" s="1"/>
  <c r="E11" i="15"/>
  <c r="D11" i="15"/>
  <c r="M11" i="15" s="1"/>
  <c r="D14" i="15"/>
  <c r="M14" i="15" s="1"/>
  <c r="C14" i="15"/>
  <c r="T48" i="1" s="1"/>
  <c r="E14" i="15"/>
  <c r="G12" i="15"/>
  <c r="P12" i="15" s="1"/>
  <c r="E12" i="15"/>
  <c r="E13" i="15"/>
  <c r="I13" i="15"/>
  <c r="V47" i="1" s="1"/>
  <c r="G13" i="15"/>
  <c r="P13" i="15" s="1"/>
  <c r="C12" i="15"/>
  <c r="T46" i="1" s="1"/>
  <c r="D13" i="15"/>
  <c r="M13" i="15" s="1"/>
  <c r="F13" i="15"/>
  <c r="N13" i="15" s="1"/>
  <c r="I12" i="15"/>
  <c r="V46" i="1" s="1"/>
  <c r="I21" i="15"/>
  <c r="G5" i="16"/>
  <c r="G6" i="16"/>
  <c r="T43" i="1" l="1"/>
  <c r="T27" i="1"/>
  <c r="T30" i="1"/>
  <c r="K14" i="15" a="1"/>
  <c r="K14" i="15" s="1"/>
  <c r="V45" i="1"/>
  <c r="K12" i="15" a="1"/>
  <c r="K12" i="15" s="1"/>
  <c r="G11" i="16"/>
  <c r="I4" i="16" s="1"/>
  <c r="T28" i="1" s="1"/>
  <c r="K11" i="15" a="1"/>
  <c r="K11" i="15" s="1"/>
  <c r="K13" i="15" a="1"/>
  <c r="K13" i="15" s="1"/>
  <c r="S11" i="15" l="1"/>
  <c r="L14" i="15"/>
  <c r="L11" i="15"/>
  <c r="L12" i="15"/>
  <c r="L13" i="15"/>
  <c r="R14" i="15"/>
  <c r="S13" i="15"/>
  <c r="R12" i="15"/>
  <c r="R11" i="15"/>
  <c r="S12" i="15"/>
  <c r="R13" i="15"/>
  <c r="S14" i="15"/>
  <c r="I18" i="15" l="1"/>
  <c r="R53" i="1" s="1"/>
  <c r="Q61" i="1" s="1"/>
  <c r="R69" i="1" s="1"/>
  <c r="N79" i="1" s="1"/>
  <c r="X53" i="1" l="1"/>
  <c r="F53" i="1"/>
  <c r="L53" i="1"/>
  <c r="W45" i="1"/>
</calcChain>
</file>

<file path=xl/sharedStrings.xml><?xml version="1.0" encoding="utf-8"?>
<sst xmlns="http://schemas.openxmlformats.org/spreadsheetml/2006/main" count="925" uniqueCount="311">
  <si>
    <t>Gruppe A</t>
  </si>
  <si>
    <t>Gruppe B</t>
  </si>
  <si>
    <t>Gruppe C</t>
  </si>
  <si>
    <t>Gruppe D</t>
  </si>
  <si>
    <t>Gruppe E</t>
  </si>
  <si>
    <t>Gruppe F</t>
  </si>
  <si>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</si>
  <si>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</si>
  <si>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</si>
  <si>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</si>
  <si>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</si>
  <si>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</si>
  <si>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</si>
  <si>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</si>
  <si>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</si>
  <si>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</si>
  <si>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</si>
  <si>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</si>
  <si>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</si>
  <si>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</si>
  <si>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</si>
  <si>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</si>
  <si>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</si>
  <si>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</si>
  <si>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</si>
  <si>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</si>
  <si>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</si>
  <si>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</si>
  <si>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</si>
  <si>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</si>
  <si>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</si>
  <si>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</si>
  <si>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16 Uhr</t>
  </si>
  <si>
    <t>Baku</t>
  </si>
  <si>
    <t>Ukraine</t>
  </si>
  <si>
    <t>Amsterdam</t>
  </si>
  <si>
    <t>London</t>
  </si>
  <si>
    <t>Glasgow</t>
  </si>
  <si>
    <t>Budapest</t>
  </si>
  <si>
    <t>3D/E/F</t>
  </si>
  <si>
    <t>3A/D/E/F</t>
  </si>
  <si>
    <t>3A/B/C</t>
  </si>
  <si>
    <t>3A/B/C/D</t>
  </si>
  <si>
    <t>St. Petersburg</t>
  </si>
  <si>
    <t>A B C D</t>
  </si>
  <si>
    <t>A B C E</t>
  </si>
  <si>
    <t>A B C F</t>
  </si>
  <si>
    <t>A B D E</t>
  </si>
  <si>
    <t>A B D F</t>
  </si>
  <si>
    <t>A B E F</t>
  </si>
  <si>
    <t>A C D E</t>
  </si>
  <si>
    <t>A C D F</t>
  </si>
  <si>
    <t>A C E F</t>
  </si>
  <si>
    <t>A D E F</t>
  </si>
  <si>
    <t>B C D E</t>
  </si>
  <si>
    <t>B C D F</t>
  </si>
  <si>
    <t>B C E F</t>
  </si>
  <si>
    <t>B D E F</t>
  </si>
  <si>
    <t>C D E F</t>
  </si>
  <si>
    <t>B</t>
  </si>
  <si>
    <t>C</t>
  </si>
  <si>
    <t>E</t>
  </si>
  <si>
    <t>F</t>
  </si>
  <si>
    <t>A</t>
  </si>
  <si>
    <t>D</t>
  </si>
  <si>
    <t>Gruppenkombination:</t>
  </si>
  <si>
    <t>1.</t>
  </si>
  <si>
    <t>2.</t>
  </si>
  <si>
    <t>3.</t>
  </si>
  <si>
    <t>4.</t>
  </si>
  <si>
    <t>Gruppendritte</t>
  </si>
  <si>
    <t>Grp</t>
  </si>
  <si>
    <t xml:space="preserve">Overall European Qualifiers Rankings
</t>
  </si>
  <si>
    <t>Punkte</t>
  </si>
  <si>
    <t>Tordifferenz</t>
  </si>
  <si>
    <t>:</t>
  </si>
  <si>
    <t>-</t>
  </si>
  <si>
    <t>Tore erzielt</t>
  </si>
  <si>
    <t>dir. Verg. 2</t>
  </si>
  <si>
    <t>dir. Vergl. 3</t>
  </si>
  <si>
    <t>Rangliste</t>
  </si>
  <si>
    <t>Koeffizient</t>
  </si>
  <si>
    <t>T kassiert</t>
  </si>
  <si>
    <t>T erzielt</t>
  </si>
  <si>
    <t>TD</t>
  </si>
  <si>
    <t>Elfmeterschießen</t>
  </si>
  <si>
    <t>Faktoren</t>
  </si>
  <si>
    <t>Fair play</t>
  </si>
  <si>
    <t>Spielstand</t>
  </si>
  <si>
    <t>Begegnung</t>
  </si>
  <si>
    <t>Kategorie</t>
  </si>
  <si>
    <t>Direktbegegnungen</t>
  </si>
  <si>
    <t>Ergebnisse</t>
  </si>
  <si>
    <t>Paarweise</t>
  </si>
  <si>
    <t>Dir. Vergl. (3)</t>
  </si>
  <si>
    <t>Dir. Vergl. (2)</t>
  </si>
  <si>
    <t>Pkte. + TD + T erzielt</t>
  </si>
  <si>
    <t>Ergebnisse Direktbegegnungen</t>
  </si>
  <si>
    <t>Dir. Vergl. (4)</t>
  </si>
  <si>
    <t>H</t>
  </si>
  <si>
    <t>I</t>
  </si>
  <si>
    <r>
      <rPr>
        <b/>
        <sz val="8"/>
        <rFont val="Calibri"/>
        <family val="2"/>
      </rPr>
      <t xml:space="preserve">   Pkt. </t>
    </r>
    <r>
      <rPr>
        <sz val="8"/>
        <rFont val="Calibri"/>
        <family val="2"/>
      </rPr>
      <t xml:space="preserve">        Tore</t>
    </r>
  </si>
  <si>
    <t>K</t>
  </si>
  <si>
    <t>L</t>
  </si>
  <si>
    <t>N</t>
  </si>
  <si>
    <t>O</t>
  </si>
  <si>
    <t>Q</t>
  </si>
  <si>
    <t>R</t>
  </si>
  <si>
    <t>5.</t>
  </si>
  <si>
    <t>6.</t>
  </si>
  <si>
    <t>Gruppe</t>
  </si>
  <si>
    <t>Eindeutigkeit</t>
  </si>
  <si>
    <t>Anzahl</t>
  </si>
  <si>
    <t>nicht eindeut.</t>
  </si>
  <si>
    <t>Texte</t>
  </si>
  <si>
    <t>Position</t>
  </si>
  <si>
    <t>Gesamttext:</t>
  </si>
  <si>
    <t>Eindeutigkeit der Gruppen</t>
  </si>
  <si>
    <t>gültig</t>
  </si>
  <si>
    <t>Anzahl Spiele</t>
  </si>
  <si>
    <t>Gesamtzahl aller eingetragenen Spiele:</t>
  </si>
  <si>
    <t>Roter Punkt:</t>
  </si>
  <si>
    <t>Roter Punkt</t>
  </si>
  <si>
    <t>Fair play rating</t>
  </si>
  <si>
    <t>Yellow = 1 Pt.   Yellow/Red = 3 Pts.   Red = 3 Pts.</t>
  </si>
  <si>
    <t>Enter the sum of minus points for a team</t>
  </si>
  <si>
    <t>Group A</t>
  </si>
  <si>
    <t>Minus points</t>
  </si>
  <si>
    <t>Group D</t>
  </si>
  <si>
    <t>Group B</t>
  </si>
  <si>
    <t>Group E</t>
  </si>
  <si>
    <t>Group C</t>
  </si>
  <si>
    <t>Group F</t>
  </si>
  <si>
    <r>
      <t xml:space="preserve">It is sufficient to only enter these points for those teams for which the fair play rating is used (see groups with a red dot --&gt; </t>
    </r>
    <r>
      <rPr>
        <sz val="10"/>
        <color rgb="FFC00000"/>
        <rFont val="Calibri"/>
        <family val="2"/>
        <scheme val="minor"/>
      </rPr>
      <t xml:space="preserve">• </t>
    </r>
    <r>
      <rPr>
        <sz val="10"/>
        <color theme="1"/>
        <rFont val="Calibri"/>
        <family val="2"/>
        <scheme val="minor"/>
      </rPr>
      <t>).</t>
    </r>
  </si>
  <si>
    <t>Hungary</t>
  </si>
  <si>
    <t>This list is derived from the results of the qualifying round for the European Championship in 2019. The ranking is determined by the group placement, the number of points achieved, the goal difference and further criteria that were not required here.</t>
  </si>
  <si>
    <t>Updated: Dec. 2020</t>
  </si>
  <si>
    <t>rank</t>
  </si>
  <si>
    <t>country</t>
  </si>
  <si>
    <t>position in the group</t>
  </si>
  <si>
    <t>number of points</t>
  </si>
  <si>
    <t>goal difference</t>
  </si>
  <si>
    <t>final group</t>
  </si>
  <si>
    <t>Belgium</t>
  </si>
  <si>
    <t>Germany</t>
  </si>
  <si>
    <t>Spain</t>
  </si>
  <si>
    <t>France</t>
  </si>
  <si>
    <t>Poland</t>
  </si>
  <si>
    <t>Croatia</t>
  </si>
  <si>
    <t>Netherlands</t>
  </si>
  <si>
    <t>Russia</t>
  </si>
  <si>
    <t>Denmark</t>
  </si>
  <si>
    <t>Austria</t>
  </si>
  <si>
    <t>Sweden</t>
  </si>
  <si>
    <t>Finland</t>
  </si>
  <si>
    <t>Slovakia</t>
  </si>
  <si>
    <t>Scotland</t>
  </si>
  <si>
    <t>North Macedon.</t>
  </si>
  <si>
    <t>Allocation of the four top 3rd-placed teams</t>
  </si>
  <si>
    <t>If third-placed teams
qualify from groups:</t>
  </si>
  <si>
    <t>then
first of group</t>
  </si>
  <si>
    <t>encounters
third of group</t>
  </si>
  <si>
    <t>Final table</t>
  </si>
  <si>
    <t>3rd-placed teams</t>
  </si>
  <si>
    <t>Group combination</t>
  </si>
  <si>
    <t>Not qualified:</t>
  </si>
  <si>
    <t>Round of 16 - 5</t>
  </si>
  <si>
    <t>Round of 16 - 6</t>
  </si>
  <si>
    <t>Round of 16 - 2</t>
  </si>
  <si>
    <t>Round of 16 - 4</t>
  </si>
  <si>
    <t>Round of 16 - 1</t>
  </si>
  <si>
    <t>Round of 16 - 3</t>
  </si>
  <si>
    <t>Round of 16 - 7</t>
  </si>
  <si>
    <t>Round of 16 - 8</t>
  </si>
  <si>
    <t>Quarter final 1</t>
  </si>
  <si>
    <t>Quarter final 2</t>
  </si>
  <si>
    <t>Quarter final 3</t>
  </si>
  <si>
    <t>Quarter final 4</t>
  </si>
  <si>
    <t>Semi-Final 1</t>
  </si>
  <si>
    <t>Semi-Final 2</t>
  </si>
  <si>
    <t>Final</t>
  </si>
  <si>
    <t>Rome</t>
  </si>
  <si>
    <t>Copenhagen</t>
  </si>
  <si>
    <t>Bucharest</t>
  </si>
  <si>
    <t>Munich</t>
  </si>
  <si>
    <t>Winner Ro16 - 5</t>
  </si>
  <si>
    <t>Winner Ro16 - 6</t>
  </si>
  <si>
    <t>Winner Ro16 - 2</t>
  </si>
  <si>
    <t>Winner Ro16 - 4</t>
  </si>
  <si>
    <t>Winner Ro16 - 1</t>
  </si>
  <si>
    <t>Winner Ro16 - 3</t>
  </si>
  <si>
    <t>Winner Ro16 - 7</t>
  </si>
  <si>
    <t>Winner Ro16 - 8</t>
  </si>
  <si>
    <t>Winner QF1</t>
  </si>
  <si>
    <t>Winner QF2</t>
  </si>
  <si>
    <t>Winner QF3</t>
  </si>
  <si>
    <t>Winner QF4</t>
  </si>
  <si>
    <t>Winner SF1</t>
  </si>
  <si>
    <t>Winner SF2</t>
  </si>
  <si>
    <r>
      <rPr>
        <b/>
        <sz val="10"/>
        <color theme="2" tint="-0.499984740745262"/>
        <rFont val="Calibri"/>
        <family val="2"/>
      </rPr>
      <t xml:space="preserve">Criteria for placement within the groups:
</t>
    </r>
    <r>
      <rPr>
        <sz val="10"/>
        <color theme="2" tint="-0.499984740745262"/>
        <rFont val="Calibri"/>
        <family val="2"/>
      </rPr>
      <t xml:space="preserve">  1.  number of points obtained in all group matches
  2.  number of points obtained in the direct encounters
  3.  goal difference resulting from the direct encounters
  4.  number of goals scored resulting from the direct encounters
  5.  repeated application of the criteria 2 - 4 only on the teams that
       were indistinguishable in the 1st run
  6.  goal difference resulting from all group matches
  7.  number of goals scored resulting from all group matches
  8.  number of wins in all group matches
  9.  disciplinary points total in all group matches or penalty shootout
       on the last round of the group stage if the conditions for it apply
10. position in the overall European Qualifiers rankings</t>
    </r>
  </si>
  <si>
    <t>Qualification for the round of 16</t>
  </si>
  <si>
    <r>
      <rPr>
        <b/>
        <sz val="11"/>
        <color theme="1"/>
        <rFont val="Calibri"/>
        <family val="2"/>
        <scheme val="minor"/>
      </rPr>
      <t>Penulty shootout</t>
    </r>
    <r>
      <rPr>
        <sz val="11"/>
        <color theme="1"/>
        <rFont val="Calibri"/>
        <family val="2"/>
        <scheme val="minor"/>
      </rPr>
      <t xml:space="preserve">
The entries under "Penalty Shootout" are ignored if the conditions for a penalty shootout in the last game of the group do not apply.
If they apply, the text "Enter penalty shoot-out" appears.
</t>
    </r>
    <r>
      <rPr>
        <b/>
        <sz val="11"/>
        <color theme="1"/>
        <rFont val="Calibri"/>
        <family val="2"/>
        <scheme val="minor"/>
      </rPr>
      <t>Show hidden worksheets</t>
    </r>
    <r>
      <rPr>
        <sz val="11"/>
        <color theme="1"/>
        <rFont val="Calibri"/>
        <family val="2"/>
        <scheme val="minor"/>
      </rPr>
      <t xml:space="preserve">
If you want to look behind the scenes to see how it all works, you can show the hidden worksheets:
Right-click on one of the tabs below and select "Show" from the context menu.</t>
    </r>
  </si>
  <si>
    <t>Hints</t>
  </si>
  <si>
    <t>The placement is not clear in all groups.</t>
  </si>
  <si>
    <t>Enter fair play scores!</t>
  </si>
  <si>
    <t>In the group of the third, 4th place is not clear!</t>
  </si>
  <si>
    <t>Here fair play or the ranking list have to decide.</t>
  </si>
  <si>
    <t>No consideration of fair play or ranking is necessary.</t>
  </si>
  <si>
    <t>The qualification is clear!</t>
  </si>
  <si>
    <t>Penalty shootout:</t>
  </si>
  <si>
    <t>Enter penalty shootout:</t>
  </si>
  <si>
    <t>EURO 2020 score sheet</t>
  </si>
  <si>
    <r>
      <rPr>
        <b/>
        <sz val="10"/>
        <color theme="2" tint="-0.499984740745262"/>
        <rFont val="Calibri"/>
        <family val="2"/>
      </rPr>
      <t xml:space="preserve">A red point </t>
    </r>
    <r>
      <rPr>
        <b/>
        <sz val="10"/>
        <color rgb="FFC00000"/>
        <rFont val="Calibri"/>
        <family val="2"/>
      </rPr>
      <t>•</t>
    </r>
    <r>
      <rPr>
        <b/>
        <sz val="10"/>
        <color theme="2" tint="-0.499984740745262"/>
        <rFont val="Calibri"/>
        <family val="2"/>
      </rPr>
      <t xml:space="preserve">  means: The placement in the group is not clear!
</t>
    </r>
    <r>
      <rPr>
        <sz val="10"/>
        <color theme="2" tint="-0.499984740745262"/>
        <rFont val="Calibri"/>
        <family val="2"/>
      </rPr>
      <t>In this case, the fair play values must be entered for the teams with the same points (Excel-Sheet "Fair play rating").</t>
    </r>
  </si>
  <si>
    <t>Turkey</t>
  </si>
  <si>
    <t>Italy</t>
  </si>
  <si>
    <t>Wales</t>
  </si>
  <si>
    <t>Switzerland</t>
  </si>
  <si>
    <t>Turquía</t>
  </si>
  <si>
    <t>Italia</t>
  </si>
  <si>
    <t>Gales</t>
  </si>
  <si>
    <t>Suiza</t>
  </si>
  <si>
    <t>Dinamarca</t>
  </si>
  <si>
    <t>Finlandia</t>
  </si>
  <si>
    <t>Bélgica</t>
  </si>
  <si>
    <t>Rusia</t>
  </si>
  <si>
    <t>Países Bajos</t>
  </si>
  <si>
    <t>Ucrania</t>
  </si>
  <si>
    <t>Inglaterra</t>
  </si>
  <si>
    <t>Croacia</t>
  </si>
  <si>
    <t>Escocia</t>
  </si>
  <si>
    <t>Polonia</t>
  </si>
  <si>
    <t>Eslovaquia</t>
  </si>
  <si>
    <t>España</t>
  </si>
  <si>
    <t>Suecia</t>
  </si>
  <si>
    <t>Hungría</t>
  </si>
  <si>
    <t>Francia</t>
  </si>
  <si>
    <t>Alemania</t>
  </si>
  <si>
    <t>Choose country names</t>
  </si>
  <si>
    <t>In the last column you can enter the country names of your own native language</t>
  </si>
  <si>
    <t>Turchia</t>
  </si>
  <si>
    <t>Turquie</t>
  </si>
  <si>
    <t>Italie</t>
  </si>
  <si>
    <t>Galles</t>
  </si>
  <si>
    <t>Pays de Galles</t>
  </si>
  <si>
    <t>Svizzera</t>
  </si>
  <si>
    <t>Suisse</t>
  </si>
  <si>
    <t>Danimarca</t>
  </si>
  <si>
    <t>Danemark</t>
  </si>
  <si>
    <t>Finlande</t>
  </si>
  <si>
    <t>Belgio</t>
  </si>
  <si>
    <t>Belgique</t>
  </si>
  <si>
    <t>Russie</t>
  </si>
  <si>
    <t>Autriche</t>
  </si>
  <si>
    <t>Norte Macedon.</t>
  </si>
  <si>
    <t>Maced. d. Nord</t>
  </si>
  <si>
    <t>Macéd. du Nord</t>
  </si>
  <si>
    <t>Olanda</t>
  </si>
  <si>
    <t>Pays-Bas</t>
  </si>
  <si>
    <t>Ucraina</t>
  </si>
  <si>
    <t>Inghilterra</t>
  </si>
  <si>
    <t>Angleterre</t>
  </si>
  <si>
    <t>Croazia</t>
  </si>
  <si>
    <t>Croatie</t>
  </si>
  <si>
    <t>Scozia</t>
  </si>
  <si>
    <t>Écosse</t>
  </si>
  <si>
    <t>Czech</t>
  </si>
  <si>
    <t>Checa</t>
  </si>
  <si>
    <t>Ceca</t>
  </si>
  <si>
    <t>Tchèquie</t>
  </si>
  <si>
    <t>Pologne</t>
  </si>
  <si>
    <t>Slovacchia</t>
  </si>
  <si>
    <t>Slovaquie</t>
  </si>
  <si>
    <t>Spagna</t>
  </si>
  <si>
    <t>Espagne</t>
  </si>
  <si>
    <t>Svezia</t>
  </si>
  <si>
    <t>Suède</t>
  </si>
  <si>
    <t>Ungheria</t>
  </si>
  <si>
    <t>Hongrie</t>
  </si>
  <si>
    <t>Portogallo</t>
  </si>
  <si>
    <t>Germania</t>
  </si>
  <si>
    <t>Allemagne</t>
  </si>
  <si>
    <t>https://baum24.net/spielplan/euro2020/</t>
  </si>
  <si>
    <t>This score sheet automatically determines which 3rd-placed teams have qualified and which opponents they will be assigned to in the round of 16.
The kick-off times are shown in CET (Central European Time).</t>
  </si>
  <si>
    <t>Seville</t>
  </si>
  <si>
    <t>Hermann Baum, Dec. 2020/May 2021</t>
  </si>
  <si>
    <t>Vorletztes Spiel:</t>
  </si>
  <si>
    <t>Letztes Spiel:</t>
  </si>
  <si>
    <t>Elfmetersch.1</t>
  </si>
  <si>
    <t>Elfmetersch.2</t>
  </si>
  <si>
    <r>
      <t>EURO 2020/2021</t>
    </r>
    <r>
      <rPr>
        <sz val="10"/>
        <color theme="4" tint="-0.249977111117893"/>
        <rFont val="Calibri"/>
        <family val="2"/>
      </rPr>
      <t xml:space="preserve">   Version 1.17-en</t>
    </r>
  </si>
  <si>
    <t>Turkije</t>
  </si>
  <si>
    <t>Italië</t>
  </si>
  <si>
    <t>Zwitserland</t>
  </si>
  <si>
    <t>Denemarken</t>
  </si>
  <si>
    <t>België</t>
  </si>
  <si>
    <t>Rusland</t>
  </si>
  <si>
    <t>Oostenrijk</t>
  </si>
  <si>
    <t>Noord-Macedonië</t>
  </si>
  <si>
    <t>Nederland</t>
  </si>
  <si>
    <t>Oekraïne</t>
  </si>
  <si>
    <t>Engeland</t>
  </si>
  <si>
    <t>Kroatië</t>
  </si>
  <si>
    <t>Schotland</t>
  </si>
  <si>
    <t>Tsjechië</t>
  </si>
  <si>
    <t>Polen</t>
  </si>
  <si>
    <t>Slowakije</t>
  </si>
  <si>
    <t>Spanje</t>
  </si>
  <si>
    <t>Zweden</t>
  </si>
  <si>
    <t>Hongarije</t>
  </si>
  <si>
    <t>Frankrijk</t>
  </si>
  <si>
    <t>Duitsland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</si>
</sst>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7]ddd/\,\ d/mm/yy"/>
    <numFmt numFmtId="165" formatCode="0.00000"/>
    <numFmt numFmtId="166" formatCode="[$-409]\ ddd\,\ dd\ mmm\ yy"/>
  </numFmts>
  <fonts count="67">
    <font>
      <sz val="11"/>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1"/>
      <color theme="4"/>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b/>
      <sz val="24"/>
      <color theme="0"/>
      <name val="Calibri"/>
      <family val="2"/>
      <scheme val="minor"/>
    </font>
    <font>
      <sz val="10"/>
      <color theme="1" tint="0.249977111117893"/>
      <name val="Calibri"/>
      <family val="2"/>
      <scheme val="minor"/>
    </font>
    <font>
      <sz val="9"/>
      <color theme="1" tint="0.34998626667073579"/>
      <name val="Calibri"/>
      <family val="2"/>
      <scheme val="minor"/>
    </font>
    <font>
      <sz val="10"/>
      <name val="Calibri"/>
      <family val="2"/>
    </font>
    <font>
      <sz val="8"/>
      <name val="Calibri"/>
      <family val="2"/>
    </font>
    <font>
      <b/>
      <sz val="10"/>
      <name val="Calibri"/>
      <family val="2"/>
    </font>
    <font>
      <b/>
      <sz val="8"/>
      <name val="Calibri"/>
      <family val="2"/>
    </font>
    <font>
      <sz val="10"/>
      <color theme="2" tint="-0.749992370372631"/>
      <name val="Calibri"/>
      <family val="2"/>
      <scheme val="minor"/>
    </font>
    <font>
      <b/>
      <sz val="12"/>
      <color theme="1" tint="0.34998626667073579"/>
      <name val="Times New Roman"/>
      <family val="1"/>
    </font>
    <font>
      <sz val="10"/>
      <color theme="1"/>
      <name val="Calibri"/>
      <family val="2"/>
    </font>
    <font>
      <b/>
      <sz val="11"/>
      <color theme="1"/>
      <name val="Calibri"/>
      <family val="2"/>
    </font>
    <font>
      <b/>
      <sz val="16"/>
      <color rgb="FFC00000"/>
      <name val="Calibri"/>
      <family val="2"/>
      <scheme val="minor"/>
    </font>
    <font>
      <sz val="10"/>
      <color rgb="FFC00000"/>
      <name val="Calibri"/>
      <family val="2"/>
      <scheme val="minor"/>
    </font>
    <font>
      <b/>
      <sz val="16"/>
      <color rgb="FFC00000"/>
      <name val="Calibri"/>
      <family val="2"/>
    </font>
    <font>
      <sz val="6"/>
      <color theme="9" tint="0.39997558519241921"/>
      <name val="Wingdings 2"/>
      <family val="1"/>
      <charset val="2"/>
    </font>
    <font>
      <sz val="6"/>
      <color rgb="FFC00000"/>
      <name val="Wingdings 2"/>
      <family val="1"/>
      <charset val="2"/>
    </font>
    <font>
      <sz val="11"/>
      <color rgb="FFC00000"/>
      <name val="Calibri"/>
      <family val="2"/>
      <scheme val="minor"/>
    </font>
    <font>
      <sz val="11"/>
      <color theme="4"/>
      <name val="Calibri"/>
      <family val="2"/>
      <scheme val="minor"/>
    </font>
    <font>
      <b/>
      <sz val="10"/>
      <color theme="2" tint="-0.749992370372631"/>
      <name val="Calibri"/>
      <family val="2"/>
      <scheme val="minor"/>
    </font>
    <font>
      <sz val="10"/>
      <name val="Calibri"/>
      <family val="2"/>
      <scheme val="minor"/>
    </font>
    <font>
      <sz val="11"/>
      <name val="Calibri"/>
      <family val="2"/>
      <scheme val="minor"/>
    </font>
    <font>
      <sz val="10"/>
      <color theme="2" tint="-0.499984740745262"/>
      <name val="Calibri"/>
      <family val="2"/>
    </font>
    <font>
      <b/>
      <sz val="10"/>
      <color theme="2" tint="-0.499984740745262"/>
      <name val="Calibri"/>
      <family val="2"/>
    </font>
    <font>
      <sz val="11"/>
      <color theme="2" tint="-0.499984740745262"/>
      <name val="Calibri"/>
      <family val="2"/>
      <scheme val="minor"/>
    </font>
    <font>
      <sz val="10"/>
      <color rgb="FF5786B1"/>
      <name val="Calibri"/>
      <family val="2"/>
    </font>
    <font>
      <sz val="11"/>
      <color rgb="FF5786B1"/>
      <name val="Calibri"/>
      <family val="2"/>
      <scheme val="minor"/>
    </font>
    <font>
      <b/>
      <sz val="10"/>
      <color rgb="FFC00000"/>
      <name val="Calibri"/>
      <family val="2"/>
    </font>
    <font>
      <b/>
      <sz val="11"/>
      <color rgb="FFC00000"/>
      <name val="Calibri"/>
      <family val="2"/>
      <scheme val="minor"/>
    </font>
    <font>
      <sz val="10"/>
      <color rgb="FF5786B1"/>
      <name val="Calibri"/>
      <family val="2"/>
      <scheme val="minor"/>
    </font>
    <font>
      <sz val="10"/>
      <color theme="4" tint="-0.249977111117893"/>
      <name val="Calibri"/>
      <family val="2"/>
    </font>
    <font>
      <b/>
      <sz val="9"/>
      <color theme="1"/>
      <name val="Calibri"/>
      <family val="2"/>
      <scheme val="minor"/>
    </font>
    <font>
      <b/>
      <sz val="20"/>
      <color rgb="FFC00000"/>
      <name val="Calibri"/>
      <family val="2"/>
      <scheme val="minor"/>
    </font>
    <font>
      <b/>
      <sz val="14"/>
      <color rgb="FFC00000"/>
      <name val="Calibri"/>
      <family val="2"/>
      <scheme val="minor"/>
    </font>
    <font>
      <sz val="11"/>
      <color theme="1" tint="0.34998626667073579"/>
      <name val="Calibri"/>
      <family val="2"/>
      <scheme val="minor"/>
    </font>
    <font>
      <b/>
      <sz val="12"/>
      <color theme="1" tint="0.34998626667073579"/>
      <name val="Calibri"/>
      <family val="2"/>
      <scheme val="minor"/>
    </font>
    <font>
      <sz val="12"/>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sz val="10"/>
      <color theme="7"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b/>
      <sz val="11"/>
      <color rgb="FF800000"/>
      <name val="Calibri"/>
      <family val="2"/>
      <scheme val="minor"/>
    </font>
    <font>
      <b/>
      <sz val="10"/>
      <color rgb="FFC00000"/>
      <name val="Calibri"/>
      <family val="2"/>
      <scheme val="minor"/>
    </font>
    <font>
      <sz val="10"/>
      <color theme="9" tint="-0.249977111117893"/>
      <name val="Calibri"/>
      <family val="2"/>
      <scheme val="minor"/>
    </font>
    <font>
      <b/>
      <sz val="8"/>
      <color rgb="FFC00000"/>
      <name val="Calibri"/>
      <family val="2"/>
      <scheme val="minor"/>
    </font>
    <font>
      <b/>
      <sz val="8"/>
      <color theme="2" tint="-0.499984740745262"/>
      <name val="Calibri"/>
      <family val="2"/>
      <scheme val="minor"/>
    </font>
    <font>
      <b/>
      <sz val="12"/>
      <color rgb="FFC00000"/>
      <name val="Calibri"/>
      <family val="2"/>
      <scheme val="minor"/>
    </font>
    <font>
      <b/>
      <sz val="22"/>
      <color rgb="FFC00000"/>
      <name val="Calibri"/>
      <family val="2"/>
      <scheme val="minor"/>
    </font>
    <font>
      <sz val="11"/>
      <color theme="8"/>
      <name val="Calibri"/>
      <family val="2"/>
      <scheme val="minor"/>
    </font>
    <font>
      <sz val="8"/>
      <color rgb="FFC00000"/>
      <name val="Calibri"/>
      <family val="2"/>
      <scheme val="minor"/>
    </font>
    <font>
      <b/>
      <sz val="9"/>
      <color rgb="FF0070C0"/>
      <name val="Calibri"/>
      <family val="2"/>
      <scheme val="minor"/>
    </font>
    <font>
      <b/>
      <sz val="12"/>
      <color theme="1"/>
      <name val="Calibri"/>
      <family val="2"/>
      <scheme val="minor"/>
    </font>
    <font>
      <u/>
      <sz val="11"/>
      <color theme="10"/>
      <name val="Calibri"/>
      <family val="2"/>
      <scheme val="minor"/>
    </font>
  </fonts>
  <fills count="2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rgb="FF00B050"/>
        <bgColor indexed="64"/>
      </patternFill>
    </fill>
    <fill>
      <patternFill patternType="solid">
        <fgColor theme="7" tint="0.79995117038483843"/>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D5BC8B"/>
        <bgColor indexed="64"/>
      </patternFill>
    </fill>
    <fill>
      <patternFill patternType="solid">
        <fgColor theme="0"/>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s>
  <borders count="131">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style="thin">
        <color theme="1" tint="0.499984740745262"/>
      </left>
      <right style="thin">
        <color theme="0"/>
      </right>
      <top/>
      <bottom style="medium">
        <color theme="1" tint="0.499984740745262"/>
      </bottom>
      <diagonal/>
    </border>
    <border>
      <left style="thin">
        <color indexed="64"/>
      </left>
      <right style="thin">
        <color indexed="64"/>
      </right>
      <top/>
      <bottom/>
      <diagonal/>
    </border>
    <border>
      <left style="thin">
        <color auto="1"/>
      </left>
      <right style="thin">
        <color auto="1"/>
      </right>
      <top style="thin">
        <color theme="2" tint="-9.9948118533890809E-2"/>
      </top>
      <bottom style="thin">
        <color theme="2" tint="-9.9948118533890809E-2"/>
      </bottom>
      <diagonal/>
    </border>
    <border>
      <left style="thin">
        <color auto="1"/>
      </left>
      <right style="thin">
        <color auto="1"/>
      </right>
      <top/>
      <bottom style="thin">
        <color theme="2" tint="-9.9948118533890809E-2"/>
      </bottom>
      <diagonal/>
    </border>
    <border>
      <left style="thin">
        <color indexed="64"/>
      </left>
      <right style="thin">
        <color indexed="64"/>
      </right>
      <top style="medium">
        <color theme="4" tint="-0.24994659260841701"/>
      </top>
      <bottom/>
      <diagonal/>
    </border>
    <border>
      <left style="thin">
        <color indexed="64"/>
      </left>
      <right style="thin">
        <color indexed="64"/>
      </right>
      <top/>
      <bottom style="medium">
        <color theme="4" tint="-0.24994659260841701"/>
      </bottom>
      <diagonal/>
    </border>
    <border>
      <left style="thin">
        <color auto="1"/>
      </left>
      <right style="thin">
        <color auto="1"/>
      </right>
      <top style="thin">
        <color theme="2" tint="-9.9948118533890809E-2"/>
      </top>
      <bottom style="medium">
        <color theme="4" tint="-0.24994659260841701"/>
      </bottom>
      <diagonal/>
    </border>
    <border>
      <left style="thin">
        <color indexed="64"/>
      </left>
      <right style="medium">
        <color theme="4" tint="-0.24994659260841701"/>
      </right>
      <top/>
      <bottom/>
      <diagonal/>
    </border>
    <border>
      <left style="thin">
        <color indexed="64"/>
      </left>
      <right style="medium">
        <color theme="4" tint="-0.24994659260841701"/>
      </right>
      <top/>
      <bottom style="thin">
        <color theme="2" tint="-9.9948118533890809E-2"/>
      </bottom>
      <diagonal/>
    </border>
    <border>
      <left style="thin">
        <color indexed="64"/>
      </left>
      <right style="medium">
        <color theme="4" tint="-0.24994659260841701"/>
      </right>
      <top style="thin">
        <color theme="2" tint="-9.9948118533890809E-2"/>
      </top>
      <bottom style="thin">
        <color theme="2" tint="-9.9948118533890809E-2"/>
      </bottom>
      <diagonal/>
    </border>
    <border>
      <left style="thin">
        <color indexed="64"/>
      </left>
      <right style="medium">
        <color theme="4" tint="-0.24994659260841701"/>
      </right>
      <top style="thin">
        <color theme="2" tint="-9.9948118533890809E-2"/>
      </top>
      <bottom style="medium">
        <color theme="4" tint="-0.24994659260841701"/>
      </bottom>
      <diagonal/>
    </border>
    <border>
      <left style="medium">
        <color theme="4" tint="-0.24994659260841701"/>
      </left>
      <right style="thin">
        <color auto="1"/>
      </right>
      <top style="medium">
        <color theme="4" tint="-0.24994659260841701"/>
      </top>
      <bottom/>
      <diagonal/>
    </border>
    <border>
      <left style="medium">
        <color theme="4" tint="-0.24994659260841701"/>
      </left>
      <right style="thin">
        <color auto="1"/>
      </right>
      <top/>
      <bottom/>
      <diagonal/>
    </border>
    <border>
      <left style="medium">
        <color theme="4" tint="-0.24994659260841701"/>
      </left>
      <right style="thin">
        <color auto="1"/>
      </right>
      <top/>
      <bottom style="medium">
        <color theme="4" tint="-0.24994659260841701"/>
      </bottom>
      <diagonal/>
    </border>
    <border>
      <left style="medium">
        <color theme="4" tint="-0.24994659260841701"/>
      </left>
      <right style="thin">
        <color auto="1"/>
      </right>
      <top/>
      <bottom style="thin">
        <color theme="2" tint="-9.9948118533890809E-2"/>
      </bottom>
      <diagonal/>
    </border>
    <border>
      <left style="medium">
        <color theme="4" tint="-0.24994659260841701"/>
      </left>
      <right style="thin">
        <color auto="1"/>
      </right>
      <top style="thin">
        <color theme="2" tint="-9.9948118533890809E-2"/>
      </top>
      <bottom style="thin">
        <color theme="2" tint="-9.9948118533890809E-2"/>
      </bottom>
      <diagonal/>
    </border>
    <border>
      <left style="medium">
        <color theme="4" tint="-0.24994659260841701"/>
      </left>
      <right style="thin">
        <color auto="1"/>
      </right>
      <top style="thin">
        <color theme="2" tint="-9.9948118533890809E-2"/>
      </top>
      <bottom style="medium">
        <color theme="4"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medium">
        <color theme="4" tint="-0.24994659260841701"/>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medium">
        <color theme="2" tint="-0.24994659260841701"/>
      </bottom>
      <diagonal/>
    </border>
    <border>
      <left style="medium">
        <color theme="2" tint="-0.24994659260841701"/>
      </left>
      <right style="thin">
        <color theme="2" tint="-0.24994659260841701"/>
      </right>
      <top style="medium">
        <color theme="2" tint="-0.24994659260841701"/>
      </top>
      <bottom style="medium">
        <color theme="2" tint="-0.24994659260841701"/>
      </bottom>
      <diagonal/>
    </border>
    <border>
      <left style="thin">
        <color theme="2" tint="-0.24994659260841701"/>
      </left>
      <right style="thin">
        <color theme="2" tint="-0.24994659260841701"/>
      </right>
      <top style="medium">
        <color theme="2" tint="-0.24994659260841701"/>
      </top>
      <bottom style="medium">
        <color theme="2" tint="-0.24994659260841701"/>
      </bottom>
      <diagonal/>
    </border>
    <border>
      <left style="thin">
        <color theme="2" tint="-0.24994659260841701"/>
      </left>
      <right style="medium">
        <color theme="2" tint="-0.24994659260841701"/>
      </right>
      <top style="medium">
        <color theme="2" tint="-0.24994659260841701"/>
      </top>
      <bottom style="medium">
        <color theme="2" tint="-0.24994659260841701"/>
      </bottom>
      <diagonal/>
    </border>
    <border>
      <left style="thin">
        <color theme="2" tint="-0.24994659260841701"/>
      </left>
      <right style="medium">
        <color theme="2" tint="-0.24994659260841701"/>
      </right>
      <top/>
      <bottom style="thin">
        <color theme="2" tint="-0.24994659260841701"/>
      </bottom>
      <diagonal/>
    </border>
    <border>
      <left style="medium">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medium">
        <color theme="2" tint="-0.24994659260841701"/>
      </right>
      <top style="thin">
        <color theme="2" tint="-0.24994659260841701"/>
      </top>
      <bottom style="thin">
        <color theme="2" tint="-0.24994659260841701"/>
      </bottom>
      <diagonal/>
    </border>
    <border>
      <left style="medium">
        <color theme="2" tint="-0.24994659260841701"/>
      </left>
      <right style="thin">
        <color theme="2" tint="-0.24994659260841701"/>
      </right>
      <top style="thin">
        <color theme="2" tint="-0.24994659260841701"/>
      </top>
      <bottom style="medium">
        <color theme="2" tint="-0.24994659260841701"/>
      </bottom>
      <diagonal/>
    </border>
    <border>
      <left style="thin">
        <color theme="2" tint="-0.24994659260841701"/>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top/>
      <bottom style="medium">
        <color theme="2" tint="-0.24994659260841701"/>
      </bottom>
      <diagonal/>
    </border>
    <border>
      <left style="thin">
        <color theme="1" tint="0.499984740745262"/>
      </left>
      <right style="thin">
        <color theme="0" tint="-4.9989318521683403E-2"/>
      </right>
      <top/>
      <bottom style="medium">
        <color theme="1" tint="0.499984740745262"/>
      </bottom>
      <diagonal/>
    </border>
    <border>
      <left style="thin">
        <color theme="0" tint="-4.9989318521683403E-2"/>
      </left>
      <right style="thin">
        <color theme="1" tint="0.499984740745262"/>
      </right>
      <top/>
      <bottom style="medium">
        <color theme="1" tint="0.499984740745262"/>
      </bottom>
      <diagonal/>
    </border>
    <border>
      <left style="medium">
        <color theme="2" tint="-0.24994659260841701"/>
      </left>
      <right style="thin">
        <color theme="2" tint="-0.24994659260841701"/>
      </right>
      <top style="medium">
        <color theme="2" tint="-0.24994659260841701"/>
      </top>
      <bottom style="thin">
        <color theme="2" tint="-0.24994659260841701"/>
      </bottom>
      <diagonal/>
    </border>
    <border>
      <left style="thin">
        <color theme="2" tint="-9.9948118533890809E-2"/>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thin">
        <color theme="2" tint="-0.24994659260841701"/>
      </left>
      <right style="medium">
        <color theme="2" tint="-0.24994659260841701"/>
      </right>
      <top style="thin">
        <color theme="2" tint="-0.24994659260841701"/>
      </top>
      <bottom style="medium">
        <color theme="2" tint="-0.24994659260841701"/>
      </bottom>
      <diagonal/>
    </border>
    <border>
      <left style="medium">
        <color theme="2" tint="-0.24994659260841701"/>
      </left>
      <right style="thin">
        <color theme="2" tint="-0.24994659260841701"/>
      </right>
      <top/>
      <bottom style="thin">
        <color theme="2" tint="-0.24994659260841701"/>
      </bottom>
      <diagonal/>
    </border>
    <border>
      <left style="thin">
        <color theme="2" tint="-0.24994659260841701"/>
      </left>
      <right style="thin">
        <color theme="2" tint="-0.24994659260841701"/>
      </right>
      <top/>
      <bottom style="thin">
        <color theme="2" tint="-0.24994659260841701"/>
      </bottom>
      <diagonal/>
    </border>
    <border>
      <left style="medium">
        <color theme="2" tint="-0.24994659260841701"/>
      </left>
      <right style="thin">
        <color theme="2" tint="-0.24994659260841701"/>
      </right>
      <top/>
      <bottom style="medium">
        <color theme="2" tint="-0.24994659260841701"/>
      </bottom>
      <diagonal/>
    </border>
    <border>
      <left style="thin">
        <color theme="2" tint="-0.24994659260841701"/>
      </left>
      <right style="thin">
        <color theme="2" tint="-0.24994659260841701"/>
      </right>
      <top/>
      <bottom style="medium">
        <color theme="2" tint="-0.24994659260841701"/>
      </bottom>
      <diagonal/>
    </border>
    <border>
      <left style="thin">
        <color theme="2" tint="-0.24994659260841701"/>
      </left>
      <right style="medium">
        <color theme="2" tint="-0.24994659260841701"/>
      </right>
      <top/>
      <bottom style="medium">
        <color theme="2" tint="-0.24994659260841701"/>
      </bottom>
      <diagonal/>
    </border>
    <border>
      <left style="medium">
        <color theme="5" tint="-0.24994659260841701"/>
      </left>
      <right style="medium">
        <color theme="5" tint="-0.24994659260841701"/>
      </right>
      <top/>
      <bottom style="medium">
        <color theme="5" tint="-0.24994659260841701"/>
      </bottom>
      <diagonal/>
    </border>
    <border>
      <left style="medium">
        <color theme="5" tint="-0.24994659260841701"/>
      </left>
      <right style="medium">
        <color theme="5" tint="-0.24994659260841701"/>
      </right>
      <top/>
      <bottom/>
      <diagonal/>
    </border>
    <border>
      <left style="medium">
        <color theme="5" tint="-0.24994659260841701"/>
      </left>
      <right style="medium">
        <color theme="5" tint="-0.24994659260841701"/>
      </right>
      <top style="medium">
        <color theme="5" tint="-0.24994659260841701"/>
      </top>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medium">
        <color theme="5" tint="-0.24994659260841701"/>
      </left>
      <right/>
      <top style="medium">
        <color theme="5" tint="-0.24994659260841701"/>
      </top>
      <bottom/>
      <diagonal/>
    </border>
    <border>
      <left/>
      <right/>
      <top style="medium">
        <color theme="5" tint="-0.24994659260841701"/>
      </top>
      <bottom/>
      <diagonal/>
    </border>
    <border>
      <left/>
      <right style="medium">
        <color theme="5" tint="-0.24994659260841701"/>
      </right>
      <top style="medium">
        <color theme="5" tint="-0.24994659260841701"/>
      </top>
      <bottom/>
      <diagonal/>
    </border>
    <border>
      <left style="medium">
        <color theme="5" tint="-0.24994659260841701"/>
      </left>
      <right/>
      <top/>
      <bottom/>
      <diagonal/>
    </border>
    <border>
      <left/>
      <right style="medium">
        <color theme="5" tint="-0.24994659260841701"/>
      </right>
      <top/>
      <bottom/>
      <diagonal/>
    </border>
    <border>
      <left style="medium">
        <color theme="5" tint="-0.24994659260841701"/>
      </left>
      <right/>
      <top/>
      <bottom style="medium">
        <color theme="5" tint="-0.24994659260841701"/>
      </bottom>
      <diagonal/>
    </border>
    <border>
      <left/>
      <right/>
      <top/>
      <bottom style="medium">
        <color theme="5" tint="-0.24994659260841701"/>
      </bottom>
      <diagonal/>
    </border>
    <border>
      <left/>
      <right style="medium">
        <color theme="5" tint="-0.24994659260841701"/>
      </right>
      <top/>
      <bottom style="medium">
        <color theme="5"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right style="thick">
        <color theme="4"/>
      </right>
      <top style="thick">
        <color theme="4"/>
      </top>
      <bottom/>
      <diagonal/>
    </border>
    <border>
      <left style="thick">
        <color theme="4"/>
      </left>
      <right/>
      <top/>
      <bottom/>
      <diagonal/>
    </border>
    <border>
      <left/>
      <right style="thick">
        <color theme="4"/>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right style="thick">
        <color theme="4"/>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right style="thick">
        <color theme="4"/>
      </right>
      <top style="thin">
        <color theme="0" tint="-0.14996795556505021"/>
      </top>
      <bottom/>
      <diagonal/>
    </border>
    <border>
      <left/>
      <right/>
      <top style="thin">
        <color theme="0" tint="-0.14996795556505021"/>
      </top>
      <bottom style="thin">
        <color theme="0" tint="-0.14996795556505021"/>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right style="thick">
        <color theme="4"/>
      </right>
      <top style="thin">
        <color theme="0" tint="-0.14996795556505021"/>
      </top>
      <bottom style="thick">
        <color theme="4"/>
      </bottom>
      <diagonal/>
    </border>
    <border>
      <left style="thin">
        <color theme="0"/>
      </left>
      <right style="thin">
        <color theme="1" tint="0.499984740745262"/>
      </right>
      <top/>
      <bottom style="thin">
        <color theme="1" tint="0.499984740745262"/>
      </bottom>
      <diagonal/>
    </border>
  </borders>
  <cellStyleXfs count="2">
    <xf numFmtId="0" fontId="0" fillId="0" borderId="0"/>
    <xf numFmtId="0" fontId="66" fillId="0" borderId="0" applyNumberFormat="0" applyFill="0" applyBorder="0" applyAlignment="0" applyProtection="0"/>
  </cellStyleXfs>
  <cellXfs count="35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0" fillId="3" borderId="22" xfId="0" applyFill="1" applyBorder="1" applyAlignment="1" applyProtection="1">
      <alignment horizontal="center" vertical="center"/>
      <protection locked="0"/>
    </xf>
    <xf numFmtId="0" fontId="0" fillId="3" borderId="24" xfId="0" applyFill="1" applyBorder="1" applyAlignment="1" applyProtection="1">
      <alignment horizontal="center" vertical="center"/>
      <protection locked="0"/>
    </xf>
    <xf numFmtId="0" fontId="0" fillId="0" borderId="0" xfId="0" applyProtection="1"/>
    <xf numFmtId="0" fontId="14" fillId="0" borderId="0" xfId="0" applyFont="1" applyAlignment="1" applyProtection="1">
      <alignment horizontal="center" vertical="center"/>
    </xf>
    <xf numFmtId="0" fontId="16" fillId="0" borderId="0" xfId="0" applyFont="1" applyAlignment="1" applyProtection="1">
      <alignment horizontal="center" vertical="center"/>
    </xf>
    <xf numFmtId="0" fontId="0" fillId="0" borderId="0" xfId="0" applyFill="1" applyAlignment="1" applyProtection="1">
      <alignment horizontal="left"/>
    </xf>
    <xf numFmtId="164" fontId="4" fillId="0" borderId="5" xfId="0" applyNumberFormat="1" applyFont="1" applyFill="1" applyBorder="1" applyAlignment="1" applyProtection="1">
      <alignment horizontal="center"/>
    </xf>
    <xf numFmtId="0" fontId="5" fillId="0" borderId="5" xfId="0" applyFont="1" applyFill="1" applyBorder="1" applyAlignment="1" applyProtection="1">
      <alignment horizontal="center" vertical="center"/>
    </xf>
    <xf numFmtId="0" fontId="5" fillId="0" borderId="6" xfId="0" applyFont="1" applyFill="1" applyBorder="1" applyAlignment="1" applyProtection="1">
      <alignment horizontal="center" vertical="center"/>
    </xf>
    <xf numFmtId="0" fontId="6" fillId="0" borderId="0" xfId="0" applyFont="1" applyAlignment="1" applyProtection="1">
      <alignment horizontal="right"/>
    </xf>
    <xf numFmtId="0" fontId="0" fillId="0" borderId="0" xfId="0" applyAlignment="1" applyProtection="1">
      <alignment horizontal="right"/>
    </xf>
    <xf numFmtId="0" fontId="8" fillId="0" borderId="0" xfId="0" applyFont="1" applyProtection="1"/>
    <xf numFmtId="0" fontId="9" fillId="0" borderId="13" xfId="0" applyFont="1" applyBorder="1" applyAlignment="1" applyProtection="1">
      <alignment horizontal="center" vertical="center"/>
    </xf>
    <xf numFmtId="0" fontId="9" fillId="0" borderId="0" xfId="0" applyFont="1" applyAlignment="1" applyProtection="1">
      <alignment horizontal="center" vertical="center"/>
    </xf>
    <xf numFmtId="0" fontId="0" fillId="0" borderId="14" xfId="0" applyBorder="1" applyProtection="1"/>
    <xf numFmtId="0" fontId="0" fillId="0" borderId="0" xfId="0" applyBorder="1" applyProtection="1"/>
    <xf numFmtId="0" fontId="0" fillId="0" borderId="15" xfId="0" applyFill="1" applyBorder="1" applyProtection="1"/>
    <xf numFmtId="0" fontId="9" fillId="0" borderId="0" xfId="0" applyFont="1" applyProtection="1"/>
    <xf numFmtId="0" fontId="10" fillId="0" borderId="0" xfId="0" applyFont="1" applyProtection="1"/>
    <xf numFmtId="0" fontId="5" fillId="0" borderId="20" xfId="0" applyFont="1" applyFill="1" applyBorder="1" applyAlignment="1" applyProtection="1">
      <alignment horizontal="center" vertical="center"/>
    </xf>
    <xf numFmtId="0" fontId="5" fillId="0" borderId="21" xfId="0" applyFont="1" applyFill="1" applyBorder="1" applyAlignment="1" applyProtection="1">
      <alignment horizontal="center" vertical="center"/>
    </xf>
    <xf numFmtId="0" fontId="12" fillId="0" borderId="0" xfId="0" applyFont="1" applyAlignment="1" applyProtection="1">
      <alignment horizontal="right"/>
    </xf>
    <xf numFmtId="0" fontId="0" fillId="0" borderId="23" xfId="0" applyFill="1" applyBorder="1" applyProtection="1"/>
    <xf numFmtId="0" fontId="13" fillId="0" borderId="0" xfId="0" applyFont="1" applyProtection="1"/>
    <xf numFmtId="0" fontId="4" fillId="0" borderId="0" xfId="0" applyFont="1" applyProtection="1"/>
    <xf numFmtId="0" fontId="0" fillId="0" borderId="0" xfId="0" applyFill="1" applyBorder="1" applyProtection="1"/>
    <xf numFmtId="164" fontId="4" fillId="0" borderId="0" xfId="0" applyNumberFormat="1" applyFont="1" applyFill="1" applyBorder="1" applyAlignment="1" applyProtection="1">
      <alignment horizontal="center"/>
    </xf>
    <xf numFmtId="0" fontId="5" fillId="0" borderId="0" xfId="0" applyFont="1" applyFill="1" applyBorder="1" applyAlignment="1" applyProtection="1">
      <alignment horizontal="center" vertical="center"/>
    </xf>
    <xf numFmtId="0" fontId="9" fillId="0" borderId="0" xfId="0" applyFont="1" applyBorder="1" applyAlignment="1" applyProtection="1">
      <alignment horizontal="center" vertical="center"/>
    </xf>
    <xf numFmtId="0" fontId="0" fillId="3" borderId="25" xfId="0" applyFill="1" applyBorder="1" applyAlignment="1" applyProtection="1">
      <alignment horizontal="center" vertical="center"/>
      <protection locked="0"/>
    </xf>
    <xf numFmtId="0" fontId="20" fillId="0" borderId="0" xfId="0" applyFont="1" applyFill="1" applyBorder="1" applyProtection="1"/>
    <xf numFmtId="0" fontId="2" fillId="0" borderId="0" xfId="0" applyFont="1" applyAlignment="1" applyProtection="1">
      <alignment horizontal="center"/>
    </xf>
    <xf numFmtId="0" fontId="10" fillId="0" borderId="0" xfId="0" applyFont="1" applyAlignment="1" applyProtection="1">
      <alignment horizontal="center" vertical="center"/>
    </xf>
    <xf numFmtId="0" fontId="25" fillId="0" borderId="0" xfId="0" applyFont="1" applyAlignment="1" applyProtection="1">
      <alignment horizontal="center" vertical="center"/>
    </xf>
    <xf numFmtId="0" fontId="26" fillId="0" borderId="0" xfId="0" applyFont="1" applyAlignment="1" applyProtection="1">
      <alignment horizontal="center" vertical="center"/>
    </xf>
    <xf numFmtId="0" fontId="28" fillId="0" borderId="0" xfId="0" applyFont="1" applyAlignment="1" applyProtection="1">
      <alignment horizontal="right"/>
    </xf>
    <xf numFmtId="0" fontId="30" fillId="0" borderId="0" xfId="0" applyFont="1" applyFill="1" applyBorder="1" applyAlignment="1">
      <alignment horizontal="left" vertical="top"/>
    </xf>
    <xf numFmtId="164" fontId="14" fillId="0" borderId="0" xfId="0" applyNumberFormat="1" applyFont="1" applyFill="1" applyBorder="1" applyAlignment="1" applyProtection="1">
      <alignment horizontal="center" vertical="center"/>
    </xf>
    <xf numFmtId="0" fontId="31" fillId="0" borderId="0" xfId="0" applyFont="1" applyBorder="1" applyAlignment="1">
      <alignment horizontal="center" vertical="center"/>
    </xf>
    <xf numFmtId="0" fontId="14" fillId="0" borderId="52" xfId="0" applyFont="1" applyFill="1" applyBorder="1" applyAlignment="1" applyProtection="1">
      <alignment horizontal="center" vertical="center"/>
    </xf>
    <xf numFmtId="0" fontId="31" fillId="0" borderId="52" xfId="0" applyFont="1" applyBorder="1" applyAlignment="1">
      <alignment horizontal="center" vertical="center"/>
    </xf>
    <xf numFmtId="0" fontId="0" fillId="0" borderId="0" xfId="0" applyFill="1" applyProtection="1"/>
    <xf numFmtId="0" fontId="0" fillId="0" borderId="0" xfId="0" applyFill="1"/>
    <xf numFmtId="0" fontId="0" fillId="0" borderId="0" xfId="0" applyFill="1" applyBorder="1" applyAlignment="1" applyProtection="1">
      <alignment horizontal="center" vertical="center"/>
    </xf>
    <xf numFmtId="0" fontId="20" fillId="0" borderId="0" xfId="0" applyFont="1" applyFill="1" applyBorder="1" applyAlignment="1" applyProtection="1">
      <alignment horizontal="right" vertical="center"/>
    </xf>
    <xf numFmtId="49" fontId="39" fillId="0" borderId="0" xfId="0" applyNumberFormat="1" applyFont="1" applyAlignment="1" applyProtection="1">
      <alignment horizontal="center" vertical="center"/>
    </xf>
    <xf numFmtId="0" fontId="0" fillId="0" borderId="0" xfId="0" applyProtection="1">
      <protection locked="0"/>
    </xf>
    <xf numFmtId="0" fontId="0" fillId="0" borderId="0" xfId="0" applyAlignment="1">
      <alignment horizontal="center"/>
    </xf>
    <xf numFmtId="0" fontId="3" fillId="6" borderId="55" xfId="0" applyFont="1" applyFill="1" applyBorder="1"/>
    <xf numFmtId="0" fontId="41" fillId="9" borderId="55" xfId="0" applyFont="1" applyFill="1" applyBorder="1" applyAlignment="1">
      <alignment horizontal="center" vertical="center"/>
    </xf>
    <xf numFmtId="0" fontId="4" fillId="2" borderId="57" xfId="0" applyFont="1" applyFill="1" applyBorder="1" applyAlignment="1">
      <alignment horizontal="center"/>
    </xf>
    <xf numFmtId="0" fontId="4" fillId="0" borderId="0" xfId="0" applyFont="1" applyFill="1" applyBorder="1" applyAlignment="1">
      <alignment horizontal="right" indent="2"/>
    </xf>
    <xf numFmtId="0" fontId="4" fillId="0" borderId="0" xfId="0" applyFont="1" applyFill="1" applyBorder="1"/>
    <xf numFmtId="0" fontId="4" fillId="0" borderId="0" xfId="0" applyFont="1" applyFill="1" applyBorder="1" applyAlignment="1">
      <alignment horizontal="center"/>
    </xf>
    <xf numFmtId="0" fontId="0" fillId="0" borderId="0" xfId="0" applyFill="1" applyBorder="1" applyAlignment="1">
      <alignment horizontal="left" vertical="center" wrapText="1" indent="1"/>
    </xf>
    <xf numFmtId="0" fontId="4" fillId="2" borderId="58" xfId="0" applyFont="1" applyFill="1" applyBorder="1" applyAlignment="1">
      <alignment horizontal="center"/>
    </xf>
    <xf numFmtId="0" fontId="0" fillId="0" borderId="0" xfId="0" applyBorder="1"/>
    <xf numFmtId="0" fontId="4" fillId="10" borderId="62" xfId="0" applyFont="1" applyFill="1" applyBorder="1" applyAlignment="1">
      <alignment horizontal="center"/>
    </xf>
    <xf numFmtId="0" fontId="4" fillId="8" borderId="64" xfId="0" applyFont="1" applyFill="1" applyBorder="1" applyAlignment="1">
      <alignment horizontal="center"/>
    </xf>
    <xf numFmtId="0" fontId="4" fillId="11" borderId="64" xfId="0" applyFont="1" applyFill="1" applyBorder="1" applyAlignment="1">
      <alignment horizontal="center"/>
    </xf>
    <xf numFmtId="0" fontId="4" fillId="12" borderId="64" xfId="0" applyFont="1" applyFill="1" applyBorder="1" applyAlignment="1">
      <alignment horizontal="center"/>
    </xf>
    <xf numFmtId="0" fontId="4" fillId="13" borderId="64" xfId="0" applyFont="1" applyFill="1" applyBorder="1" applyAlignment="1">
      <alignment horizontal="center"/>
    </xf>
    <xf numFmtId="0" fontId="4" fillId="14" borderId="64" xfId="0" applyFont="1" applyFill="1" applyBorder="1" applyAlignment="1">
      <alignment horizontal="center"/>
    </xf>
    <xf numFmtId="0" fontId="4" fillId="0" borderId="56" xfId="0" applyFont="1" applyBorder="1"/>
    <xf numFmtId="0" fontId="4" fillId="0" borderId="54" xfId="0" applyFont="1" applyBorder="1"/>
    <xf numFmtId="0" fontId="4" fillId="7" borderId="56" xfId="0" applyFont="1" applyFill="1" applyBorder="1" applyAlignment="1" applyProtection="1">
      <alignment horizontal="center"/>
      <protection locked="0"/>
    </xf>
    <xf numFmtId="0" fontId="4" fillId="7" borderId="54" xfId="0" applyFont="1" applyFill="1" applyBorder="1" applyAlignment="1" applyProtection="1">
      <alignment horizontal="center"/>
      <protection locked="0"/>
    </xf>
    <xf numFmtId="0" fontId="45" fillId="0" borderId="29" xfId="0" applyFont="1" applyBorder="1" applyAlignment="1">
      <alignment horizontal="center" vertical="center" wrapText="1"/>
    </xf>
    <xf numFmtId="0" fontId="45" fillId="0" borderId="26" xfId="0" applyFont="1" applyBorder="1" applyAlignment="1">
      <alignment horizontal="center" vertical="center" wrapText="1"/>
    </xf>
    <xf numFmtId="0" fontId="45" fillId="0" borderId="32" xfId="0" applyFont="1" applyBorder="1" applyAlignment="1">
      <alignment horizontal="center" vertical="center" wrapText="1"/>
    </xf>
    <xf numFmtId="0" fontId="45" fillId="0" borderId="30" xfId="0" applyFont="1" applyBorder="1" applyAlignment="1">
      <alignment horizontal="center" vertical="center" wrapText="1"/>
    </xf>
    <xf numFmtId="0" fontId="46" fillId="0" borderId="40" xfId="0" applyFont="1" applyFill="1" applyBorder="1" applyAlignment="1">
      <alignment horizontal="center" vertical="center" wrapText="1"/>
    </xf>
    <xf numFmtId="0" fontId="46" fillId="0" borderId="27" xfId="0" applyFont="1" applyFill="1" applyBorder="1" applyAlignment="1">
      <alignment horizontal="center" vertical="center" wrapText="1"/>
    </xf>
    <xf numFmtId="0" fontId="46" fillId="0" borderId="34" xfId="0" applyFont="1" applyFill="1" applyBorder="1" applyAlignment="1">
      <alignment horizontal="center" vertical="center" wrapText="1"/>
    </xf>
    <xf numFmtId="0" fontId="46" fillId="0" borderId="41" xfId="0" applyFont="1" applyFill="1" applyBorder="1" applyAlignment="1">
      <alignment horizontal="center" vertical="center" wrapText="1"/>
    </xf>
    <xf numFmtId="0" fontId="46" fillId="0" borderId="31" xfId="0" applyFont="1" applyFill="1" applyBorder="1" applyAlignment="1">
      <alignment horizontal="center" vertical="center" wrapText="1"/>
    </xf>
    <xf numFmtId="0" fontId="46" fillId="0" borderId="35" xfId="0" applyFont="1" applyFill="1" applyBorder="1" applyAlignment="1">
      <alignment horizontal="center" vertical="center" wrapText="1"/>
    </xf>
    <xf numFmtId="0" fontId="21" fillId="5" borderId="42" xfId="0" applyFont="1" applyFill="1" applyBorder="1" applyAlignment="1" applyProtection="1">
      <alignment horizontal="center"/>
    </xf>
    <xf numFmtId="0" fontId="34" fillId="0" borderId="0" xfId="0" applyFont="1" applyFill="1" applyBorder="1" applyAlignment="1">
      <alignment horizontal="left" vertical="center" wrapText="1" indent="1"/>
    </xf>
    <xf numFmtId="0" fontId="7" fillId="0" borderId="0" xfId="0" applyFont="1" applyFill="1" applyBorder="1" applyAlignment="1" applyProtection="1">
      <alignment horizontal="center" vertical="center"/>
    </xf>
    <xf numFmtId="0" fontId="0" fillId="0" borderId="0" xfId="0" applyFill="1" applyBorder="1" applyAlignment="1" applyProtection="1">
      <alignment horizontal="center"/>
    </xf>
    <xf numFmtId="0" fontId="46" fillId="0" borderId="39" xfId="0" applyFont="1" applyFill="1" applyBorder="1" applyAlignment="1">
      <alignment horizontal="center" vertical="center" wrapText="1"/>
    </xf>
    <xf numFmtId="0" fontId="46" fillId="0" borderId="28" xfId="0" applyFont="1" applyFill="1" applyBorder="1" applyAlignment="1">
      <alignment horizontal="center" vertical="center" wrapText="1"/>
    </xf>
    <xf numFmtId="0" fontId="46" fillId="0" borderId="33" xfId="0" applyFont="1" applyFill="1" applyBorder="1" applyAlignment="1">
      <alignment horizontal="center" vertical="center" wrapText="1"/>
    </xf>
    <xf numFmtId="0" fontId="4" fillId="0" borderId="0" xfId="0" applyFont="1" applyFill="1" applyBorder="1" applyAlignment="1">
      <alignment horizontal="center"/>
    </xf>
    <xf numFmtId="0" fontId="44" fillId="0" borderId="0" xfId="0" applyFont="1" applyBorder="1" applyAlignment="1">
      <alignment horizontal="left" wrapText="1" indent="1"/>
    </xf>
    <xf numFmtId="0" fontId="44" fillId="0" borderId="0" xfId="0" applyFont="1" applyFill="1" applyBorder="1" applyAlignment="1">
      <alignment horizontal="left" vertical="center" wrapText="1" indent="1"/>
    </xf>
    <xf numFmtId="0" fontId="4" fillId="2" borderId="72" xfId="0" applyFont="1" applyFill="1" applyBorder="1" applyAlignment="1">
      <alignment horizontal="right" indent="2"/>
    </xf>
    <xf numFmtId="0" fontId="4" fillId="2" borderId="63" xfId="0" applyFont="1" applyFill="1" applyBorder="1" applyAlignment="1">
      <alignment horizontal="right" indent="2"/>
    </xf>
    <xf numFmtId="0" fontId="4" fillId="2" borderId="65" xfId="0" applyFont="1" applyFill="1" applyBorder="1" applyAlignment="1">
      <alignment horizontal="right" indent="2"/>
    </xf>
    <xf numFmtId="0" fontId="4" fillId="2" borderId="57" xfId="0" applyFont="1" applyFill="1" applyBorder="1" applyAlignment="1">
      <alignment horizontal="left" indent="1"/>
    </xf>
    <xf numFmtId="0" fontId="4" fillId="2" borderId="58" xfId="0" applyFont="1" applyFill="1" applyBorder="1" applyAlignment="1">
      <alignment horizontal="left" indent="1"/>
    </xf>
    <xf numFmtId="0" fontId="4" fillId="8" borderId="62" xfId="0" applyFont="1" applyFill="1" applyBorder="1" applyAlignment="1">
      <alignment horizontal="center"/>
    </xf>
    <xf numFmtId="0" fontId="4" fillId="2" borderId="77" xfId="0" applyFont="1" applyFill="1" applyBorder="1" applyAlignment="1">
      <alignment horizontal="right" indent="2"/>
    </xf>
    <xf numFmtId="0" fontId="4" fillId="2" borderId="78" xfId="0" applyFont="1" applyFill="1" applyBorder="1" applyAlignment="1">
      <alignment horizontal="left" indent="1"/>
    </xf>
    <xf numFmtId="0" fontId="4" fillId="2" borderId="78" xfId="0" applyFont="1" applyFill="1" applyBorder="1" applyAlignment="1">
      <alignment horizontal="center"/>
    </xf>
    <xf numFmtId="0" fontId="4" fillId="13" borderId="62" xfId="0" applyFont="1" applyFill="1" applyBorder="1" applyAlignment="1">
      <alignment horizontal="center"/>
    </xf>
    <xf numFmtId="0" fontId="4" fillId="14" borderId="76" xfId="0" applyFont="1" applyFill="1" applyBorder="1" applyAlignment="1">
      <alignment horizontal="center"/>
    </xf>
    <xf numFmtId="0" fontId="4" fillId="11" borderId="76" xfId="0" applyFont="1" applyFill="1" applyBorder="1" applyAlignment="1">
      <alignment horizontal="center"/>
    </xf>
    <xf numFmtId="0" fontId="4" fillId="2" borderId="79" xfId="0" applyFont="1" applyFill="1" applyBorder="1" applyAlignment="1">
      <alignment horizontal="right" indent="2"/>
    </xf>
    <xf numFmtId="0" fontId="4" fillId="2" borderId="80" xfId="0" applyFont="1" applyFill="1" applyBorder="1" applyAlignment="1">
      <alignment horizontal="left" indent="1"/>
    </xf>
    <xf numFmtId="0" fontId="4" fillId="2" borderId="80" xfId="0" applyFont="1" applyFill="1" applyBorder="1" applyAlignment="1">
      <alignment horizontal="center"/>
    </xf>
    <xf numFmtId="0" fontId="4" fillId="10" borderId="81" xfId="0" applyFont="1" applyFill="1" applyBorder="1" applyAlignment="1">
      <alignment horizontal="center"/>
    </xf>
    <xf numFmtId="0" fontId="4" fillId="13" borderId="76" xfId="0" applyFont="1" applyFill="1" applyBorder="1" applyAlignment="1">
      <alignment horizontal="center"/>
    </xf>
    <xf numFmtId="0" fontId="48" fillId="0" borderId="0" xfId="0" applyFont="1"/>
    <xf numFmtId="0" fontId="0" fillId="0" borderId="82" xfId="0" applyBorder="1" applyAlignment="1">
      <alignment horizontal="center"/>
    </xf>
    <xf numFmtId="0" fontId="0" fillId="0" borderId="83" xfId="0" applyBorder="1" applyAlignment="1">
      <alignment horizontal="center"/>
    </xf>
    <xf numFmtId="0" fontId="0" fillId="0" borderId="0" xfId="0" applyAlignment="1">
      <alignment horizontal="left"/>
    </xf>
    <xf numFmtId="0" fontId="0" fillId="0" borderId="84" xfId="0" applyBorder="1" applyAlignment="1">
      <alignment horizontal="center"/>
    </xf>
    <xf numFmtId="0" fontId="49" fillId="0" borderId="0" xfId="0" applyFont="1"/>
    <xf numFmtId="0" fontId="0" fillId="0" borderId="86" xfId="0" applyBorder="1" applyAlignment="1">
      <alignment horizontal="center"/>
    </xf>
    <xf numFmtId="0" fontId="0" fillId="0" borderId="86" xfId="0" applyBorder="1"/>
    <xf numFmtId="0" fontId="0" fillId="0" borderId="87" xfId="0" applyBorder="1" applyAlignment="1">
      <alignment horizontal="center"/>
    </xf>
    <xf numFmtId="0" fontId="0" fillId="0" borderId="0" xfId="0" applyBorder="1" applyAlignment="1">
      <alignment horizontal="center"/>
    </xf>
    <xf numFmtId="0" fontId="0" fillId="0" borderId="89" xfId="0" applyBorder="1" applyAlignment="1">
      <alignment horizontal="center"/>
    </xf>
    <xf numFmtId="0" fontId="0" fillId="0" borderId="91" xfId="0" applyBorder="1" applyAlignment="1">
      <alignment horizontal="center"/>
    </xf>
    <xf numFmtId="0" fontId="0" fillId="0" borderId="91" xfId="0" applyBorder="1"/>
    <xf numFmtId="0" fontId="0" fillId="0" borderId="92" xfId="0" applyBorder="1" applyAlignment="1">
      <alignment horizontal="center"/>
    </xf>
    <xf numFmtId="0" fontId="0" fillId="0" borderId="0" xfId="0" applyAlignment="1">
      <alignment horizontal="right"/>
    </xf>
    <xf numFmtId="0" fontId="0" fillId="2" borderId="93" xfId="0" applyFill="1" applyBorder="1"/>
    <xf numFmtId="0" fontId="0" fillId="2" borderId="93" xfId="0" applyFill="1" applyBorder="1" applyAlignment="1">
      <alignment horizontal="right"/>
    </xf>
    <xf numFmtId="0" fontId="8" fillId="0" borderId="0" xfId="0" applyFont="1" applyAlignment="1">
      <alignment horizontal="center"/>
    </xf>
    <xf numFmtId="0" fontId="0" fillId="0" borderId="0" xfId="0" applyBorder="1" applyAlignment="1">
      <alignment horizontal="right" indent="1"/>
    </xf>
    <xf numFmtId="0" fontId="0" fillId="0" borderId="94" xfId="0" applyBorder="1"/>
    <xf numFmtId="0" fontId="0" fillId="0" borderId="94" xfId="0" applyBorder="1" applyAlignment="1">
      <alignment horizontal="center"/>
    </xf>
    <xf numFmtId="0" fontId="41" fillId="0" borderId="94" xfId="0" applyFont="1" applyBorder="1" applyAlignment="1">
      <alignment horizontal="center"/>
    </xf>
    <xf numFmtId="0" fontId="51" fillId="0" borderId="0" xfId="0" applyFont="1"/>
    <xf numFmtId="165" fontId="0" fillId="0" borderId="0" xfId="0" applyNumberFormat="1"/>
    <xf numFmtId="165" fontId="0" fillId="0" borderId="90" xfId="0" applyNumberFormat="1" applyBorder="1"/>
    <xf numFmtId="165" fontId="0" fillId="0" borderId="88" xfId="0" applyNumberFormat="1" applyBorder="1"/>
    <xf numFmtId="165" fontId="0" fillId="0" borderId="85" xfId="0" applyNumberFormat="1" applyBorder="1"/>
    <xf numFmtId="0" fontId="52" fillId="0" borderId="0" xfId="0" applyFont="1" applyAlignment="1">
      <alignment horizontal="center"/>
    </xf>
    <xf numFmtId="0" fontId="53" fillId="0" borderId="0" xfId="0" applyFont="1"/>
    <xf numFmtId="0" fontId="0" fillId="0" borderId="0" xfId="0" applyFill="1" applyBorder="1" applyAlignment="1">
      <alignment horizontal="right"/>
    </xf>
    <xf numFmtId="0" fontId="0" fillId="0" borderId="0" xfId="0" applyFill="1" applyBorder="1" applyAlignment="1">
      <alignment horizontal="center"/>
    </xf>
    <xf numFmtId="0" fontId="0" fillId="0" borderId="0" xfId="0" applyFill="1" applyBorder="1"/>
    <xf numFmtId="0" fontId="41" fillId="0" borderId="0" xfId="0" applyFont="1" applyFill="1" applyBorder="1" applyAlignment="1">
      <alignment horizontal="center"/>
    </xf>
    <xf numFmtId="0" fontId="10" fillId="0" borderId="0" xfId="0" applyFont="1"/>
    <xf numFmtId="0" fontId="10" fillId="0" borderId="94" xfId="0" applyFont="1" applyBorder="1"/>
    <xf numFmtId="0" fontId="0" fillId="0" borderId="54" xfId="0" applyBorder="1" applyAlignment="1">
      <alignment horizontal="right" indent="1"/>
    </xf>
    <xf numFmtId="0" fontId="50" fillId="0" borderId="54" xfId="0" applyFont="1" applyBorder="1"/>
    <xf numFmtId="0" fontId="0" fillId="0" borderId="56" xfId="0" applyBorder="1" applyAlignment="1">
      <alignment horizontal="right" indent="1"/>
    </xf>
    <xf numFmtId="0" fontId="50" fillId="0" borderId="56" xfId="0" applyFont="1" applyBorder="1"/>
    <xf numFmtId="0" fontId="41" fillId="0" borderId="95" xfId="0" applyFont="1" applyBorder="1" applyAlignment="1">
      <alignment horizontal="center"/>
    </xf>
    <xf numFmtId="0" fontId="0" fillId="0" borderId="0" xfId="0" applyAlignment="1">
      <alignment horizontal="right" indent="1"/>
    </xf>
    <xf numFmtId="0" fontId="49" fillId="0" borderId="0" xfId="0" applyFont="1" applyAlignment="1">
      <alignment horizontal="center"/>
    </xf>
    <xf numFmtId="0" fontId="0" fillId="0" borderId="0" xfId="0" applyNumberFormat="1"/>
    <xf numFmtId="0" fontId="0" fillId="0" borderId="96" xfId="0" applyBorder="1" applyAlignment="1">
      <alignment horizontal="center"/>
    </xf>
    <xf numFmtId="0" fontId="0" fillId="0" borderId="97" xfId="0" applyBorder="1" applyAlignment="1">
      <alignment horizontal="center"/>
    </xf>
    <xf numFmtId="0" fontId="0" fillId="0" borderId="98" xfId="0" applyBorder="1" applyAlignment="1">
      <alignment horizontal="center"/>
    </xf>
    <xf numFmtId="0" fontId="0" fillId="0" borderId="99" xfId="0" applyBorder="1" applyAlignment="1">
      <alignment horizontal="center"/>
    </xf>
    <xf numFmtId="0" fontId="0" fillId="0" borderId="100" xfId="0" applyBorder="1" applyAlignment="1">
      <alignment horizontal="center"/>
    </xf>
    <xf numFmtId="0" fontId="0" fillId="0" borderId="101" xfId="0"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0" fontId="0" fillId="0" borderId="83" xfId="0" applyBorder="1"/>
    <xf numFmtId="0" fontId="4" fillId="15" borderId="0" xfId="0" applyFont="1" applyFill="1" applyAlignment="1">
      <alignment horizontal="center"/>
    </xf>
    <xf numFmtId="0" fontId="4" fillId="15" borderId="0" xfId="0" applyFont="1" applyFill="1" applyAlignment="1">
      <alignment horizontal="left"/>
    </xf>
    <xf numFmtId="0" fontId="4" fillId="15" borderId="0" xfId="0" applyFont="1" applyFill="1"/>
    <xf numFmtId="0" fontId="55" fillId="15" borderId="0" xfId="0" applyFont="1" applyFill="1"/>
    <xf numFmtId="0" fontId="15" fillId="0" borderId="0" xfId="0" applyFont="1" applyAlignment="1" applyProtection="1">
      <alignment horizontal="left" vertical="center"/>
    </xf>
    <xf numFmtId="0" fontId="14" fillId="0" borderId="0" xfId="0" applyFont="1" applyAlignment="1" applyProtection="1">
      <alignment horizontal="left" vertical="center"/>
    </xf>
    <xf numFmtId="165" fontId="0" fillId="0" borderId="0" xfId="0" applyNumberFormat="1" applyBorder="1"/>
    <xf numFmtId="165" fontId="0" fillId="0" borderId="91" xfId="0" applyNumberFormat="1" applyBorder="1"/>
    <xf numFmtId="165" fontId="0" fillId="0" borderId="86" xfId="0" applyNumberFormat="1" applyBorder="1"/>
    <xf numFmtId="0" fontId="0" fillId="0" borderId="90" xfId="0" applyBorder="1" applyAlignment="1">
      <alignment horizontal="center"/>
    </xf>
    <xf numFmtId="0" fontId="0" fillId="0" borderId="88" xfId="0" applyBorder="1" applyAlignment="1">
      <alignment horizontal="center"/>
    </xf>
    <xf numFmtId="0" fontId="0" fillId="0" borderId="85" xfId="0" applyBorder="1" applyAlignment="1">
      <alignment horizontal="center"/>
    </xf>
    <xf numFmtId="0" fontId="41" fillId="0" borderId="0" xfId="0" applyFont="1" applyBorder="1" applyAlignment="1">
      <alignment horizontal="center"/>
    </xf>
    <xf numFmtId="0" fontId="0" fillId="0" borderId="89" xfId="0" applyBorder="1"/>
    <xf numFmtId="0" fontId="0" fillId="0" borderId="0" xfId="0" applyFont="1" applyAlignment="1">
      <alignment horizontal="center"/>
    </xf>
    <xf numFmtId="0" fontId="30" fillId="5" borderId="9" xfId="0" applyFont="1" applyFill="1" applyBorder="1" applyAlignment="1" applyProtection="1">
      <alignment horizontal="center"/>
    </xf>
    <xf numFmtId="0" fontId="18" fillId="0" borderId="54" xfId="0" applyFont="1" applyFill="1" applyBorder="1" applyAlignment="1" applyProtection="1">
      <alignment horizontal="left" indent="1"/>
    </xf>
    <xf numFmtId="0" fontId="0" fillId="7" borderId="70" xfId="0" applyFill="1" applyBorder="1" applyAlignment="1" applyProtection="1">
      <alignment horizontal="center" vertical="center"/>
      <protection locked="0"/>
    </xf>
    <xf numFmtId="0" fontId="0" fillId="7" borderId="71" xfId="0" applyFill="1" applyBorder="1" applyAlignment="1" applyProtection="1">
      <alignment horizontal="center" vertical="center"/>
      <protection locked="0"/>
    </xf>
    <xf numFmtId="0" fontId="0" fillId="0" borderId="0" xfId="0" applyNumberFormat="1" applyAlignment="1">
      <alignment horizontal="center"/>
    </xf>
    <xf numFmtId="0" fontId="0" fillId="16" borderId="93" xfId="0" applyFill="1" applyBorder="1" applyAlignment="1">
      <alignment horizontal="center"/>
    </xf>
    <xf numFmtId="0" fontId="0" fillId="16" borderId="93" xfId="0" applyNumberFormat="1" applyFill="1" applyBorder="1" applyAlignment="1">
      <alignment horizontal="center"/>
    </xf>
    <xf numFmtId="0" fontId="49" fillId="0" borderId="0" xfId="0" applyFont="1" applyAlignment="1">
      <alignment horizontal="right"/>
    </xf>
    <xf numFmtId="0" fontId="0" fillId="0" borderId="0" xfId="0" applyAlignment="1" applyProtection="1">
      <alignment horizontal="center"/>
      <protection locked="0"/>
    </xf>
    <xf numFmtId="0" fontId="10" fillId="0" borderId="0" xfId="0" applyFont="1" applyAlignment="1">
      <alignment horizontal="center"/>
    </xf>
    <xf numFmtId="0" fontId="0" fillId="17" borderId="0" xfId="0" applyFill="1" applyAlignment="1">
      <alignment horizontal="center"/>
    </xf>
    <xf numFmtId="0" fontId="0" fillId="0" borderId="0" xfId="0" applyFill="1" applyAlignment="1">
      <alignment horizontal="left"/>
    </xf>
    <xf numFmtId="0" fontId="0" fillId="12" borderId="0" xfId="0" applyFill="1" applyAlignment="1">
      <alignment horizontal="left" indent="1"/>
    </xf>
    <xf numFmtId="0" fontId="42" fillId="0" borderId="0" xfId="0" applyFont="1" applyAlignment="1">
      <alignment horizontal="center" vertical="center"/>
    </xf>
    <xf numFmtId="0" fontId="42" fillId="0" borderId="0" xfId="0" applyFont="1" applyAlignment="1" applyProtection="1">
      <alignment horizontal="center" vertical="center"/>
    </xf>
    <xf numFmtId="0" fontId="43" fillId="0" borderId="0" xfId="0" applyFont="1" applyBorder="1" applyAlignment="1">
      <alignment horizontal="center" vertical="top" wrapText="1"/>
    </xf>
    <xf numFmtId="0" fontId="43" fillId="0" borderId="0" xfId="0" applyFont="1" applyBorder="1" applyAlignment="1">
      <alignment horizontal="center" vertical="top"/>
    </xf>
    <xf numFmtId="0" fontId="5" fillId="6" borderId="59" xfId="0" applyFont="1" applyFill="1" applyBorder="1" applyAlignment="1">
      <alignment horizontal="right" vertical="top" indent="1"/>
    </xf>
    <xf numFmtId="0" fontId="5" fillId="6" borderId="60" xfId="0" applyFont="1" applyFill="1" applyBorder="1" applyAlignment="1">
      <alignment horizontal="left" vertical="top" indent="1"/>
    </xf>
    <xf numFmtId="0" fontId="5" fillId="6" borderId="60" xfId="0" applyFont="1" applyFill="1" applyBorder="1" applyAlignment="1">
      <alignment horizontal="center" wrapText="1"/>
    </xf>
    <xf numFmtId="0" fontId="5" fillId="6" borderId="61" xfId="0" applyFont="1" applyFill="1" applyBorder="1" applyAlignment="1">
      <alignment horizontal="center" vertical="top"/>
    </xf>
    <xf numFmtId="166" fontId="4" fillId="0" borderId="5" xfId="0" applyNumberFormat="1" applyFont="1" applyFill="1" applyBorder="1" applyAlignment="1" applyProtection="1">
      <alignment horizontal="center"/>
    </xf>
    <xf numFmtId="20" fontId="4" fillId="0" borderId="6" xfId="0" applyNumberFormat="1" applyFont="1" applyFill="1" applyBorder="1" applyAlignment="1" applyProtection="1">
      <alignment horizontal="right" indent="1"/>
    </xf>
    <xf numFmtId="166" fontId="4" fillId="0" borderId="20" xfId="0" applyNumberFormat="1" applyFont="1" applyFill="1" applyBorder="1" applyAlignment="1" applyProtection="1">
      <alignment horizontal="center"/>
    </xf>
    <xf numFmtId="20" fontId="4" fillId="0" borderId="21" xfId="0" applyNumberFormat="1" applyFont="1" applyFill="1" applyBorder="1" applyAlignment="1" applyProtection="1">
      <alignment horizontal="right" indent="1"/>
    </xf>
    <xf numFmtId="0" fontId="0" fillId="2" borderId="115" xfId="0" applyFill="1" applyBorder="1"/>
    <xf numFmtId="0" fontId="0" fillId="9" borderId="116" xfId="0" applyFill="1" applyBorder="1"/>
    <xf numFmtId="0" fontId="0" fillId="18" borderId="116" xfId="0" applyFill="1" applyBorder="1"/>
    <xf numFmtId="0" fontId="0" fillId="19" borderId="116" xfId="0" applyFill="1" applyBorder="1"/>
    <xf numFmtId="0" fontId="0" fillId="7" borderId="117" xfId="0" applyFill="1" applyBorder="1"/>
    <xf numFmtId="0" fontId="64" fillId="2" borderId="118" xfId="0" applyFont="1" applyFill="1" applyBorder="1"/>
    <xf numFmtId="0" fontId="64" fillId="9" borderId="0" xfId="0" applyFont="1" applyFill="1" applyBorder="1"/>
    <xf numFmtId="0" fontId="64" fillId="18" borderId="0" xfId="0" applyFont="1" applyFill="1" applyBorder="1"/>
    <xf numFmtId="0" fontId="0" fillId="19" borderId="0" xfId="0" applyFill="1" applyBorder="1"/>
    <xf numFmtId="0" fontId="0" fillId="7" borderId="119" xfId="0" applyFill="1" applyBorder="1"/>
    <xf numFmtId="0" fontId="0" fillId="2" borderId="120" xfId="0" applyFill="1" applyBorder="1"/>
    <xf numFmtId="0" fontId="0" fillId="9" borderId="121" xfId="0" applyFill="1" applyBorder="1"/>
    <xf numFmtId="0" fontId="0" fillId="18" borderId="121" xfId="0" applyFill="1" applyBorder="1"/>
    <xf numFmtId="0" fontId="0" fillId="19" borderId="121" xfId="0" applyFill="1" applyBorder="1"/>
    <xf numFmtId="0" fontId="0" fillId="7" borderId="122" xfId="0" applyFill="1" applyBorder="1" applyProtection="1">
      <protection locked="0"/>
    </xf>
    <xf numFmtId="0" fontId="0" fillId="2" borderId="123" xfId="0" applyFill="1" applyBorder="1"/>
    <xf numFmtId="0" fontId="0" fillId="9" borderId="124" xfId="0" applyFill="1" applyBorder="1"/>
    <xf numFmtId="0" fontId="0" fillId="18" borderId="124" xfId="0" applyFill="1" applyBorder="1"/>
    <xf numFmtId="0" fontId="0" fillId="19" borderId="124" xfId="0" applyFill="1" applyBorder="1"/>
    <xf numFmtId="0" fontId="0" fillId="7" borderId="125" xfId="0" applyFill="1" applyBorder="1" applyProtection="1">
      <protection locked="0"/>
    </xf>
    <xf numFmtId="0" fontId="0" fillId="2" borderId="127" xfId="0" applyFill="1" applyBorder="1"/>
    <xf numFmtId="0" fontId="0" fillId="9" borderId="128" xfId="0" applyFill="1" applyBorder="1"/>
    <xf numFmtId="0" fontId="0" fillId="18" borderId="128" xfId="0" applyFill="1" applyBorder="1"/>
    <xf numFmtId="0" fontId="0" fillId="19" borderId="128" xfId="0" applyFill="1" applyBorder="1"/>
    <xf numFmtId="0" fontId="0" fillId="7" borderId="129" xfId="0" applyFill="1" applyBorder="1" applyProtection="1">
      <protection locked="0"/>
    </xf>
    <xf numFmtId="0" fontId="5" fillId="0" borderId="6" xfId="0" applyNumberFormat="1" applyFont="1" applyFill="1" applyBorder="1" applyAlignment="1" applyProtection="1">
      <alignment horizontal="center" vertical="center"/>
    </xf>
    <xf numFmtId="0" fontId="10" fillId="0" borderId="0" xfId="0" applyFont="1" applyAlignment="1">
      <alignment horizontal="right"/>
    </xf>
    <xf numFmtId="0" fontId="23" fillId="0" borderId="0" xfId="0" applyFont="1" applyFill="1" applyBorder="1" applyAlignment="1">
      <alignment horizontal="center" vertical="center"/>
    </xf>
    <xf numFmtId="0" fontId="27" fillId="0" borderId="0" xfId="0" applyFont="1" applyBorder="1" applyAlignment="1">
      <alignment horizontal="center" vertical="center"/>
    </xf>
    <xf numFmtId="0" fontId="24" fillId="0" borderId="0" xfId="0" applyFont="1" applyFill="1" applyBorder="1" applyAlignment="1" applyProtection="1">
      <alignment horizontal="center"/>
    </xf>
    <xf numFmtId="0" fontId="22" fillId="0" borderId="0" xfId="0" applyFont="1" applyAlignment="1"/>
    <xf numFmtId="0" fontId="0" fillId="0" borderId="0" xfId="0" applyBorder="1" applyAlignment="1">
      <alignment horizontal="center"/>
    </xf>
    <xf numFmtId="0" fontId="10" fillId="0" borderId="0" xfId="0" applyFont="1" applyAlignment="1">
      <alignment horizontal="center"/>
    </xf>
    <xf numFmtId="0" fontId="3" fillId="0" borderId="0" xfId="0" applyFont="1" applyFill="1" applyBorder="1" applyAlignment="1" applyProtection="1">
      <alignment horizontal="center"/>
    </xf>
    <xf numFmtId="0" fontId="0" fillId="0" borderId="0" xfId="0" applyFill="1" applyBorder="1" applyAlignment="1" applyProtection="1">
      <alignment horizontal="left"/>
    </xf>
    <xf numFmtId="0" fontId="0" fillId="3" borderId="44" xfId="0" applyFill="1" applyBorder="1" applyAlignment="1" applyProtection="1">
      <alignment horizontal="center" vertical="center"/>
      <protection locked="0"/>
    </xf>
    <xf numFmtId="0" fontId="0" fillId="3" borderId="130" xfId="0" applyFill="1" applyBorder="1" applyAlignment="1" applyProtection="1">
      <alignment horizontal="center" vertical="center"/>
      <protection locked="0"/>
    </xf>
    <xf numFmtId="166" fontId="4" fillId="20" borderId="5" xfId="0" applyNumberFormat="1" applyFont="1" applyFill="1" applyBorder="1" applyAlignment="1" applyProtection="1">
      <alignment horizontal="center"/>
    </xf>
    <xf numFmtId="20" fontId="4" fillId="20" borderId="6" xfId="0" applyNumberFormat="1" applyFont="1" applyFill="1" applyBorder="1" applyAlignment="1" applyProtection="1">
      <alignment horizontal="right" indent="1"/>
    </xf>
    <xf numFmtId="0" fontId="5" fillId="20" borderId="5" xfId="0" applyFont="1" applyFill="1" applyBorder="1" applyAlignment="1" applyProtection="1">
      <alignment horizontal="center" vertical="center"/>
    </xf>
    <xf numFmtId="0" fontId="5" fillId="20" borderId="6" xfId="0" applyFont="1" applyFill="1" applyBorder="1" applyAlignment="1" applyProtection="1">
      <alignment horizontal="center" vertical="center"/>
    </xf>
    <xf numFmtId="0" fontId="59" fillId="20" borderId="5" xfId="0" applyFont="1" applyFill="1" applyBorder="1" applyAlignment="1" applyProtection="1">
      <alignment horizontal="center" vertical="center"/>
    </xf>
    <xf numFmtId="0" fontId="59" fillId="20" borderId="6" xfId="0" applyFont="1" applyFill="1" applyBorder="1" applyAlignment="1" applyProtection="1">
      <alignment horizontal="center" vertical="center"/>
    </xf>
    <xf numFmtId="0" fontId="0" fillId="2" borderId="3" xfId="0" applyFill="1" applyBorder="1" applyAlignment="1" applyProtection="1">
      <alignment horizontal="center"/>
    </xf>
    <xf numFmtId="0" fontId="0" fillId="2" borderId="4" xfId="0" applyFill="1" applyBorder="1" applyAlignment="1" applyProtection="1">
      <alignment horizontal="center"/>
    </xf>
    <xf numFmtId="0" fontId="60" fillId="0" borderId="14" xfId="0" applyFont="1" applyBorder="1" applyAlignment="1" applyProtection="1">
      <alignment horizontal="center"/>
    </xf>
    <xf numFmtId="0" fontId="60" fillId="0" borderId="14" xfId="0" applyFont="1" applyBorder="1" applyAlignment="1">
      <alignment horizontal="center"/>
    </xf>
    <xf numFmtId="0" fontId="32" fillId="7" borderId="49" xfId="0" applyFont="1" applyFill="1" applyBorder="1" applyAlignment="1" applyProtection="1">
      <alignment horizontal="left" vertical="center" wrapText="1" indent="1"/>
    </xf>
    <xf numFmtId="0" fontId="34" fillId="7" borderId="0" xfId="0" applyFont="1" applyFill="1" applyBorder="1" applyAlignment="1">
      <alignment horizontal="left" vertical="center" wrapText="1" indent="1"/>
    </xf>
    <xf numFmtId="0" fontId="34" fillId="7" borderId="50" xfId="0" applyFont="1" applyFill="1" applyBorder="1" applyAlignment="1">
      <alignment horizontal="left" vertical="center" wrapText="1" indent="1"/>
    </xf>
    <xf numFmtId="0" fontId="34" fillId="7" borderId="49" xfId="0" applyFont="1" applyFill="1" applyBorder="1" applyAlignment="1">
      <alignment horizontal="left" vertical="center" wrapText="1" indent="1"/>
    </xf>
    <xf numFmtId="0" fontId="34" fillId="7" borderId="51" xfId="0" applyFont="1" applyFill="1" applyBorder="1" applyAlignment="1">
      <alignment horizontal="left" vertical="center" wrapText="1" indent="1"/>
    </xf>
    <xf numFmtId="0" fontId="34" fillId="7" borderId="52" xfId="0" applyFont="1" applyFill="1" applyBorder="1" applyAlignment="1">
      <alignment horizontal="left" vertical="center" wrapText="1" indent="1"/>
    </xf>
    <xf numFmtId="0" fontId="34" fillId="7" borderId="53" xfId="0" applyFont="1" applyFill="1" applyBorder="1" applyAlignment="1">
      <alignment horizontal="left" vertical="center" wrapText="1" indent="1"/>
    </xf>
    <xf numFmtId="0" fontId="23" fillId="0" borderId="0" xfId="0" applyFont="1" applyFill="1" applyBorder="1" applyAlignment="1">
      <alignment horizontal="center" vertical="center"/>
    </xf>
    <xf numFmtId="0" fontId="27" fillId="0" borderId="0" xfId="0" applyFont="1" applyBorder="1" applyAlignment="1">
      <alignment horizontal="center" vertical="center"/>
    </xf>
    <xf numFmtId="0" fontId="56" fillId="0" borderId="0" xfId="0" applyFont="1" applyFill="1" applyBorder="1" applyAlignment="1">
      <alignment horizontal="center" vertical="center"/>
    </xf>
    <xf numFmtId="0" fontId="38" fillId="0" borderId="0" xfId="0" applyFont="1" applyBorder="1" applyAlignment="1">
      <alignment horizontal="center" vertical="center"/>
    </xf>
    <xf numFmtId="0" fontId="2" fillId="0" borderId="0" xfId="0" applyFont="1" applyAlignment="1" applyProtection="1">
      <alignment horizontal="center"/>
    </xf>
    <xf numFmtId="0" fontId="3" fillId="6" borderId="1" xfId="0" applyFont="1" applyFill="1" applyBorder="1" applyAlignment="1" applyProtection="1">
      <alignment horizontal="center"/>
    </xf>
    <xf numFmtId="0" fontId="3" fillId="6" borderId="2" xfId="0" applyFont="1" applyFill="1" applyBorder="1" applyAlignment="1" applyProtection="1">
      <alignment horizontal="center"/>
    </xf>
    <xf numFmtId="0" fontId="24" fillId="0" borderId="0" xfId="0" applyFont="1" applyFill="1" applyBorder="1" applyAlignment="1" applyProtection="1">
      <alignment horizontal="center"/>
    </xf>
    <xf numFmtId="0" fontId="22" fillId="0" borderId="0" xfId="0" applyFont="1" applyAlignment="1"/>
    <xf numFmtId="0" fontId="35" fillId="7" borderId="46" xfId="0" applyFont="1" applyFill="1" applyBorder="1" applyAlignment="1" applyProtection="1">
      <alignment horizontal="left" vertical="center" wrapText="1" indent="1"/>
    </xf>
    <xf numFmtId="0" fontId="36" fillId="7" borderId="47" xfId="0" applyFont="1" applyFill="1" applyBorder="1" applyAlignment="1">
      <alignment horizontal="left" vertical="center" wrapText="1" indent="1"/>
    </xf>
    <xf numFmtId="0" fontId="36" fillId="7" borderId="48" xfId="0" applyFont="1" applyFill="1" applyBorder="1" applyAlignment="1">
      <alignment horizontal="left" vertical="center" wrapText="1" indent="1"/>
    </xf>
    <xf numFmtId="0" fontId="36" fillId="7" borderId="49" xfId="0" applyFont="1" applyFill="1" applyBorder="1" applyAlignment="1">
      <alignment horizontal="left" vertical="center" wrapText="1" indent="1"/>
    </xf>
    <xf numFmtId="0" fontId="36" fillId="7" borderId="0" xfId="0" applyFont="1" applyFill="1" applyBorder="1" applyAlignment="1">
      <alignment horizontal="left" vertical="center" wrapText="1" indent="1"/>
    </xf>
    <xf numFmtId="0" fontId="36" fillId="7" borderId="50" xfId="0" applyFont="1" applyFill="1" applyBorder="1" applyAlignment="1">
      <alignment horizontal="left" vertical="center" wrapText="1" indent="1"/>
    </xf>
    <xf numFmtId="0" fontId="36" fillId="7" borderId="51" xfId="0" applyFont="1" applyFill="1" applyBorder="1" applyAlignment="1">
      <alignment horizontal="left" vertical="center" wrapText="1" indent="1"/>
    </xf>
    <xf numFmtId="0" fontId="36" fillId="7" borderId="52" xfId="0" applyFont="1" applyFill="1" applyBorder="1" applyAlignment="1">
      <alignment horizontal="left" vertical="center" wrapText="1" indent="1"/>
    </xf>
    <xf numFmtId="0" fontId="36" fillId="7" borderId="53" xfId="0" applyFont="1" applyFill="1" applyBorder="1" applyAlignment="1">
      <alignment horizontal="left" vertical="center" wrapText="1" indent="1"/>
    </xf>
    <xf numFmtId="0" fontId="63" fillId="0" borderId="0" xfId="0" applyFont="1" applyAlignment="1" applyProtection="1">
      <alignment horizontal="center"/>
    </xf>
    <xf numFmtId="0" fontId="1" fillId="6" borderId="9" xfId="0" applyFont="1" applyFill="1" applyBorder="1" applyAlignment="1" applyProtection="1">
      <alignment horizontal="center"/>
    </xf>
    <xf numFmtId="0" fontId="1" fillId="6" borderId="10" xfId="0" applyFont="1" applyFill="1" applyBorder="1" applyAlignment="1" applyProtection="1">
      <alignment horizontal="center"/>
    </xf>
    <xf numFmtId="0" fontId="4" fillId="0" borderId="1" xfId="0" applyFont="1" applyFill="1" applyBorder="1" applyAlignment="1" applyProtection="1">
      <alignment horizontal="center"/>
    </xf>
    <xf numFmtId="0" fontId="4" fillId="0" borderId="2" xfId="0" applyFont="1" applyFill="1" applyBorder="1" applyAlignment="1" applyProtection="1">
      <alignment horizontal="center"/>
    </xf>
    <xf numFmtId="0" fontId="18" fillId="5" borderId="9" xfId="0" applyFont="1" applyFill="1" applyBorder="1" applyAlignment="1" applyProtection="1">
      <alignment horizontal="left" indent="1"/>
    </xf>
    <xf numFmtId="0" fontId="18" fillId="5" borderId="10" xfId="0" applyFont="1" applyFill="1" applyBorder="1" applyAlignment="1" applyProtection="1">
      <alignment horizontal="left" indent="1"/>
    </xf>
    <xf numFmtId="0" fontId="18" fillId="0" borderId="44" xfId="0" applyFont="1" applyFill="1" applyBorder="1" applyAlignment="1" applyProtection="1">
      <alignment horizontal="center" vertical="top"/>
    </xf>
    <xf numFmtId="0" fontId="18" fillId="0" borderId="45" xfId="0" applyFont="1" applyFill="1" applyBorder="1" applyAlignment="1" applyProtection="1">
      <alignment horizontal="center" vertical="top"/>
    </xf>
    <xf numFmtId="0" fontId="47" fillId="0" borderId="0" xfId="0" applyFont="1" applyAlignment="1" applyProtection="1"/>
    <xf numFmtId="0" fontId="47" fillId="0" borderId="0" xfId="0" applyFont="1" applyAlignment="1"/>
    <xf numFmtId="0" fontId="7" fillId="4" borderId="11" xfId="0" applyFont="1" applyFill="1" applyBorder="1" applyAlignment="1" applyProtection="1">
      <alignment horizontal="center" vertical="center"/>
    </xf>
    <xf numFmtId="0" fontId="7" fillId="4" borderId="12" xfId="0" applyFont="1" applyFill="1" applyBorder="1" applyAlignment="1" applyProtection="1">
      <alignment horizontal="center" vertical="center"/>
    </xf>
    <xf numFmtId="0" fontId="11" fillId="4" borderId="17" xfId="0" applyFont="1" applyFill="1" applyBorder="1" applyAlignment="1" applyProtection="1">
      <alignment horizontal="center" vertical="center"/>
    </xf>
    <xf numFmtId="0" fontId="11" fillId="4" borderId="18" xfId="0" applyFont="1" applyFill="1" applyBorder="1" applyAlignment="1" applyProtection="1">
      <alignment horizontal="center" vertical="center"/>
    </xf>
    <xf numFmtId="0" fontId="11" fillId="4" borderId="19" xfId="0" applyFont="1" applyFill="1" applyBorder="1" applyAlignment="1" applyProtection="1">
      <alignment horizontal="center" vertical="center"/>
    </xf>
    <xf numFmtId="0" fontId="0" fillId="2" borderId="20" xfId="0" applyFill="1" applyBorder="1" applyAlignment="1" applyProtection="1">
      <alignment horizontal="center"/>
    </xf>
    <xf numFmtId="0" fontId="0" fillId="2" borderId="0" xfId="0" applyFill="1" applyBorder="1" applyAlignment="1" applyProtection="1">
      <alignment horizontal="center"/>
    </xf>
    <xf numFmtId="0" fontId="0" fillId="2" borderId="21" xfId="0" applyFill="1" applyBorder="1" applyAlignment="1" applyProtection="1">
      <alignment horizontal="center"/>
    </xf>
    <xf numFmtId="0" fontId="0" fillId="2" borderId="5" xfId="0" applyFill="1" applyBorder="1" applyAlignment="1" applyProtection="1">
      <alignment horizontal="center"/>
    </xf>
    <xf numFmtId="0" fontId="0" fillId="2" borderId="6" xfId="0" applyFill="1" applyBorder="1" applyAlignment="1" applyProtection="1">
      <alignment horizontal="center"/>
    </xf>
    <xf numFmtId="0" fontId="0" fillId="0" borderId="6" xfId="0" applyFill="1" applyBorder="1" applyAlignment="1" applyProtection="1">
      <alignment horizontal="center"/>
    </xf>
    <xf numFmtId="0" fontId="7" fillId="4" borderId="1" xfId="0" applyFont="1" applyFill="1" applyBorder="1" applyAlignment="1" applyProtection="1">
      <alignment horizontal="center" vertical="center"/>
    </xf>
    <xf numFmtId="0" fontId="7" fillId="4" borderId="13" xfId="0" applyFont="1" applyFill="1" applyBorder="1" applyAlignment="1" applyProtection="1">
      <alignment horizontal="center" vertical="center"/>
    </xf>
    <xf numFmtId="0" fontId="7" fillId="4" borderId="2" xfId="0" applyFont="1" applyFill="1" applyBorder="1" applyAlignment="1" applyProtection="1">
      <alignment horizontal="center" vertical="center"/>
    </xf>
    <xf numFmtId="0" fontId="4" fillId="0" borderId="0" xfId="0" applyFont="1" applyAlignment="1" applyProtection="1">
      <alignment horizontal="right"/>
    </xf>
    <xf numFmtId="0" fontId="4" fillId="0" borderId="0" xfId="0" applyFont="1" applyAlignment="1">
      <alignment horizontal="right"/>
    </xf>
    <xf numFmtId="0" fontId="66" fillId="0" borderId="0" xfId="1" applyAlignment="1" applyProtection="1">
      <alignment horizontal="right"/>
      <protection locked="0"/>
    </xf>
    <xf numFmtId="0" fontId="62" fillId="0" borderId="0" xfId="0" applyFont="1" applyAlignment="1" applyProtection="1">
      <alignment horizontal="right"/>
      <protection locked="0"/>
    </xf>
    <xf numFmtId="0" fontId="63" fillId="0" borderId="0" xfId="0" applyFont="1" applyBorder="1" applyAlignment="1" applyProtection="1">
      <alignment horizontal="center" vertical="center"/>
    </xf>
    <xf numFmtId="0" fontId="32" fillId="7" borderId="46" xfId="0" applyFont="1" applyFill="1" applyBorder="1" applyAlignment="1" applyProtection="1">
      <alignment horizontal="left" vertical="center" wrapText="1" indent="1"/>
    </xf>
    <xf numFmtId="0" fontId="0" fillId="7" borderId="47" xfId="0" applyFill="1" applyBorder="1" applyAlignment="1">
      <alignment horizontal="left" vertical="center" wrapText="1" indent="1"/>
    </xf>
    <xf numFmtId="0" fontId="0" fillId="7" borderId="48" xfId="0" applyFill="1" applyBorder="1" applyAlignment="1">
      <alignment horizontal="left" vertical="center" wrapText="1" indent="1"/>
    </xf>
    <xf numFmtId="0" fontId="0" fillId="7" borderId="49" xfId="0" applyFill="1" applyBorder="1" applyAlignment="1">
      <alignment horizontal="left" vertical="center" wrapText="1" indent="1"/>
    </xf>
    <xf numFmtId="0" fontId="0" fillId="7" borderId="0" xfId="0" applyFill="1" applyBorder="1" applyAlignment="1">
      <alignment horizontal="left" vertical="center" wrapText="1" indent="1"/>
    </xf>
    <xf numFmtId="0" fontId="0" fillId="7" borderId="50" xfId="0" applyFill="1" applyBorder="1" applyAlignment="1">
      <alignment horizontal="left" vertical="center" wrapText="1" indent="1"/>
    </xf>
    <xf numFmtId="0" fontId="0" fillId="7" borderId="51" xfId="0" applyFill="1" applyBorder="1" applyAlignment="1">
      <alignment horizontal="left" vertical="center" wrapText="1" indent="1"/>
    </xf>
    <xf numFmtId="0" fontId="0" fillId="7" borderId="52" xfId="0" applyFill="1" applyBorder="1" applyAlignment="1">
      <alignment horizontal="left" vertical="center" wrapText="1" indent="1"/>
    </xf>
    <xf numFmtId="0" fontId="0" fillId="7" borderId="53" xfId="0" applyFill="1" applyBorder="1" applyAlignment="1">
      <alignment horizontal="left" vertical="center" wrapText="1" indent="1"/>
    </xf>
    <xf numFmtId="0" fontId="29" fillId="0" borderId="5" xfId="0" applyFont="1" applyFill="1" applyBorder="1" applyAlignment="1" applyProtection="1">
      <alignment horizontal="left" indent="1"/>
    </xf>
    <xf numFmtId="0" fontId="29" fillId="0" borderId="6" xfId="0" applyFont="1" applyFill="1" applyBorder="1" applyAlignment="1" applyProtection="1">
      <alignment horizontal="left" indent="1"/>
    </xf>
    <xf numFmtId="0" fontId="65" fillId="6" borderId="120" xfId="0" applyFont="1" applyFill="1" applyBorder="1" applyAlignment="1">
      <alignment horizontal="left"/>
    </xf>
    <xf numFmtId="0" fontId="65" fillId="6" borderId="126" xfId="0" applyFont="1" applyFill="1" applyBorder="1" applyAlignment="1">
      <alignment horizontal="left"/>
    </xf>
    <xf numFmtId="0" fontId="65" fillId="6" borderId="122" xfId="0" applyFont="1" applyFill="1" applyBorder="1" applyAlignment="1">
      <alignment horizontal="left"/>
    </xf>
    <xf numFmtId="0" fontId="61" fillId="0" borderId="0" xfId="0" applyFont="1" applyAlignment="1">
      <alignment horizontal="center"/>
    </xf>
    <xf numFmtId="0" fontId="27" fillId="0" borderId="114" xfId="0" applyFont="1" applyBorder="1" applyAlignment="1">
      <alignment horizontal="center" vertical="top"/>
    </xf>
    <xf numFmtId="0" fontId="65" fillId="6" borderId="118" xfId="0" applyFont="1" applyFill="1" applyBorder="1" applyAlignment="1">
      <alignment horizontal="left"/>
    </xf>
    <xf numFmtId="0" fontId="65" fillId="6" borderId="0" xfId="0" applyFont="1" applyFill="1" applyBorder="1" applyAlignment="1">
      <alignment horizontal="left"/>
    </xf>
    <xf numFmtId="0" fontId="65" fillId="6" borderId="119" xfId="0" applyFont="1" applyFill="1" applyBorder="1" applyAlignment="1">
      <alignment horizontal="left"/>
    </xf>
    <xf numFmtId="0" fontId="42" fillId="0" borderId="0" xfId="0" applyFont="1" applyAlignment="1">
      <alignment horizontal="center" vertical="center"/>
    </xf>
    <xf numFmtId="0" fontId="0" fillId="0" borderId="0" xfId="0" applyAlignment="1">
      <alignment vertical="center"/>
    </xf>
    <xf numFmtId="0" fontId="27" fillId="0" borderId="0" xfId="0" applyFont="1" applyAlignment="1">
      <alignment horizontal="center"/>
    </xf>
    <xf numFmtId="0" fontId="0" fillId="0" borderId="0" xfId="0" applyFont="1" applyAlignment="1"/>
    <xf numFmtId="0" fontId="10" fillId="0" borderId="0" xfId="0" applyFont="1" applyAlignment="1">
      <alignment horizontal="center" vertical="top"/>
    </xf>
    <xf numFmtId="0" fontId="4" fillId="7" borderId="66" xfId="0" applyFont="1" applyFill="1" applyBorder="1" applyAlignment="1">
      <alignment horizontal="left" vertical="center" wrapText="1" indent="1"/>
    </xf>
    <xf numFmtId="0" fontId="4" fillId="7" borderId="67" xfId="0" applyFont="1" applyFill="1" applyBorder="1" applyAlignment="1">
      <alignment horizontal="left" vertical="center" wrapText="1" indent="1"/>
    </xf>
    <xf numFmtId="0" fontId="4" fillId="7" borderId="68" xfId="0" applyFont="1" applyFill="1" applyBorder="1" applyAlignment="1">
      <alignment horizontal="left" vertical="center" wrapText="1" indent="1"/>
    </xf>
    <xf numFmtId="0" fontId="47" fillId="7" borderId="73" xfId="0" applyFont="1" applyFill="1" applyBorder="1" applyAlignment="1">
      <alignment horizontal="left" vertical="center" wrapText="1" indent="1"/>
    </xf>
    <xf numFmtId="0" fontId="47" fillId="7" borderId="74" xfId="0" applyFont="1" applyFill="1" applyBorder="1" applyAlignment="1">
      <alignment horizontal="left" vertical="center" wrapText="1" indent="1"/>
    </xf>
    <xf numFmtId="0" fontId="47" fillId="7" borderId="75" xfId="0" applyFont="1" applyFill="1" applyBorder="1" applyAlignment="1">
      <alignment horizontal="left" vertical="center" wrapText="1" indent="1"/>
    </xf>
    <xf numFmtId="0" fontId="10" fillId="0" borderId="69" xfId="0" applyFont="1" applyBorder="1" applyAlignment="1">
      <alignment horizontal="center" vertical="top"/>
    </xf>
    <xf numFmtId="0" fontId="61" fillId="0" borderId="0" xfId="0" applyFont="1" applyBorder="1" applyAlignment="1">
      <alignment horizontal="center" vertical="top"/>
    </xf>
    <xf numFmtId="0" fontId="45" fillId="0" borderId="36" xfId="0" applyFont="1" applyBorder="1" applyAlignment="1">
      <alignment horizontal="center" vertical="top" wrapText="1"/>
    </xf>
    <xf numFmtId="0" fontId="45" fillId="0" borderId="37" xfId="0" applyFont="1" applyBorder="1" applyAlignment="1">
      <alignment horizontal="center" vertical="top" wrapText="1"/>
    </xf>
    <xf numFmtId="0" fontId="45" fillId="0" borderId="38" xfId="0" applyFont="1" applyBorder="1" applyAlignment="1">
      <alignment horizontal="center" vertical="top" wrapText="1"/>
    </xf>
    <xf numFmtId="0" fontId="22" fillId="0" borderId="0" xfId="0" applyFont="1" applyAlignment="1">
      <alignment horizontal="center"/>
    </xf>
    <xf numFmtId="0" fontId="19" fillId="0" borderId="43" xfId="0" applyFont="1" applyBorder="1" applyAlignment="1">
      <alignment horizontal="center" vertical="center" wrapText="1"/>
    </xf>
    <xf numFmtId="0" fontId="0" fillId="7" borderId="106" xfId="0" applyFill="1" applyBorder="1" applyAlignment="1">
      <alignment horizontal="left" vertical="center" wrapText="1" indent="1"/>
    </xf>
    <xf numFmtId="0" fontId="0" fillId="7" borderId="107" xfId="0" applyFill="1" applyBorder="1" applyAlignment="1">
      <alignment horizontal="left" vertical="center" wrapText="1" indent="1"/>
    </xf>
    <xf numFmtId="0" fontId="0" fillId="7" borderId="108" xfId="0" applyFill="1" applyBorder="1" applyAlignment="1">
      <alignment horizontal="left" vertical="center" wrapText="1" indent="1"/>
    </xf>
    <xf numFmtId="0" fontId="0" fillId="7" borderId="109" xfId="0" applyFill="1" applyBorder="1" applyAlignment="1">
      <alignment horizontal="left" vertical="center" wrapText="1" indent="1"/>
    </xf>
    <xf numFmtId="0" fontId="0" fillId="7" borderId="110" xfId="0" applyFill="1" applyBorder="1" applyAlignment="1">
      <alignment horizontal="left" vertical="center" wrapText="1" indent="1"/>
    </xf>
    <xf numFmtId="0" fontId="0" fillId="7" borderId="111" xfId="0" applyFill="1" applyBorder="1" applyAlignment="1">
      <alignment horizontal="left" vertical="center" wrapText="1" indent="1"/>
    </xf>
    <xf numFmtId="0" fontId="0" fillId="7" borderId="112" xfId="0" applyFill="1" applyBorder="1" applyAlignment="1">
      <alignment horizontal="left" vertical="center" wrapText="1" indent="1"/>
    </xf>
    <xf numFmtId="0" fontId="0" fillId="7" borderId="113" xfId="0" applyFill="1" applyBorder="1" applyAlignment="1">
      <alignment horizontal="left" vertical="center" wrapText="1" indent="1"/>
    </xf>
    <xf numFmtId="0" fontId="42" fillId="0" borderId="0" xfId="0" applyFont="1" applyAlignment="1">
      <alignment horizontal="center"/>
    </xf>
    <xf numFmtId="0" fontId="0" fillId="0" borderId="0" xfId="0" applyBorder="1" applyAlignment="1">
      <alignment horizontal="center"/>
    </xf>
    <xf numFmtId="0" fontId="10" fillId="0" borderId="0" xfId="0" applyFont="1" applyAlignment="1">
      <alignment horizontal="center"/>
    </xf>
    <xf numFmtId="0" fontId="58" fillId="0" borderId="0" xfId="0" applyFont="1" applyAlignment="1">
      <alignment horizontal="center"/>
    </xf>
    <xf numFmtId="0" fontId="51" fillId="0" borderId="0" xfId="0" applyFont="1" applyAlignment="1">
      <alignment horizontal="center"/>
    </xf>
    <xf numFmtId="0" fontId="37" fillId="0" borderId="0" xfId="0" applyFont="1" applyFill="1" applyBorder="1" applyAlignment="1" applyProtection="1">
      <alignment horizontal="center" vertical="center"/>
    </xf>
    <xf numFmtId="0" fontId="0" fillId="0" borderId="104" xfId="0" applyBorder="1" applyAlignment="1">
      <alignment horizontal="left"/>
    </xf>
    <xf numFmtId="0" fontId="0" fillId="0" borderId="105" xfId="0" applyBorder="1" applyAlignment="1">
      <alignment horizontal="left"/>
    </xf>
    <xf numFmtId="0" fontId="57" fillId="0" borderId="0" xfId="0" applyFont="1" applyAlignment="1">
      <alignment horizontal="center"/>
    </xf>
    <xf numFmtId="0" fontId="54" fillId="0" borderId="102" xfId="0" applyFont="1" applyBorder="1" applyAlignment="1">
      <alignment horizontal="center"/>
    </xf>
    <xf numFmtId="0" fontId="10" fillId="0" borderId="94" xfId="0" applyFont="1" applyBorder="1" applyAlignment="1">
      <alignment horizontal="center"/>
    </xf>
  </cellXfs>
  <cellStyles count="2">
    <cellStyle name="Hyperlink" xfId="1" builtinId="8"/>
    <cellStyle name="Normal" xfId="0" builtinId="0"/>
  </cellStyles>
  <dxfs count="93">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9" tint="-0.24994659260841701"/>
      </font>
    </dxf>
    <dxf>
      <font>
        <color theme="9" tint="-0.24994659260841701"/>
      </font>
    </dxf>
    <dxf>
      <font>
        <color rgb="FFC00000"/>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rgb="FFFF7F7F"/>
        </patternFill>
      </fill>
    </dxf>
    <dxf>
      <fill>
        <patternFill>
          <bgColor rgb="FFFF7F7F"/>
        </patternFill>
      </fill>
    </dxf>
    <dxf>
      <fill>
        <patternFill>
          <bgColor rgb="FFFF7F7F"/>
        </patternFill>
      </fill>
    </dxf>
    <dxf>
      <fill>
        <patternFill>
          <bgColor rgb="FFFF7F7F"/>
        </patternFill>
      </fill>
    </dxf>
    <dxf>
      <fill>
        <patternFill>
          <bgColor rgb="FFFF7F7F"/>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F8F8F8"/>
      <color rgb="FF800000"/>
      <color rgb="FFFFFF99"/>
      <color rgb="FFD5BC8B"/>
      <color rgb="FFE8F2E2"/>
      <color rgb="FFF2D7BC"/>
      <color rgb="FFF4DCC4"/>
      <color rgb="FFEFDACD"/>
      <color rgb="FFEFE3CD"/>
      <color rgb="FFF0C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8BD21D5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activeX/activeX3.xml><?xml version="1.0" encoding="utf-8"?>
<ax:ocx xmlns:ax="http://schemas.microsoft.com/office/2006/activeX" xmlns:r="http://schemas.openxmlformats.org/officeDocument/2006/relationships" ax:classid="{8BD21D50-EC42-11CE-9E0D-00AA006002F3}"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5.emf"/><Relationship Id="rId5" Type="http://schemas.openxmlformats.org/officeDocument/2006/relationships/image" Target="../media/image1.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91440</xdr:colOff>
          <xdr:row>2</xdr:row>
          <xdr:rowOff>68580</xdr:rowOff>
        </xdr:from>
        <xdr:to>
          <xdr:col>3</xdr:col>
          <xdr:colOff>1181100</xdr:colOff>
          <xdr:row>3</xdr:row>
          <xdr:rowOff>114300</xdr:rowOff>
        </xdr:to>
        <xdr:sp macro="" textlink="">
          <xdr:nvSpPr>
            <xdr:cNvPr id="1028" name="OptionButton1"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xdr:row>
          <xdr:rowOff>68580</xdr:rowOff>
        </xdr:from>
        <xdr:to>
          <xdr:col>4</xdr:col>
          <xdr:colOff>1165860</xdr:colOff>
          <xdr:row>3</xdr:row>
          <xdr:rowOff>106680</xdr:rowOff>
        </xdr:to>
        <xdr:sp macro="" textlink="">
          <xdr:nvSpPr>
            <xdr:cNvPr id="1029" name="OptionButton2"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76200</xdr:colOff>
          <xdr:row>2</xdr:row>
          <xdr:rowOff>68580</xdr:rowOff>
        </xdr:from>
        <xdr:to>
          <xdr:col>7</xdr:col>
          <xdr:colOff>1165860</xdr:colOff>
          <xdr:row>3</xdr:row>
          <xdr:rowOff>106680</xdr:rowOff>
        </xdr:to>
        <xdr:sp macro="" textlink="">
          <xdr:nvSpPr>
            <xdr:cNvPr id="1030" name="OptionButton3"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76200</xdr:colOff>
          <xdr:row>2</xdr:row>
          <xdr:rowOff>68580</xdr:rowOff>
        </xdr:from>
        <xdr:to>
          <xdr:col>5</xdr:col>
          <xdr:colOff>1165860</xdr:colOff>
          <xdr:row>3</xdr:row>
          <xdr:rowOff>106680</xdr:rowOff>
        </xdr:to>
        <xdr:sp macro="" textlink="">
          <xdr:nvSpPr>
            <xdr:cNvPr id="1031" name="OptionButton4"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68580</xdr:colOff>
          <xdr:row>2</xdr:row>
          <xdr:rowOff>68580</xdr:rowOff>
        </xdr:from>
        <xdr:to>
          <xdr:col>6</xdr:col>
          <xdr:colOff>1150620</xdr:colOff>
          <xdr:row>3</xdr:row>
          <xdr:rowOff>106680</xdr:rowOff>
        </xdr:to>
        <xdr:sp macro="" textlink="">
          <xdr:nvSpPr>
            <xdr:cNvPr id="1032" name="OptionButton5"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um24.net/spielplan/euro2020/" TargetMode="External"/></Relationships>
</file>

<file path=xl/worksheets/_rels/sheet2.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ontrol" Target="../activeX/activeX1.xml"/><Relationship Id="rId7" Type="http://schemas.openxmlformats.org/officeDocument/2006/relationships/control" Target="../activeX/activeX3.xml"/><Relationship Id="rId12" Type="http://schemas.openxmlformats.org/officeDocument/2006/relationships/image" Target="../media/image5.emf"/><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control" Target="../activeX/activeX5.xml"/><Relationship Id="rId5" Type="http://schemas.openxmlformats.org/officeDocument/2006/relationships/control" Target="../activeX/activeX2.xml"/><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control" Target="../activeX/activeX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AS86"/>
  <sheetViews>
    <sheetView showGridLines="0" showRowColHeaders="0" tabSelected="1" topLeftCell="A51" zoomScaleNormal="100" workbookViewId="0">
      <selection activeCell="R40" sqref="R40"/>
    </sheetView>
  </sheetViews>
  <sheetFormatPr defaultColWidth="0" defaultRowHeight="14.4" zeroHeight="1"/>
  <cols>
    <col min="1" max="1" width="3.21875" style="6" customWidth="1"/>
    <col min="2" max="3" width="13.21875" style="6" customWidth="1"/>
    <col min="4" max="4" width="5.77734375" style="6" customWidth="1"/>
    <col min="5" max="6" width="13.21875" style="6" customWidth="1"/>
    <col min="7" max="7" width="5.77734375" style="6" customWidth="1"/>
    <col min="8" max="9" width="13.21875" style="6" customWidth="1"/>
    <col min="10" max="10" width="5.77734375" style="6" customWidth="1"/>
    <col min="11" max="12" width="13.21875" style="6" customWidth="1"/>
    <col min="13" max="13" width="5.77734375" style="6" customWidth="1"/>
    <col min="14" max="15" width="13.21875" style="6" customWidth="1"/>
    <col min="16" max="16" width="5.77734375" style="6" customWidth="1"/>
    <col min="17" max="18" width="13.21875" style="6" customWidth="1"/>
    <col min="19" max="19" width="5.77734375" style="6" customWidth="1"/>
    <col min="20" max="21" width="13.21875" style="6" customWidth="1"/>
    <col min="22" max="22" width="5.77734375" style="6" customWidth="1"/>
    <col min="23" max="24" width="13.21875" style="6" customWidth="1"/>
    <col min="25" max="25" width="3.21875" style="6" customWidth="1"/>
    <col min="26" max="36" width="10.77734375" style="6" hidden="1" customWidth="1"/>
    <col min="37" max="45" width="5.77734375" style="6" hidden="1" customWidth="1"/>
    <col min="46" max="16384" width="11.44140625" style="6" hidden="1"/>
  </cols>
  <sheetData>
    <row r="1" spans="1:25" ht="61.5" customHeight="1">
      <c r="B1" s="258" t="s">
        <v>289</v>
      </c>
      <c r="C1" s="258"/>
      <c r="D1" s="258"/>
      <c r="E1" s="258"/>
      <c r="F1" s="258"/>
      <c r="G1" s="258"/>
      <c r="H1" s="258"/>
      <c r="I1" s="258"/>
      <c r="J1" s="258"/>
      <c r="K1" s="258"/>
      <c r="L1" s="258"/>
      <c r="M1" s="258"/>
      <c r="N1" s="258"/>
      <c r="O1" s="258"/>
      <c r="P1" s="258"/>
      <c r="Q1" s="258"/>
      <c r="R1" s="258"/>
      <c r="S1" s="258"/>
      <c r="T1" s="258"/>
      <c r="U1" s="258"/>
      <c r="V1" s="258"/>
      <c r="W1" s="258"/>
      <c r="X1" s="258"/>
      <c r="Y1" s="49"/>
    </row>
    <row r="2" spans="1:25" ht="10.050000000000001" customHeight="1">
      <c r="B2" s="37"/>
      <c r="C2" s="164" t="s">
        <v>101</v>
      </c>
      <c r="D2" s="35"/>
      <c r="E2" s="37"/>
      <c r="F2" s="164" t="s">
        <v>101</v>
      </c>
      <c r="G2" s="35"/>
      <c r="H2" s="37"/>
      <c r="I2" s="164" t="s">
        <v>101</v>
      </c>
      <c r="J2" s="35"/>
      <c r="K2" s="38"/>
      <c r="L2" s="164" t="s">
        <v>101</v>
      </c>
      <c r="M2" s="35"/>
      <c r="N2" s="37"/>
      <c r="O2" s="164" t="s">
        <v>101</v>
      </c>
      <c r="P2" s="35"/>
      <c r="Q2" s="37"/>
      <c r="R2" s="164" t="s">
        <v>101</v>
      </c>
      <c r="S2" s="35"/>
      <c r="T2" s="263" t="s">
        <v>282</v>
      </c>
      <c r="U2" s="264"/>
      <c r="V2" s="264"/>
      <c r="W2" s="264"/>
      <c r="X2" s="265"/>
    </row>
    <row r="3" spans="1:25" ht="16.05" customHeight="1">
      <c r="A3" s="7"/>
      <c r="B3" s="7" t="str">
        <f ca="1">GrpA!O11</f>
        <v>Italië</v>
      </c>
      <c r="C3" s="165" t="str">
        <f ca="1">"   "&amp;GrpA!$AE11&amp;"        "&amp;GrpA!$AF11&amp;" : "&amp;GrpA!$AH11</f>
        <v xml:space="preserve">   9        6 : 2</v>
      </c>
      <c r="D3" s="8"/>
      <c r="E3" s="7" t="str">
        <f ca="1">GrpB!O11</f>
        <v>België</v>
      </c>
      <c r="F3" s="165" t="str">
        <f ca="1">"   "&amp;GrpB!AE11&amp;"        "&amp;GrpB!AF11&amp;" : "&amp;GrpB!AH11</f>
        <v xml:space="preserve">   9        6 : 1</v>
      </c>
      <c r="G3" s="8"/>
      <c r="H3" s="7" t="str">
        <f ca="1">GrpC!$O11</f>
        <v>Nederland</v>
      </c>
      <c r="I3" s="165" t="str">
        <f ca="1">"   "&amp;GrpC!$AE11&amp;"        "&amp;GrpC!$AF11&amp;" : "&amp;GrpC!$AH11</f>
        <v xml:space="preserve">   9        7 : 1</v>
      </c>
      <c r="J3" s="7"/>
      <c r="K3" s="7" t="str">
        <f ca="1">GrpD!$O11</f>
        <v>Engeland</v>
      </c>
      <c r="L3" s="165" t="str">
        <f ca="1">"   "&amp;GrpD!$AE11&amp;"        "&amp;GrpD!$AF11&amp;" : "&amp;GrpD!$AH11</f>
        <v xml:space="preserve">   7        4 : 2</v>
      </c>
      <c r="M3" s="7"/>
      <c r="N3" s="7" t="str">
        <f ca="1">GrpE!$O11</f>
        <v>Spanje</v>
      </c>
      <c r="O3" s="165" t="str">
        <f ca="1">"   "&amp;GrpE!$AE11&amp;"        "&amp;GrpE!$AF11&amp;" : "&amp;GrpE!$AH11</f>
        <v xml:space="preserve">   9        8 : 3</v>
      </c>
      <c r="P3" s="8"/>
      <c r="Q3" s="7" t="str">
        <f ca="1">GrpF!$O11</f>
        <v>Frankrijk</v>
      </c>
      <c r="R3" s="165" t="str">
        <f ca="1">"   "&amp;GrpF!$AE11&amp;"        "&amp;GrpF!$AF11&amp;" : "&amp;GrpF!$AH11</f>
        <v xml:space="preserve">   7        8 : 3</v>
      </c>
      <c r="S3" s="7"/>
      <c r="T3" s="266"/>
      <c r="U3" s="267"/>
      <c r="V3" s="267"/>
      <c r="W3" s="267"/>
      <c r="X3" s="268"/>
      <c r="Y3" s="7"/>
    </row>
    <row r="4" spans="1:25" ht="16.05" customHeight="1">
      <c r="A4" s="7"/>
      <c r="B4" s="7" t="str">
        <f ca="1">GrpA!O12</f>
        <v>Zwitserland</v>
      </c>
      <c r="C4" s="165" t="str">
        <f ca="1">"   "&amp;GrpA!$AE12&amp;"        "&amp;GrpA!$AF12&amp;" : "&amp;GrpA!$AH12</f>
        <v xml:space="preserve">   4        5 : 4</v>
      </c>
      <c r="D4" s="8"/>
      <c r="E4" s="7" t="str">
        <f ca="1">GrpB!O12</f>
        <v>Rusland</v>
      </c>
      <c r="F4" s="165" t="str">
        <f ca="1">"   "&amp;GrpB!AE12&amp;"        "&amp;GrpB!AF12&amp;" : "&amp;GrpB!AH12</f>
        <v xml:space="preserve">   4        5 : 4</v>
      </c>
      <c r="G4" s="8"/>
      <c r="H4" s="7" t="str">
        <f ca="1">GrpC!O12</f>
        <v>Oekraïne</v>
      </c>
      <c r="I4" s="165" t="str">
        <f ca="1">"   "&amp;GrpC!$AE12&amp;"        "&amp;GrpC!$AF12&amp;" : "&amp;GrpC!$AH12</f>
        <v xml:space="preserve">   6        4 : 2</v>
      </c>
      <c r="J4" s="7"/>
      <c r="K4" s="7" t="str">
        <f ca="1">GrpD!$O12</f>
        <v>Kroatië</v>
      </c>
      <c r="L4" s="165" t="str">
        <f ca="1">"   "&amp;GrpD!$AE12&amp;"        "&amp;GrpD!$AF12&amp;" : "&amp;GrpD!$AH12</f>
        <v xml:space="preserve">   6        3 : 1</v>
      </c>
      <c r="M4" s="7"/>
      <c r="N4" s="7" t="str">
        <f ca="1">GrpE!$O12</f>
        <v>Polen</v>
      </c>
      <c r="O4" s="165" t="str">
        <f ca="1">"   "&amp;GrpE!$AE12&amp;"        "&amp;GrpE!$AF12&amp;" : "&amp;GrpE!$AH12</f>
        <v xml:space="preserve">   4        7 : 5</v>
      </c>
      <c r="P4" s="8"/>
      <c r="Q4" s="7" t="str">
        <f ca="1">GrpF!$O12</f>
        <v>Duitsland</v>
      </c>
      <c r="R4" s="165" t="str">
        <f ca="1">"   "&amp;GrpF!$AE12&amp;"        "&amp;GrpF!$AF12&amp;" : "&amp;GrpF!$AH12</f>
        <v xml:space="preserve">   5        7 : 4</v>
      </c>
      <c r="S4" s="7"/>
      <c r="T4" s="266"/>
      <c r="U4" s="267"/>
      <c r="V4" s="267"/>
      <c r="W4" s="267"/>
      <c r="X4" s="268"/>
      <c r="Y4" s="7"/>
    </row>
    <row r="5" spans="1:25" ht="16.05" customHeight="1">
      <c r="A5" s="7"/>
      <c r="B5" s="7" t="str">
        <f ca="1">GrpA!O13</f>
        <v>Turkije</v>
      </c>
      <c r="C5" s="165" t="str">
        <f ca="1">"   "&amp;GrpA!$AE13&amp;"        "&amp;GrpA!$AF13&amp;" : "&amp;GrpA!$AH13</f>
        <v xml:space="preserve">   4        4 : 5</v>
      </c>
      <c r="D5" s="8"/>
      <c r="E5" s="7" t="str">
        <f ca="1">GrpB!O13</f>
        <v>Denemarken</v>
      </c>
      <c r="F5" s="165" t="str">
        <f ca="1">"   "&amp;GrpB!AE13&amp;"        "&amp;GrpB!AF13&amp;" : "&amp;GrpB!AH13</f>
        <v xml:space="preserve">   4        3 : 2</v>
      </c>
      <c r="G5" s="8"/>
      <c r="H5" s="7" t="str">
        <f ca="1">GrpC!O13</f>
        <v>Oostenrijk</v>
      </c>
      <c r="I5" s="165" t="str">
        <f ca="1">"   "&amp;GrpC!$AE13&amp;"        "&amp;GrpC!$AF13&amp;" : "&amp;GrpC!$AH13</f>
        <v xml:space="preserve">   3        3 : 3</v>
      </c>
      <c r="J5" s="7"/>
      <c r="K5" s="7" t="str">
        <f ca="1">GrpD!$O13</f>
        <v>Tsjechië</v>
      </c>
      <c r="L5" s="165" t="str">
        <f ca="1">"   "&amp;GrpD!$AE13&amp;"        "&amp;GrpD!$AF13&amp;" : "&amp;GrpD!$AH13</f>
        <v xml:space="preserve">   2        2 : 3</v>
      </c>
      <c r="M5" s="7"/>
      <c r="N5" s="7" t="str">
        <f ca="1">GrpE!$O13</f>
        <v>Zweden</v>
      </c>
      <c r="O5" s="165" t="str">
        <f ca="1">"   "&amp;GrpE!$AE13&amp;"        "&amp;GrpE!$AF13&amp;" : "&amp;GrpE!$AH13</f>
        <v xml:space="preserve">   4        3 : 4</v>
      </c>
      <c r="P5" s="8"/>
      <c r="Q5" s="7" t="str">
        <f ca="1">GrpF!$O13</f>
        <v>Portugal</v>
      </c>
      <c r="R5" s="165" t="str">
        <f ca="1">"   "&amp;GrpF!$AE13&amp;"        "&amp;GrpF!$AF13&amp;" : "&amp;GrpF!$AH13</f>
        <v xml:space="preserve">   4        4 : 4</v>
      </c>
      <c r="S5" s="7"/>
      <c r="T5" s="266"/>
      <c r="U5" s="267"/>
      <c r="V5" s="267"/>
      <c r="W5" s="267"/>
      <c r="X5" s="268"/>
      <c r="Y5" s="7"/>
    </row>
    <row r="6" spans="1:25" ht="16.05" customHeight="1">
      <c r="A6" s="7"/>
      <c r="B6" s="7" t="str">
        <f ca="1">GrpA!O14</f>
        <v>Wales</v>
      </c>
      <c r="C6" s="165" t="str">
        <f ca="1">"   "&amp;GrpA!$AE14&amp;"        "&amp;GrpA!$AF14&amp;" : "&amp;GrpA!$AH14</f>
        <v xml:space="preserve">   0        0 : 4</v>
      </c>
      <c r="D6" s="8"/>
      <c r="E6" s="7" t="str">
        <f ca="1">GrpB!O14</f>
        <v>Finland</v>
      </c>
      <c r="F6" s="165" t="str">
        <f ca="1">"   "&amp;GrpB!AE14&amp;"        "&amp;GrpB!AF14&amp;" : "&amp;GrpB!AH14</f>
        <v xml:space="preserve">   0        1 : 8</v>
      </c>
      <c r="G6" s="8"/>
      <c r="H6" s="7" t="str">
        <f ca="1">GrpC!O14</f>
        <v>Noord-Macedonië</v>
      </c>
      <c r="I6" s="165" t="str">
        <f ca="1">"   "&amp;GrpC!$AE14&amp;"        "&amp;GrpC!$AF14&amp;" : "&amp;GrpC!$AH14</f>
        <v xml:space="preserve">   0        0 : 8</v>
      </c>
      <c r="J6" s="7"/>
      <c r="K6" s="7" t="str">
        <f ca="1">GrpD!$O14</f>
        <v>Schotland</v>
      </c>
      <c r="L6" s="165" t="str">
        <f ca="1">"   "&amp;GrpD!$AE14&amp;"        "&amp;GrpD!$AF14&amp;" : "&amp;GrpD!$AH14</f>
        <v xml:space="preserve">   1        2 : 5</v>
      </c>
      <c r="M6" s="7"/>
      <c r="N6" s="7" t="str">
        <f ca="1">GrpE!$O14</f>
        <v>Slowakije</v>
      </c>
      <c r="O6" s="165" t="str">
        <f ca="1">"   "&amp;GrpE!$AE14&amp;"        "&amp;GrpE!$AF14&amp;" : "&amp;GrpE!$AH14</f>
        <v xml:space="preserve">   0        1 : 7</v>
      </c>
      <c r="P6" s="8"/>
      <c r="Q6" s="7" t="str">
        <f ca="1">GrpF!$O14</f>
        <v>Hongarije</v>
      </c>
      <c r="R6" s="165" t="str">
        <f ca="1">"   "&amp;GrpF!$AE14&amp;"        "&amp;GrpF!$AF14&amp;" : "&amp;GrpF!$AH14</f>
        <v xml:space="preserve">   0        0 : 8</v>
      </c>
      <c r="S6" s="7"/>
      <c r="T6" s="269"/>
      <c r="U6" s="270"/>
      <c r="V6" s="270"/>
      <c r="W6" s="270"/>
      <c r="X6" s="271"/>
      <c r="Y6" s="7"/>
    </row>
    <row r="7" spans="1:25" ht="13.5" customHeight="1">
      <c r="B7" s="245" t="str">
        <f ca="1">IF(GrpA!$V$11&gt;0,"•","")</f>
        <v/>
      </c>
      <c r="C7" s="246"/>
      <c r="D7" s="22"/>
      <c r="E7" s="245" t="str">
        <f ca="1">IF(GrpB!$V$11&gt;0,"•","")</f>
        <v/>
      </c>
      <c r="F7" s="246"/>
      <c r="G7" s="22"/>
      <c r="H7" s="245" t="str">
        <f ca="1">IF(GrpC!$V$11&gt;0,"•","")</f>
        <v/>
      </c>
      <c r="I7" s="246"/>
      <c r="J7" s="22"/>
      <c r="K7" s="245" t="str">
        <f ca="1">IF(GrpD!$V$11&gt;0,"•","")</f>
        <v/>
      </c>
      <c r="L7" s="246"/>
      <c r="M7" s="36"/>
      <c r="N7" s="245" t="str">
        <f ca="1">IF(GrpE!$V$11&gt;0,"•","")</f>
        <v/>
      </c>
      <c r="O7" s="246"/>
      <c r="P7" s="22"/>
      <c r="Q7" s="245" t="str">
        <f ca="1">IF(GrpF!$V$11&gt;0,"•","")</f>
        <v/>
      </c>
      <c r="R7" s="246"/>
      <c r="T7" s="34"/>
      <c r="U7" s="34"/>
      <c r="V7" s="34"/>
      <c r="W7" s="34"/>
      <c r="X7" s="48"/>
    </row>
    <row r="8" spans="1:25" ht="19.5" customHeight="1">
      <c r="B8" s="259" t="s">
        <v>126</v>
      </c>
      <c r="C8" s="260"/>
      <c r="D8" s="9"/>
      <c r="E8" s="259" t="s">
        <v>129</v>
      </c>
      <c r="F8" s="260"/>
      <c r="H8" s="259" t="s">
        <v>131</v>
      </c>
      <c r="I8" s="260"/>
      <c r="K8" s="259" t="s">
        <v>128</v>
      </c>
      <c r="L8" s="260"/>
      <c r="N8" s="259" t="s">
        <v>130</v>
      </c>
      <c r="O8" s="260"/>
      <c r="Q8" s="259" t="s">
        <v>132</v>
      </c>
      <c r="R8" s="260"/>
      <c r="T8" s="261" t="s">
        <v>200</v>
      </c>
      <c r="U8" s="262"/>
      <c r="V8" s="262"/>
      <c r="W8" s="262"/>
      <c r="X8" s="262"/>
    </row>
    <row r="9" spans="1:25" ht="10.050000000000001" customHeight="1" thickBot="1">
      <c r="B9" s="233"/>
      <c r="C9" s="233"/>
      <c r="D9" s="234"/>
      <c r="E9" s="233"/>
      <c r="F9" s="233"/>
      <c r="G9" s="29"/>
      <c r="H9" s="233"/>
      <c r="I9" s="233"/>
      <c r="J9" s="29"/>
      <c r="K9" s="233"/>
      <c r="L9" s="233"/>
      <c r="M9" s="29"/>
      <c r="N9" s="233"/>
      <c r="O9" s="233"/>
      <c r="P9" s="29"/>
      <c r="Q9" s="233"/>
      <c r="R9" s="233"/>
      <c r="T9" s="229"/>
      <c r="U9" s="230"/>
      <c r="V9" s="230"/>
      <c r="W9" s="230"/>
      <c r="X9" s="230"/>
    </row>
    <row r="10" spans="1:25">
      <c r="B10" s="243" t="s">
        <v>181</v>
      </c>
      <c r="C10" s="244"/>
      <c r="D10" s="9"/>
      <c r="E10" s="243" t="s">
        <v>182</v>
      </c>
      <c r="F10" s="244"/>
      <c r="H10" s="243" t="s">
        <v>183</v>
      </c>
      <c r="I10" s="244"/>
      <c r="K10" s="243" t="s">
        <v>36</v>
      </c>
      <c r="L10" s="244"/>
      <c r="N10" s="243" t="s">
        <v>43</v>
      </c>
      <c r="O10" s="244"/>
      <c r="Q10" s="243" t="s">
        <v>38</v>
      </c>
      <c r="R10" s="244"/>
      <c r="T10" s="302" t="s">
        <v>199</v>
      </c>
      <c r="U10" s="303"/>
      <c r="V10" s="303"/>
      <c r="W10" s="303"/>
      <c r="X10" s="304"/>
    </row>
    <row r="11" spans="1:25" ht="15" customHeight="1">
      <c r="B11" s="237">
        <v>44358</v>
      </c>
      <c r="C11" s="238">
        <v>0.875</v>
      </c>
      <c r="E11" s="237">
        <v>44359</v>
      </c>
      <c r="F11" s="238">
        <v>0.75</v>
      </c>
      <c r="H11" s="237">
        <v>44360</v>
      </c>
      <c r="I11" s="238">
        <v>0.75</v>
      </c>
      <c r="K11" s="237">
        <v>44360</v>
      </c>
      <c r="L11" s="238">
        <v>0.625</v>
      </c>
      <c r="N11" s="237">
        <v>44361</v>
      </c>
      <c r="O11" s="238">
        <v>0.75</v>
      </c>
      <c r="Q11" s="237">
        <v>44362</v>
      </c>
      <c r="R11" s="238">
        <v>0.75</v>
      </c>
      <c r="T11" s="305"/>
      <c r="U11" s="306"/>
      <c r="V11" s="306"/>
      <c r="W11" s="306"/>
      <c r="X11" s="307"/>
    </row>
    <row r="12" spans="1:25">
      <c r="B12" s="239" t="str">
        <f>'Country names'!C6</f>
        <v>Turkije</v>
      </c>
      <c r="C12" s="240" t="str">
        <f>'Country names'!C7</f>
        <v>Italië</v>
      </c>
      <c r="E12" s="239" t="str">
        <f>'Country names'!C11</f>
        <v>Denemarken</v>
      </c>
      <c r="F12" s="240" t="str">
        <f>'Country names'!C12</f>
        <v>Finland</v>
      </c>
      <c r="H12" s="239" t="str">
        <f>'Country names'!C16</f>
        <v>Oostenrijk</v>
      </c>
      <c r="I12" s="240" t="str">
        <f>'Country names'!C17</f>
        <v>Noord-Macedonië</v>
      </c>
      <c r="K12" s="239" t="str">
        <f>'Country names'!C21</f>
        <v>Engeland</v>
      </c>
      <c r="L12" s="240" t="str">
        <f>'Country names'!C22</f>
        <v>Kroatië</v>
      </c>
      <c r="N12" s="239" t="str">
        <f>'Country names'!C26</f>
        <v>Polen</v>
      </c>
      <c r="O12" s="240" t="str">
        <f>'Country names'!C27</f>
        <v>Slowakije</v>
      </c>
      <c r="Q12" s="239" t="str">
        <f>'Country names'!C31</f>
        <v>Hongarije</v>
      </c>
      <c r="R12" s="240" t="str">
        <f>'Country names'!C32</f>
        <v>Portugal</v>
      </c>
      <c r="T12" s="305"/>
      <c r="U12" s="306"/>
      <c r="V12" s="306"/>
      <c r="W12" s="306"/>
      <c r="X12" s="307"/>
    </row>
    <row r="13" spans="1:25" ht="15" thickBot="1">
      <c r="B13" s="1">
        <v>1</v>
      </c>
      <c r="C13" s="2">
        <v>3</v>
      </c>
      <c r="E13" s="1">
        <v>2</v>
      </c>
      <c r="F13" s="2">
        <v>0</v>
      </c>
      <c r="H13" s="1">
        <v>3</v>
      </c>
      <c r="I13" s="2">
        <v>0</v>
      </c>
      <c r="K13" s="1">
        <v>1</v>
      </c>
      <c r="L13" s="2">
        <v>0</v>
      </c>
      <c r="N13" s="1">
        <v>4</v>
      </c>
      <c r="O13" s="2">
        <v>1</v>
      </c>
      <c r="Q13" s="1">
        <v>0</v>
      </c>
      <c r="R13" s="2">
        <v>1</v>
      </c>
      <c r="T13" s="305"/>
      <c r="U13" s="306"/>
      <c r="V13" s="306"/>
      <c r="W13" s="306"/>
      <c r="X13" s="307"/>
    </row>
    <row r="14" spans="1:25" ht="10.050000000000001" customHeight="1" thickBot="1">
      <c r="B14" s="47"/>
      <c r="C14" s="47"/>
      <c r="D14" s="29"/>
      <c r="E14" s="47"/>
      <c r="F14" s="47"/>
      <c r="G14" s="29"/>
      <c r="H14" s="47"/>
      <c r="I14" s="47"/>
      <c r="J14" s="29"/>
      <c r="K14" s="47"/>
      <c r="L14" s="47"/>
      <c r="M14" s="29"/>
      <c r="N14" s="47"/>
      <c r="O14" s="47"/>
      <c r="P14" s="29"/>
      <c r="Q14" s="47"/>
      <c r="R14" s="47"/>
      <c r="T14" s="305"/>
      <c r="U14" s="306"/>
      <c r="V14" s="306"/>
      <c r="W14" s="306"/>
      <c r="X14" s="307"/>
    </row>
    <row r="15" spans="1:25">
      <c r="B15" s="243" t="s">
        <v>33</v>
      </c>
      <c r="C15" s="244"/>
      <c r="D15" s="9"/>
      <c r="E15" s="243" t="s">
        <v>43</v>
      </c>
      <c r="F15" s="244"/>
      <c r="H15" s="243" t="s">
        <v>35</v>
      </c>
      <c r="I15" s="244"/>
      <c r="K15" s="243" t="s">
        <v>37</v>
      </c>
      <c r="L15" s="244"/>
      <c r="N15" s="243" t="s">
        <v>283</v>
      </c>
      <c r="O15" s="244"/>
      <c r="Q15" s="243" t="s">
        <v>184</v>
      </c>
      <c r="R15" s="244"/>
      <c r="T15" s="305"/>
      <c r="U15" s="306"/>
      <c r="V15" s="306"/>
      <c r="W15" s="306"/>
      <c r="X15" s="307"/>
    </row>
    <row r="16" spans="1:25">
      <c r="B16" s="237">
        <v>44359</v>
      </c>
      <c r="C16" s="238">
        <v>0.625</v>
      </c>
      <c r="E16" s="237">
        <v>44359</v>
      </c>
      <c r="F16" s="238">
        <v>0.875</v>
      </c>
      <c r="H16" s="237">
        <v>44360</v>
      </c>
      <c r="I16" s="238">
        <v>0.875</v>
      </c>
      <c r="K16" s="237">
        <v>44361</v>
      </c>
      <c r="L16" s="238">
        <v>0.625</v>
      </c>
      <c r="N16" s="237">
        <v>44361</v>
      </c>
      <c r="O16" s="238">
        <v>0.875</v>
      </c>
      <c r="Q16" s="237">
        <v>44362</v>
      </c>
      <c r="R16" s="238">
        <v>0.875</v>
      </c>
      <c r="T16" s="305"/>
      <c r="U16" s="306"/>
      <c r="V16" s="306"/>
      <c r="W16" s="306"/>
      <c r="X16" s="307"/>
    </row>
    <row r="17" spans="2:24">
      <c r="B17" s="239" t="str">
        <f>'Country names'!C8</f>
        <v>Wales</v>
      </c>
      <c r="C17" s="240" t="str">
        <f>'Country names'!C9</f>
        <v>Zwitserland</v>
      </c>
      <c r="E17" s="239" t="str">
        <f>'Country names'!C13</f>
        <v>België</v>
      </c>
      <c r="F17" s="240" t="str">
        <f>'Country names'!C14</f>
        <v>Rusland</v>
      </c>
      <c r="H17" s="239" t="str">
        <f>'Country names'!C18</f>
        <v>Nederland</v>
      </c>
      <c r="I17" s="240" t="str">
        <f>'Country names'!C19</f>
        <v>Oekraïne</v>
      </c>
      <c r="K17" s="239" t="str">
        <f>'Country names'!C23</f>
        <v>Schotland</v>
      </c>
      <c r="L17" s="240" t="str">
        <f>'Country names'!C24</f>
        <v>Tsjechië</v>
      </c>
      <c r="N17" s="239" t="str">
        <f>'Country names'!C28</f>
        <v>Spanje</v>
      </c>
      <c r="O17" s="240" t="str">
        <f>'Country names'!C29</f>
        <v>Zweden</v>
      </c>
      <c r="Q17" s="239" t="str">
        <f>'Country names'!C33</f>
        <v>Frankrijk</v>
      </c>
      <c r="R17" s="240" t="str">
        <f>'Country names'!C34</f>
        <v>Duitsland</v>
      </c>
      <c r="T17" s="305"/>
      <c r="U17" s="306"/>
      <c r="V17" s="306"/>
      <c r="W17" s="306"/>
      <c r="X17" s="307"/>
    </row>
    <row r="18" spans="2:24" ht="15" thickBot="1">
      <c r="B18" s="1">
        <v>0</v>
      </c>
      <c r="C18" s="2">
        <v>2</v>
      </c>
      <c r="E18" s="1">
        <v>2</v>
      </c>
      <c r="F18" s="2">
        <v>1</v>
      </c>
      <c r="H18" s="1">
        <v>2</v>
      </c>
      <c r="I18" s="2">
        <v>1</v>
      </c>
      <c r="K18" s="1">
        <v>1</v>
      </c>
      <c r="L18" s="2">
        <v>1</v>
      </c>
      <c r="N18" s="1">
        <v>3</v>
      </c>
      <c r="O18" s="2">
        <v>1</v>
      </c>
      <c r="Q18" s="1">
        <v>2</v>
      </c>
      <c r="R18" s="2">
        <v>2</v>
      </c>
      <c r="T18" s="305"/>
      <c r="U18" s="306"/>
      <c r="V18" s="306"/>
      <c r="W18" s="306"/>
      <c r="X18" s="307"/>
    </row>
    <row r="19" spans="2:24" ht="10.050000000000001" customHeight="1" thickBot="1">
      <c r="B19" s="47"/>
      <c r="C19" s="47"/>
      <c r="D19" s="29"/>
      <c r="E19" s="47"/>
      <c r="F19" s="47"/>
      <c r="G19" s="29"/>
      <c r="H19" s="47"/>
      <c r="I19" s="47"/>
      <c r="J19" s="29"/>
      <c r="K19" s="47"/>
      <c r="L19" s="47"/>
      <c r="M19" s="29"/>
      <c r="N19" s="47"/>
      <c r="O19" s="47"/>
      <c r="P19" s="29"/>
      <c r="Q19" s="47"/>
      <c r="R19" s="47"/>
      <c r="T19" s="305"/>
      <c r="U19" s="306"/>
      <c r="V19" s="306"/>
      <c r="W19" s="306"/>
      <c r="X19" s="307"/>
    </row>
    <row r="20" spans="2:24">
      <c r="B20" s="243" t="s">
        <v>33</v>
      </c>
      <c r="C20" s="244"/>
      <c r="D20" s="9"/>
      <c r="E20" s="243" t="s">
        <v>43</v>
      </c>
      <c r="F20" s="244"/>
      <c r="H20" s="243" t="s">
        <v>183</v>
      </c>
      <c r="I20" s="244"/>
      <c r="K20" s="243" t="s">
        <v>37</v>
      </c>
      <c r="L20" s="244"/>
      <c r="N20" s="243" t="s">
        <v>43</v>
      </c>
      <c r="O20" s="244"/>
      <c r="Q20" s="243" t="s">
        <v>38</v>
      </c>
      <c r="R20" s="244"/>
      <c r="T20" s="305"/>
      <c r="U20" s="306"/>
      <c r="V20" s="306"/>
      <c r="W20" s="306"/>
      <c r="X20" s="307"/>
    </row>
    <row r="21" spans="2:24">
      <c r="B21" s="237">
        <v>44363</v>
      </c>
      <c r="C21" s="238">
        <v>0.75</v>
      </c>
      <c r="E21" s="237">
        <v>44363</v>
      </c>
      <c r="F21" s="238">
        <v>0.625</v>
      </c>
      <c r="H21" s="237">
        <v>44364</v>
      </c>
      <c r="I21" s="238">
        <v>0.625</v>
      </c>
      <c r="K21" s="237">
        <v>44365</v>
      </c>
      <c r="L21" s="238">
        <v>0.75</v>
      </c>
      <c r="N21" s="237">
        <v>44365</v>
      </c>
      <c r="O21" s="238">
        <v>0.625</v>
      </c>
      <c r="Q21" s="237">
        <v>44366</v>
      </c>
      <c r="R21" s="238">
        <v>0.625</v>
      </c>
      <c r="T21" s="305"/>
      <c r="U21" s="306"/>
      <c r="V21" s="306"/>
      <c r="W21" s="306"/>
      <c r="X21" s="307"/>
    </row>
    <row r="22" spans="2:24">
      <c r="B22" s="239" t="str">
        <f>'Country names'!C6</f>
        <v>Turkije</v>
      </c>
      <c r="C22" s="240" t="str">
        <f>'Country names'!C8</f>
        <v>Wales</v>
      </c>
      <c r="E22" s="239" t="str">
        <f>'Country names'!C12</f>
        <v>Finland</v>
      </c>
      <c r="F22" s="240" t="str">
        <f>'Country names'!C14</f>
        <v>Rusland</v>
      </c>
      <c r="H22" s="239" t="str">
        <f>'Country names'!C19</f>
        <v>Oekraïne</v>
      </c>
      <c r="I22" s="240" t="str">
        <f>'Country names'!C17</f>
        <v>Noord-Macedonië</v>
      </c>
      <c r="K22" s="239" t="str">
        <f>'Country names'!C22</f>
        <v>Kroatië</v>
      </c>
      <c r="L22" s="240" t="str">
        <f>'Country names'!C24</f>
        <v>Tsjechië</v>
      </c>
      <c r="N22" s="239" t="str">
        <f>'Country names'!C29</f>
        <v>Zweden</v>
      </c>
      <c r="O22" s="240" t="str">
        <f>'Country names'!C27</f>
        <v>Slowakije</v>
      </c>
      <c r="Q22" s="239" t="str">
        <f>'Country names'!C31</f>
        <v>Hongarije</v>
      </c>
      <c r="R22" s="240" t="str">
        <f>'Country names'!C33</f>
        <v>Frankrijk</v>
      </c>
      <c r="T22" s="305"/>
      <c r="U22" s="306"/>
      <c r="V22" s="306"/>
      <c r="W22" s="306"/>
      <c r="X22" s="307"/>
    </row>
    <row r="23" spans="2:24" ht="15" thickBot="1">
      <c r="B23" s="1">
        <v>1</v>
      </c>
      <c r="C23" s="2">
        <v>0</v>
      </c>
      <c r="E23" s="1">
        <v>1</v>
      </c>
      <c r="F23" s="2">
        <v>3</v>
      </c>
      <c r="H23" s="1">
        <v>2</v>
      </c>
      <c r="I23" s="2">
        <v>0</v>
      </c>
      <c r="K23" s="1">
        <v>1</v>
      </c>
      <c r="L23" s="2">
        <v>0</v>
      </c>
      <c r="N23" s="1">
        <v>1</v>
      </c>
      <c r="O23" s="2">
        <v>0</v>
      </c>
      <c r="Q23" s="1">
        <v>0</v>
      </c>
      <c r="R23" s="2">
        <v>4</v>
      </c>
      <c r="T23" s="305"/>
      <c r="U23" s="306"/>
      <c r="V23" s="306"/>
      <c r="W23" s="306"/>
      <c r="X23" s="307"/>
    </row>
    <row r="24" spans="2:24" ht="10.050000000000001" customHeight="1" thickBot="1">
      <c r="B24" s="47"/>
      <c r="C24" s="47"/>
      <c r="D24" s="29"/>
      <c r="E24" s="47"/>
      <c r="F24" s="47"/>
      <c r="G24" s="29"/>
      <c r="H24" s="47"/>
      <c r="I24" s="47"/>
      <c r="J24" s="29"/>
      <c r="K24" s="47"/>
      <c r="L24" s="47"/>
      <c r="M24" s="29"/>
      <c r="N24" s="47"/>
      <c r="O24" s="47"/>
      <c r="P24" s="29"/>
      <c r="Q24" s="47"/>
      <c r="R24" s="47"/>
      <c r="T24" s="305"/>
      <c r="U24" s="306"/>
      <c r="V24" s="306"/>
      <c r="W24" s="306"/>
      <c r="X24" s="307"/>
    </row>
    <row r="25" spans="2:24">
      <c r="B25" s="243" t="s">
        <v>181</v>
      </c>
      <c r="C25" s="244"/>
      <c r="D25" s="9"/>
      <c r="E25" s="243" t="s">
        <v>182</v>
      </c>
      <c r="F25" s="244"/>
      <c r="H25" s="243" t="s">
        <v>35</v>
      </c>
      <c r="I25" s="244"/>
      <c r="K25" s="243" t="s">
        <v>36</v>
      </c>
      <c r="L25" s="244"/>
      <c r="N25" s="243" t="s">
        <v>283</v>
      </c>
      <c r="O25" s="244"/>
      <c r="Q25" s="243" t="s">
        <v>184</v>
      </c>
      <c r="R25" s="244"/>
      <c r="T25" s="308"/>
      <c r="U25" s="309"/>
      <c r="V25" s="309"/>
      <c r="W25" s="309"/>
      <c r="X25" s="310"/>
    </row>
    <row r="26" spans="2:24">
      <c r="B26" s="237">
        <v>44363</v>
      </c>
      <c r="C26" s="238">
        <v>0.875</v>
      </c>
      <c r="E26" s="237">
        <v>44364</v>
      </c>
      <c r="F26" s="238">
        <v>0.75</v>
      </c>
      <c r="H26" s="237">
        <v>44364</v>
      </c>
      <c r="I26" s="238">
        <v>0.875</v>
      </c>
      <c r="K26" s="237">
        <v>44365</v>
      </c>
      <c r="L26" s="238">
        <v>0.875</v>
      </c>
      <c r="N26" s="237">
        <v>44366</v>
      </c>
      <c r="O26" s="238">
        <v>0.875</v>
      </c>
      <c r="Q26" s="237">
        <v>44366</v>
      </c>
      <c r="R26" s="238">
        <v>0.75</v>
      </c>
      <c r="T26" s="40"/>
      <c r="U26" s="40"/>
      <c r="V26" s="40"/>
      <c r="W26" s="40"/>
      <c r="X26" s="40"/>
    </row>
    <row r="27" spans="2:24">
      <c r="B27" s="239" t="str">
        <f>'Country names'!C7</f>
        <v>Italië</v>
      </c>
      <c r="C27" s="240" t="str">
        <f>'Country names'!C9</f>
        <v>Zwitserland</v>
      </c>
      <c r="E27" s="239" t="str">
        <f>'Country names'!C11</f>
        <v>Denemarken</v>
      </c>
      <c r="F27" s="240" t="str">
        <f>'Country names'!C13</f>
        <v>België</v>
      </c>
      <c r="H27" s="239" t="str">
        <f>'Country names'!C18</f>
        <v>Nederland</v>
      </c>
      <c r="I27" s="240" t="str">
        <f>'Country names'!C16</f>
        <v>Oostenrijk</v>
      </c>
      <c r="K27" s="239" t="str">
        <f>'Country names'!C21</f>
        <v>Engeland</v>
      </c>
      <c r="L27" s="240" t="str">
        <f>'Country names'!C23</f>
        <v>Schotland</v>
      </c>
      <c r="N27" s="239" t="str">
        <f>'Country names'!C28</f>
        <v>Spanje</v>
      </c>
      <c r="O27" s="240" t="str">
        <f>'Country names'!C26</f>
        <v>Polen</v>
      </c>
      <c r="Q27" s="239" t="str">
        <f>'Country names'!C32</f>
        <v>Portugal</v>
      </c>
      <c r="R27" s="240" t="str">
        <f>'Country names'!C34</f>
        <v>Duitsland</v>
      </c>
      <c r="T27" s="254" t="str">
        <f ca="1">IF(AnzSpiele&gt;0,IF(EindeutigGruppen&gt;0,Meldung1a,IF(EindeutigDritte&gt;0,Meldung1b,"")),"")</f>
        <v/>
      </c>
      <c r="U27" s="255"/>
      <c r="V27" s="255"/>
      <c r="W27" s="255"/>
      <c r="X27" s="255"/>
    </row>
    <row r="28" spans="2:24" ht="15" thickBot="1">
      <c r="B28" s="1">
        <v>2</v>
      </c>
      <c r="C28" s="2">
        <v>1</v>
      </c>
      <c r="E28" s="1">
        <v>0</v>
      </c>
      <c r="F28" s="2">
        <v>1</v>
      </c>
      <c r="H28" s="1">
        <v>2</v>
      </c>
      <c r="I28" s="2">
        <v>0</v>
      </c>
      <c r="K28" s="1">
        <v>2</v>
      </c>
      <c r="L28" s="2">
        <v>1</v>
      </c>
      <c r="N28" s="1">
        <v>3</v>
      </c>
      <c r="O28" s="2">
        <v>2</v>
      </c>
      <c r="Q28" s="1">
        <v>2</v>
      </c>
      <c r="R28" s="2">
        <v>2</v>
      </c>
      <c r="T28" s="254" t="str">
        <f ca="1">IF(AnzSpiele&gt;0,IF(EindeutigGruppen&gt;0,Meldung2a,IF(EindeutigDritte&gt;0,Meldung2b,Meldung2ok)),"")</f>
        <v>No consideration of fair play or ranking is necessary.</v>
      </c>
      <c r="U28" s="255"/>
      <c r="V28" s="255"/>
      <c r="W28" s="255"/>
      <c r="X28" s="255"/>
    </row>
    <row r="29" spans="2:24" ht="10.050000000000001" customHeight="1" thickBot="1">
      <c r="B29" s="47"/>
      <c r="C29" s="47"/>
      <c r="D29" s="29"/>
      <c r="E29" s="47"/>
      <c r="F29" s="47"/>
      <c r="G29" s="29"/>
      <c r="H29" s="47"/>
      <c r="I29" s="47"/>
      <c r="J29" s="29"/>
      <c r="K29" s="47"/>
      <c r="L29" s="47"/>
      <c r="M29" s="29"/>
      <c r="N29" s="47"/>
      <c r="O29" s="47"/>
      <c r="P29" s="29"/>
      <c r="Q29" s="47"/>
      <c r="R29" s="47"/>
      <c r="T29" s="227"/>
      <c r="U29" s="228"/>
      <c r="V29" s="228"/>
      <c r="W29" s="228"/>
      <c r="X29" s="228"/>
    </row>
    <row r="30" spans="2:24">
      <c r="B30" s="243" t="s">
        <v>33</v>
      </c>
      <c r="C30" s="244"/>
      <c r="D30" s="9"/>
      <c r="E30" s="243" t="s">
        <v>182</v>
      </c>
      <c r="F30" s="244"/>
      <c r="H30" s="243" t="s">
        <v>35</v>
      </c>
      <c r="I30" s="244"/>
      <c r="K30" s="243" t="s">
        <v>37</v>
      </c>
      <c r="L30" s="244"/>
      <c r="N30" s="243" t="s">
        <v>283</v>
      </c>
      <c r="O30" s="244"/>
      <c r="Q30" s="243" t="s">
        <v>184</v>
      </c>
      <c r="R30" s="244"/>
      <c r="T30" s="256" t="str">
        <f ca="1">IF(AnzSpiele&gt;0,IF(EindeutigGruppen&gt;0,Meldung3,IF(EindeutigDritte&gt;0,Meldung3,Meldung3ok)),"")</f>
        <v>The qualification is clear!</v>
      </c>
      <c r="U30" s="257"/>
      <c r="V30" s="257"/>
      <c r="W30" s="257"/>
      <c r="X30" s="257"/>
    </row>
    <row r="31" spans="2:24">
      <c r="B31" s="237">
        <v>44367</v>
      </c>
      <c r="C31" s="238">
        <v>0.75</v>
      </c>
      <c r="E31" s="237">
        <v>44368</v>
      </c>
      <c r="F31" s="238">
        <v>0.875</v>
      </c>
      <c r="H31" s="237">
        <v>44368</v>
      </c>
      <c r="I31" s="238">
        <v>0.75</v>
      </c>
      <c r="K31" s="237">
        <v>44369</v>
      </c>
      <c r="L31" s="238">
        <v>0.875</v>
      </c>
      <c r="N31" s="237">
        <v>44370</v>
      </c>
      <c r="O31" s="238">
        <v>0.75</v>
      </c>
      <c r="Q31" s="237">
        <v>44370</v>
      </c>
      <c r="R31" s="238">
        <v>0.875</v>
      </c>
      <c r="T31" s="41"/>
      <c r="U31" s="42"/>
      <c r="V31" s="42"/>
      <c r="W31" s="42"/>
      <c r="X31" s="42"/>
    </row>
    <row r="32" spans="2:24">
      <c r="B32" s="239" t="str">
        <f>'Country names'!C9</f>
        <v>Zwitserland</v>
      </c>
      <c r="C32" s="240" t="str">
        <f>'Country names'!C6</f>
        <v>Turkije</v>
      </c>
      <c r="E32" s="239" t="str">
        <f>'Country names'!C14</f>
        <v>Rusland</v>
      </c>
      <c r="F32" s="240" t="str">
        <f>'Country names'!C11</f>
        <v>Denemarken</v>
      </c>
      <c r="H32" s="239" t="str">
        <f>'Country names'!C17</f>
        <v>Noord-Macedonië</v>
      </c>
      <c r="I32" s="240" t="str">
        <f>'Country names'!C18</f>
        <v>Nederland</v>
      </c>
      <c r="K32" s="239" t="str">
        <f>'Country names'!C22</f>
        <v>Kroatië</v>
      </c>
      <c r="L32" s="240" t="str">
        <f>'Country names'!C23</f>
        <v>Schotland</v>
      </c>
      <c r="N32" s="239" t="str">
        <f>'Country names'!C27</f>
        <v>Slowakije</v>
      </c>
      <c r="O32" s="240" t="str">
        <f>'Country names'!C28</f>
        <v>Spanje</v>
      </c>
      <c r="Q32" s="239" t="str">
        <f>'Country names'!C34</f>
        <v>Duitsland</v>
      </c>
      <c r="R32" s="240" t="str">
        <f>'Country names'!C31</f>
        <v>Hongarije</v>
      </c>
      <c r="T32" s="43"/>
      <c r="U32" s="44"/>
      <c r="V32" s="44"/>
      <c r="W32" s="44"/>
      <c r="X32" s="44"/>
    </row>
    <row r="33" spans="1:26">
      <c r="B33" s="235">
        <v>2</v>
      </c>
      <c r="C33" s="236">
        <v>2</v>
      </c>
      <c r="E33" s="235">
        <v>1</v>
      </c>
      <c r="F33" s="236">
        <v>1</v>
      </c>
      <c r="H33" s="235">
        <v>0</v>
      </c>
      <c r="I33" s="236">
        <v>3</v>
      </c>
      <c r="K33" s="235">
        <v>2</v>
      </c>
      <c r="L33" s="236">
        <v>0</v>
      </c>
      <c r="N33" s="235">
        <v>0</v>
      </c>
      <c r="O33" s="236">
        <v>2</v>
      </c>
      <c r="Q33" s="235">
        <v>3</v>
      </c>
      <c r="R33" s="236">
        <v>0</v>
      </c>
      <c r="T33" s="247" t="s">
        <v>212</v>
      </c>
      <c r="U33" s="248"/>
      <c r="V33" s="248"/>
      <c r="W33" s="248"/>
      <c r="X33" s="249"/>
    </row>
    <row r="34" spans="1:26" ht="10.050000000000001" customHeight="1">
      <c r="B34" s="241" t="str">
        <f ca="1">IF(GrpA!$X$12&gt;0,ElfmeterText2,ElfmeterText1)</f>
        <v>Penalty shootout:</v>
      </c>
      <c r="C34" s="242"/>
      <c r="E34" s="241" t="str">
        <f ca="1">IF(GrpB!$X$12&gt;0,ElfmeterText2,ElfmeterText1)</f>
        <v>Penalty shootout:</v>
      </c>
      <c r="F34" s="242"/>
      <c r="H34" s="241" t="str">
        <f ca="1">IF(GrpC!$X$12&gt;0,ElfmeterText2,ElfmeterText1)</f>
        <v>Penalty shootout:</v>
      </c>
      <c r="I34" s="242"/>
      <c r="K34" s="241" t="str">
        <f ca="1">IF(GrpD!$X$12&gt;0,ElfmeterText2,ElfmeterText1)</f>
        <v>Penalty shootout:</v>
      </c>
      <c r="L34" s="242"/>
      <c r="N34" s="241" t="str">
        <f ca="1">IF(GrpE!$X$12&gt;0,ElfmeterText2,ElfmeterText1)</f>
        <v>Penalty shootout:</v>
      </c>
      <c r="O34" s="242"/>
      <c r="Q34" s="241" t="str">
        <f ca="1">IF(GrpF!$X$12&gt;0,ElfmeterText2,ElfmeterText1)</f>
        <v>Penalty shootout:</v>
      </c>
      <c r="R34" s="242"/>
      <c r="T34" s="247"/>
      <c r="U34" s="248"/>
      <c r="V34" s="248"/>
      <c r="W34" s="248"/>
      <c r="X34" s="249"/>
    </row>
    <row r="35" spans="1:26" ht="15" thickBot="1">
      <c r="B35" s="177"/>
      <c r="C35" s="178"/>
      <c r="E35" s="177"/>
      <c r="F35" s="178"/>
      <c r="H35" s="177"/>
      <c r="I35" s="178"/>
      <c r="K35" s="177"/>
      <c r="L35" s="178"/>
      <c r="N35" s="177"/>
      <c r="O35" s="178"/>
      <c r="Q35" s="177"/>
      <c r="R35" s="178"/>
      <c r="T35" s="247"/>
      <c r="U35" s="248"/>
      <c r="V35" s="248"/>
      <c r="W35" s="248"/>
      <c r="X35" s="249"/>
    </row>
    <row r="36" spans="1:26" ht="10.050000000000001" customHeight="1" thickBot="1">
      <c r="B36" s="47"/>
      <c r="C36" s="47"/>
      <c r="D36" s="29"/>
      <c r="E36" s="47"/>
      <c r="F36" s="47"/>
      <c r="G36" s="29"/>
      <c r="H36" s="47"/>
      <c r="I36" s="47"/>
      <c r="J36" s="29"/>
      <c r="K36" s="47"/>
      <c r="L36" s="47"/>
      <c r="M36" s="29"/>
      <c r="N36" s="47"/>
      <c r="O36" s="47"/>
      <c r="P36" s="29"/>
      <c r="Q36" s="47"/>
      <c r="R36" s="47"/>
      <c r="T36" s="247"/>
      <c r="U36" s="248"/>
      <c r="V36" s="248"/>
      <c r="W36" s="248"/>
      <c r="X36" s="249"/>
    </row>
    <row r="37" spans="1:26">
      <c r="B37" s="243" t="s">
        <v>181</v>
      </c>
      <c r="C37" s="244"/>
      <c r="D37" s="9"/>
      <c r="E37" s="243" t="s">
        <v>43</v>
      </c>
      <c r="F37" s="244"/>
      <c r="H37" s="243" t="s">
        <v>183</v>
      </c>
      <c r="I37" s="244"/>
      <c r="K37" s="243" t="s">
        <v>36</v>
      </c>
      <c r="L37" s="244"/>
      <c r="N37" s="243" t="s">
        <v>43</v>
      </c>
      <c r="O37" s="244"/>
      <c r="Q37" s="243" t="s">
        <v>38</v>
      </c>
      <c r="R37" s="244"/>
      <c r="T37" s="250"/>
      <c r="U37" s="248"/>
      <c r="V37" s="248"/>
      <c r="W37" s="248"/>
      <c r="X37" s="249"/>
    </row>
    <row r="38" spans="1:26">
      <c r="B38" s="237">
        <v>44367</v>
      </c>
      <c r="C38" s="238">
        <v>0.75</v>
      </c>
      <c r="E38" s="237">
        <v>44368</v>
      </c>
      <c r="F38" s="238">
        <v>0.875</v>
      </c>
      <c r="H38" s="237">
        <v>44368</v>
      </c>
      <c r="I38" s="238">
        <v>0.75</v>
      </c>
      <c r="K38" s="237">
        <v>44369</v>
      </c>
      <c r="L38" s="238">
        <v>0.875</v>
      </c>
      <c r="N38" s="237">
        <v>44370</v>
      </c>
      <c r="O38" s="238">
        <v>0.75</v>
      </c>
      <c r="Q38" s="237">
        <v>44370</v>
      </c>
      <c r="R38" s="238">
        <v>0.875</v>
      </c>
      <c r="T38" s="250"/>
      <c r="U38" s="248"/>
      <c r="V38" s="248"/>
      <c r="W38" s="248"/>
      <c r="X38" s="249"/>
    </row>
    <row r="39" spans="1:26">
      <c r="B39" s="239" t="str">
        <f>'Country names'!C7</f>
        <v>Italië</v>
      </c>
      <c r="C39" s="240" t="str">
        <f>'Country names'!C8</f>
        <v>Wales</v>
      </c>
      <c r="E39" s="239" t="str">
        <f>'Country names'!C12</f>
        <v>Finland</v>
      </c>
      <c r="F39" s="240" t="str">
        <f>'Country names'!C13</f>
        <v>België</v>
      </c>
      <c r="H39" s="239" t="str">
        <f>'Country names'!C19</f>
        <v>Oekraïne</v>
      </c>
      <c r="I39" s="240" t="str">
        <f>'Country names'!C16</f>
        <v>Oostenrijk</v>
      </c>
      <c r="K39" s="239" t="str">
        <f>'Country names'!C24</f>
        <v>Tsjechië</v>
      </c>
      <c r="L39" s="240" t="str">
        <f>'Country names'!C21</f>
        <v>Engeland</v>
      </c>
      <c r="N39" s="239" t="str">
        <f>'Country names'!C29</f>
        <v>Zweden</v>
      </c>
      <c r="O39" s="240" t="str">
        <f>'Country names'!C26</f>
        <v>Polen</v>
      </c>
      <c r="Q39" s="239" t="str">
        <f>'Country names'!C32</f>
        <v>Portugal</v>
      </c>
      <c r="R39" s="240" t="str">
        <f>'Country names'!C33</f>
        <v>Frankrijk</v>
      </c>
      <c r="T39" s="250"/>
      <c r="U39" s="248"/>
      <c r="V39" s="248"/>
      <c r="W39" s="248"/>
      <c r="X39" s="249"/>
    </row>
    <row r="40" spans="1:26">
      <c r="B40" s="235">
        <v>1</v>
      </c>
      <c r="C40" s="236">
        <v>0</v>
      </c>
      <c r="E40" s="235">
        <v>0</v>
      </c>
      <c r="F40" s="236">
        <v>3</v>
      </c>
      <c r="H40" s="235">
        <v>1</v>
      </c>
      <c r="I40" s="236">
        <v>0</v>
      </c>
      <c r="K40" s="235">
        <v>1</v>
      </c>
      <c r="L40" s="236">
        <v>1</v>
      </c>
      <c r="N40" s="235">
        <v>1</v>
      </c>
      <c r="O40" s="236">
        <v>1</v>
      </c>
      <c r="Q40" s="235">
        <v>1</v>
      </c>
      <c r="R40" s="236">
        <v>2</v>
      </c>
      <c r="T40" s="251"/>
      <c r="U40" s="252"/>
      <c r="V40" s="252"/>
      <c r="W40" s="252"/>
      <c r="X40" s="253"/>
    </row>
    <row r="41" spans="1:26" ht="10.050000000000001" customHeight="1">
      <c r="B41" s="241" t="str">
        <f ca="1">IF(GrpA!$X$11&gt;0,ElfmeterText2,ElfmeterText1)</f>
        <v>Penalty shootout:</v>
      </c>
      <c r="C41" s="242"/>
      <c r="E41" s="241" t="str">
        <f ca="1">IF(GrpB!$X$11&gt;0,ElfmeterText2,ElfmeterText1)</f>
        <v>Penalty shootout:</v>
      </c>
      <c r="F41" s="242"/>
      <c r="H41" s="241" t="str">
        <f ca="1">IF(GrpC!$X$11&gt;0,ElfmeterText2,ElfmeterText1)</f>
        <v>Penalty shootout:</v>
      </c>
      <c r="I41" s="242"/>
      <c r="K41" s="241" t="str">
        <f ca="1">IF(GrpD!$X$11&gt;0,ElfmeterText2,ElfmeterText1)</f>
        <v>Penalty shootout:</v>
      </c>
      <c r="L41" s="242"/>
      <c r="N41" s="241" t="str">
        <f ca="1">IF(GrpE!$X$11&gt;0,ElfmeterText2,ElfmeterText1)</f>
        <v>Penalty shootout:</v>
      </c>
      <c r="O41" s="242"/>
      <c r="Q41" s="241" t="str">
        <f ca="1">IF(GrpF!$X$11&gt;0,ElfmeterText2,ElfmeterText1)</f>
        <v>Penalty shootout:</v>
      </c>
      <c r="R41" s="242"/>
      <c r="T41" s="82"/>
      <c r="U41" s="82"/>
      <c r="V41" s="82"/>
      <c r="W41" s="82"/>
      <c r="X41" s="82"/>
    </row>
    <row r="42" spans="1:26" ht="15" thickBot="1">
      <c r="B42" s="177"/>
      <c r="C42" s="178"/>
      <c r="E42" s="177"/>
      <c r="F42" s="178"/>
      <c r="H42" s="177"/>
      <c r="I42" s="178"/>
      <c r="K42" s="177"/>
      <c r="L42" s="178"/>
      <c r="N42" s="177"/>
      <c r="O42" s="178"/>
      <c r="Q42" s="177"/>
      <c r="R42" s="178"/>
      <c r="T42" s="82"/>
      <c r="U42" s="82"/>
      <c r="V42" s="82"/>
      <c r="W42" s="82"/>
      <c r="X42" s="82"/>
    </row>
    <row r="43" spans="1:26" ht="13.5" customHeight="1">
      <c r="T43" s="245" t="str">
        <f ca="1">IF(Gruppendritte!$I$21&gt;0,"•","")</f>
        <v/>
      </c>
      <c r="U43" s="246"/>
      <c r="V43" s="29"/>
      <c r="W43" s="29"/>
      <c r="X43" s="29"/>
    </row>
    <row r="44" spans="1:26">
      <c r="B44" s="273" t="s">
        <v>162</v>
      </c>
      <c r="C44" s="274"/>
      <c r="E44" s="273" t="s">
        <v>162</v>
      </c>
      <c r="F44" s="274"/>
      <c r="H44" s="273" t="s">
        <v>162</v>
      </c>
      <c r="I44" s="274"/>
      <c r="K44" s="273" t="s">
        <v>162</v>
      </c>
      <c r="L44" s="274"/>
      <c r="N44" s="273" t="s">
        <v>162</v>
      </c>
      <c r="O44" s="274"/>
      <c r="Q44" s="273" t="s">
        <v>162</v>
      </c>
      <c r="R44" s="274"/>
      <c r="T44" s="273" t="s">
        <v>163</v>
      </c>
      <c r="U44" s="274"/>
      <c r="V44" s="81" t="s">
        <v>71</v>
      </c>
      <c r="W44" s="275" t="s">
        <v>164</v>
      </c>
      <c r="X44" s="276"/>
    </row>
    <row r="45" spans="1:26">
      <c r="A45" s="13" t="s">
        <v>8</v>
      </c>
      <c r="B45" s="277" t="str">
        <f ca="1">IF(AnzSpiele&gt;0,GrpA!O11,"")</f>
        <v>Italië</v>
      </c>
      <c r="C45" s="278"/>
      <c r="D45" s="13" t="s">
        <v>9</v>
      </c>
      <c r="E45" s="277" t="str">
        <f ca="1">IF(AnzSpiele&gt;0,GrpB!$O11,"")</f>
        <v>België</v>
      </c>
      <c r="F45" s="278"/>
      <c r="G45" s="13" t="s">
        <v>10</v>
      </c>
      <c r="H45" s="277" t="str">
        <f ca="1">IF(AnzSpiele&gt;0,GrpC!$O11,"")</f>
        <v>Nederland</v>
      </c>
      <c r="I45" s="278"/>
      <c r="J45" s="13" t="s">
        <v>11</v>
      </c>
      <c r="K45" s="277" t="str">
        <f ca="1">IF(AnzSpiele&gt;0,GrpD!$O11,"")</f>
        <v>Engeland</v>
      </c>
      <c r="L45" s="278"/>
      <c r="M45" s="13" t="s">
        <v>12</v>
      </c>
      <c r="N45" s="277" t="str">
        <f ca="1">IF(AnzSpiele&gt;0,GrpE!$O11,"")</f>
        <v>Spanje</v>
      </c>
      <c r="O45" s="278"/>
      <c r="P45" s="13" t="s">
        <v>13</v>
      </c>
      <c r="Q45" s="277" t="str">
        <f ca="1">IF(AnzSpiele&gt;0,GrpF!$O11,"")</f>
        <v>Frankrijk</v>
      </c>
      <c r="R45" s="278"/>
      <c r="S45" s="13" t="s">
        <v>66</v>
      </c>
      <c r="T45" s="277" t="str">
        <f ca="1">IF(AnzSpiele&gt;0,Gruppendritte!C11,"")</f>
        <v>Denemarken</v>
      </c>
      <c r="U45" s="278"/>
      <c r="V45" s="175" t="str">
        <f ca="1">IF(AnzSpiele&gt;0,Gruppendritte!I11,"")</f>
        <v>B</v>
      </c>
      <c r="W45" s="279" t="str">
        <f ca="1">IF(AnzSpiele&gt;0,Gruppendritte!I18,"")</f>
        <v>A B E F</v>
      </c>
      <c r="X45" s="280"/>
      <c r="Z45" s="50"/>
    </row>
    <row r="46" spans="1:26">
      <c r="A46" s="13" t="s">
        <v>14</v>
      </c>
      <c r="B46" s="277" t="str">
        <f ca="1">IF(AnzSpiele&gt;0,GrpA!O12,"")</f>
        <v>Zwitserland</v>
      </c>
      <c r="C46" s="278"/>
      <c r="D46" s="13" t="s">
        <v>15</v>
      </c>
      <c r="E46" s="277" t="str">
        <f ca="1">IF(AnzSpiele&gt;0,GrpB!$O12,"")</f>
        <v>Rusland</v>
      </c>
      <c r="F46" s="278"/>
      <c r="G46" s="13" t="s">
        <v>16</v>
      </c>
      <c r="H46" s="277" t="str">
        <f ca="1">IF(AnzSpiele&gt;0,GrpC!$O12,"")</f>
        <v>Oekraïne</v>
      </c>
      <c r="I46" s="278"/>
      <c r="J46" s="13" t="s">
        <v>17</v>
      </c>
      <c r="K46" s="277" t="str">
        <f ca="1">IF(AnzSpiele&gt;0,GrpD!$O12,"")</f>
        <v>Kroatië</v>
      </c>
      <c r="L46" s="278"/>
      <c r="M46" s="13" t="s">
        <v>18</v>
      </c>
      <c r="N46" s="277" t="str">
        <f ca="1">IF(AnzSpiele&gt;0,GrpE!$O12,"")</f>
        <v>Polen</v>
      </c>
      <c r="O46" s="278"/>
      <c r="P46" s="13" t="s">
        <v>19</v>
      </c>
      <c r="Q46" s="277" t="str">
        <f ca="1">IF(AnzSpiele&gt;0,GrpF!$O12,"")</f>
        <v>Duitsland</v>
      </c>
      <c r="R46" s="278"/>
      <c r="S46" s="13" t="s">
        <v>67</v>
      </c>
      <c r="T46" s="277" t="str">
        <f ca="1">IF(AnzSpiele&gt;0,Gruppendritte!C12,"")</f>
        <v>Portugal</v>
      </c>
      <c r="U46" s="278"/>
      <c r="V46" s="175" t="str">
        <f ca="1">IF(AnzSpiele&gt;0,Gruppendritte!I12,"")</f>
        <v>F</v>
      </c>
      <c r="W46" s="311" t="s">
        <v>165</v>
      </c>
      <c r="X46" s="312"/>
      <c r="Z46" s="50"/>
    </row>
    <row r="47" spans="1:26">
      <c r="A47" s="14" t="s">
        <v>20</v>
      </c>
      <c r="B47" s="277" t="str">
        <f ca="1">IF(AnzSpiele&gt;0,GrpA!O13,"")</f>
        <v>Turkije</v>
      </c>
      <c r="C47" s="278"/>
      <c r="D47" s="14" t="s">
        <v>21</v>
      </c>
      <c r="E47" s="277" t="str">
        <f ca="1">IF(AnzSpiele&gt;0,GrpB!$O13,"")</f>
        <v>Denemarken</v>
      </c>
      <c r="F47" s="278"/>
      <c r="G47" s="14" t="s">
        <v>22</v>
      </c>
      <c r="H47" s="277" t="str">
        <f ca="1">IF(AnzSpiele&gt;0,GrpC!$O13,"")</f>
        <v>Oostenrijk</v>
      </c>
      <c r="I47" s="278"/>
      <c r="J47" s="14" t="s">
        <v>23</v>
      </c>
      <c r="K47" s="277" t="str">
        <f ca="1">IF(AnzSpiele&gt;0,GrpD!$O13,"")</f>
        <v>Tsjechië</v>
      </c>
      <c r="L47" s="278"/>
      <c r="M47" s="14" t="s">
        <v>24</v>
      </c>
      <c r="N47" s="277" t="str">
        <f ca="1">IF(AnzSpiele&gt;0,GrpE!$O13,"")</f>
        <v>Zweden</v>
      </c>
      <c r="O47" s="278"/>
      <c r="P47" s="14" t="s">
        <v>25</v>
      </c>
      <c r="Q47" s="277" t="str">
        <f ca="1">IF(AnzSpiele&gt;0,GrpF!$O13,"")</f>
        <v>Portugal</v>
      </c>
      <c r="R47" s="278"/>
      <c r="S47" s="39" t="s">
        <v>68</v>
      </c>
      <c r="T47" s="277" t="str">
        <f ca="1">IF(AnzSpiele&gt;0,Gruppendritte!C13,"")</f>
        <v>Turkije</v>
      </c>
      <c r="U47" s="278"/>
      <c r="V47" s="175" t="str">
        <f ca="1">IF(AnzSpiele&gt;0,Gruppendritte!I13,"")</f>
        <v>A</v>
      </c>
      <c r="W47" s="176" t="str">
        <f ca="1">IF(AnzSpiele&gt;0,Gruppendritte!C15,"")</f>
        <v>Oostenrijk</v>
      </c>
      <c r="X47" s="176" t="str">
        <f ca="1">IF(AnzSpiele&gt;0,Gruppendritte!I15,"")</f>
        <v>C</v>
      </c>
      <c r="Z47" s="50"/>
    </row>
    <row r="48" spans="1:26">
      <c r="A48" s="14" t="s">
        <v>26</v>
      </c>
      <c r="B48" s="277" t="str">
        <f ca="1">IF(AnzSpiele&gt;0,GrpA!O14,"")</f>
        <v>Wales</v>
      </c>
      <c r="C48" s="278"/>
      <c r="D48" s="14" t="s">
        <v>27</v>
      </c>
      <c r="E48" s="277" t="str">
        <f ca="1">IF(AnzSpiele&gt;0,GrpB!$O14,"")</f>
        <v>Finland</v>
      </c>
      <c r="F48" s="278"/>
      <c r="G48" s="14" t="s">
        <v>28</v>
      </c>
      <c r="H48" s="277" t="str">
        <f ca="1">IF(AnzSpiele&gt;0,GrpC!$O14,"")</f>
        <v>Noord-Macedonië</v>
      </c>
      <c r="I48" s="278"/>
      <c r="J48" s="14" t="s">
        <v>29</v>
      </c>
      <c r="K48" s="277" t="str">
        <f ca="1">IF(AnzSpiele&gt;0,GrpD!$O14,"")</f>
        <v>Schotland</v>
      </c>
      <c r="L48" s="278"/>
      <c r="M48" s="14" t="s">
        <v>30</v>
      </c>
      <c r="N48" s="277" t="str">
        <f ca="1">IF(AnzSpiele&gt;0,GrpE!$O14,"")</f>
        <v>Slowakije</v>
      </c>
      <c r="O48" s="278"/>
      <c r="P48" s="14" t="s">
        <v>31</v>
      </c>
      <c r="Q48" s="277" t="str">
        <f ca="1">IF(AnzSpiele&gt;0,GrpF!$O14,"")</f>
        <v>Hongarije</v>
      </c>
      <c r="R48" s="278"/>
      <c r="S48" s="39" t="s">
        <v>69</v>
      </c>
      <c r="T48" s="277" t="str">
        <f ca="1">IF(AnzSpiele&gt;0,Gruppendritte!C14,"")</f>
        <v>Zweden</v>
      </c>
      <c r="U48" s="278"/>
      <c r="V48" s="175" t="str">
        <f ca="1">IF(AnzSpiele&gt;0,Gruppendritte!I14,"")</f>
        <v>E</v>
      </c>
      <c r="W48" s="176" t="str">
        <f ca="1">IF(AnzSpiele&gt;0,Gruppendritte!C16,"")</f>
        <v>Tsjechië</v>
      </c>
      <c r="X48" s="176" t="str">
        <f ca="1">IF(AnzSpiele&gt;0,Gruppendritte!I16,"")</f>
        <v>D</v>
      </c>
      <c r="Z48" s="50"/>
    </row>
    <row r="49" spans="2:26" ht="35.25" customHeight="1">
      <c r="Z49" s="50"/>
    </row>
    <row r="50" spans="2:26" ht="16.2" thickBot="1">
      <c r="B50" s="283" t="s">
        <v>166</v>
      </c>
      <c r="C50" s="284"/>
      <c r="E50" s="283" t="s">
        <v>167</v>
      </c>
      <c r="F50" s="284"/>
      <c r="H50" s="283" t="s">
        <v>168</v>
      </c>
      <c r="I50" s="284"/>
      <c r="K50" s="283" t="s">
        <v>169</v>
      </c>
      <c r="L50" s="284"/>
      <c r="N50" s="283" t="s">
        <v>170</v>
      </c>
      <c r="O50" s="284"/>
      <c r="Q50" s="283" t="s">
        <v>171</v>
      </c>
      <c r="R50" s="284"/>
      <c r="T50" s="283" t="s">
        <v>172</v>
      </c>
      <c r="U50" s="284"/>
      <c r="W50" s="283" t="s">
        <v>173</v>
      </c>
      <c r="X50" s="284"/>
      <c r="Z50" s="50"/>
    </row>
    <row r="51" spans="2:26">
      <c r="B51" s="291" t="s">
        <v>182</v>
      </c>
      <c r="C51" s="292" t="s">
        <v>32</v>
      </c>
      <c r="E51" s="291" t="s">
        <v>183</v>
      </c>
      <c r="F51" s="293"/>
      <c r="H51" s="291" t="s">
        <v>36</v>
      </c>
      <c r="I51" s="292" t="s">
        <v>32</v>
      </c>
      <c r="K51" s="291" t="s">
        <v>283</v>
      </c>
      <c r="L51" s="292"/>
      <c r="N51" s="291" t="s">
        <v>35</v>
      </c>
      <c r="O51" s="292" t="s">
        <v>32</v>
      </c>
      <c r="Q51" s="291" t="s">
        <v>38</v>
      </c>
      <c r="R51" s="293"/>
      <c r="T51" s="291" t="s">
        <v>36</v>
      </c>
      <c r="U51" s="292" t="s">
        <v>32</v>
      </c>
      <c r="W51" s="291" t="s">
        <v>37</v>
      </c>
      <c r="X51" s="293"/>
      <c r="Z51" s="50"/>
    </row>
    <row r="52" spans="2:26">
      <c r="B52" s="196">
        <v>44375</v>
      </c>
      <c r="C52" s="197">
        <v>0.75</v>
      </c>
      <c r="E52" s="196">
        <v>44375</v>
      </c>
      <c r="F52" s="197">
        <v>0.875</v>
      </c>
      <c r="H52" s="196">
        <v>44373</v>
      </c>
      <c r="I52" s="197">
        <v>0.875</v>
      </c>
      <c r="K52" s="196">
        <v>44374</v>
      </c>
      <c r="L52" s="197">
        <v>0.875</v>
      </c>
      <c r="N52" s="196">
        <v>44373</v>
      </c>
      <c r="O52" s="197">
        <v>0.75</v>
      </c>
      <c r="Q52" s="196">
        <v>44374</v>
      </c>
      <c r="R52" s="197">
        <v>0.75</v>
      </c>
      <c r="T52" s="196">
        <v>44376</v>
      </c>
      <c r="U52" s="197">
        <v>0.75</v>
      </c>
      <c r="V52" s="10"/>
      <c r="W52" s="196">
        <v>44376</v>
      </c>
      <c r="X52" s="197">
        <v>0.875</v>
      </c>
    </row>
    <row r="53" spans="2:26">
      <c r="B53" s="11" t="str">
        <f ca="1">IF(AND(AnzSpiele&gt;0,K46&lt;&gt;""),K46,"")</f>
        <v>Kroatië</v>
      </c>
      <c r="C53" s="12" t="str">
        <f ca="1">IF(AND(AnzSpiele&gt;0,N46&lt;&gt;""),N46,"")</f>
        <v>Polen</v>
      </c>
      <c r="E53" s="11" t="str">
        <f ca="1">IF(AND(AnzSpiele&gt;0,Q45&lt;&gt;""),Q45,"")</f>
        <v>Frankrijk</v>
      </c>
      <c r="F53" s="12" t="str">
        <f ca="1">IF(AnzSpiele&gt;0,VLOOKUP(VLOOKUP(GrpKombi,GrpKombin,5,0),CHOOSE({1,2},Gruppendritte!$I$4:$I$9,Gruppendritte!$C$4:$C$9),2,0),"")</f>
        <v>Turkije</v>
      </c>
      <c r="H53" s="11" t="str">
        <f ca="1">IF(AND(AnzSpiele&gt;0,B45&lt;&gt;""),B45,"")</f>
        <v>Italië</v>
      </c>
      <c r="I53" s="12" t="str">
        <f ca="1">IF(AND(AnzSpiele&gt;0,H46&lt;&gt;""),H46,"")</f>
        <v>Oekraïne</v>
      </c>
      <c r="K53" s="11" t="str">
        <f ca="1">IF(AND(AnzSpiele&gt;0,E45&lt;&gt;""),E45,"")</f>
        <v>België</v>
      </c>
      <c r="L53" s="12" t="str">
        <f ca="1">IF(AnzSpiele&gt;0,VLOOKUP(VLOOKUP(GrpKombi,GrpKombin,2,0),CHOOSE({1,2},Gruppendritte!$I$4:$I$9,Gruppendritte!$C$4:$C$9),2,0),"")</f>
        <v>Zweden</v>
      </c>
      <c r="N53" s="11" t="str">
        <f ca="1">IF(AND(AnzSpiele&gt;0,B46&lt;&gt;""),B46,"")</f>
        <v>Zwitserland</v>
      </c>
      <c r="O53" s="225" t="str">
        <f ca="1">IF(AND(AnzSpiele&gt;0,E46&lt;&gt;""),E46,"")</f>
        <v>Rusland</v>
      </c>
      <c r="Q53" s="11" t="str">
        <f ca="1">IF(AND(AnzSpiele&gt;0,H45&lt;&gt;""),H45,"")</f>
        <v>Nederland</v>
      </c>
      <c r="R53" s="12" t="str">
        <f ca="1">IF(AnzSpiele&gt;0,VLOOKUP(VLOOKUP(GrpKombi,GrpKombin,3,0),CHOOSE({1,2},Gruppendritte!$I$4:$I$9,Gruppendritte!$C$4:$C$9),2,0),"")</f>
        <v>Portugal</v>
      </c>
      <c r="T53" s="11" t="str">
        <f ca="1">IF(AND(AnzSpiele&gt;0,K45&lt;&gt;""),K45,"")</f>
        <v>Engeland</v>
      </c>
      <c r="U53" s="12" t="str">
        <f ca="1">IF(AND(AnzSpiele&gt;0,Q46&lt;&gt;""),Q46,"")</f>
        <v>Duitsland</v>
      </c>
      <c r="W53" s="11" t="str">
        <f ca="1">IF(AND(AnzSpiele&gt;0,N45&lt;&gt;""),N45,"")</f>
        <v>Spanje</v>
      </c>
      <c r="X53" s="12" t="str">
        <f ca="1">IF(AnzSpiele&gt;0,VLOOKUP(VLOOKUP(GrpKombi,GrpKombin,4,0),CHOOSE({1,2},Gruppendritte!$I$4:$I$9,Gruppendritte!$C$4:$C$9),2,0),"")</f>
        <v>Denemarken</v>
      </c>
    </row>
    <row r="54" spans="2:26" ht="15" thickBot="1">
      <c r="B54" s="33">
        <v>1</v>
      </c>
      <c r="C54" s="2">
        <v>0</v>
      </c>
      <c r="E54" s="33">
        <v>3</v>
      </c>
      <c r="F54" s="2">
        <v>0</v>
      </c>
      <c r="H54" s="33">
        <v>1</v>
      </c>
      <c r="I54" s="2">
        <v>0</v>
      </c>
      <c r="K54" s="33">
        <v>1</v>
      </c>
      <c r="L54" s="2">
        <v>0</v>
      </c>
      <c r="N54" s="33">
        <v>1</v>
      </c>
      <c r="O54" s="2">
        <v>0</v>
      </c>
      <c r="Q54" s="33">
        <v>1</v>
      </c>
      <c r="R54" s="2">
        <v>2</v>
      </c>
      <c r="T54" s="33">
        <v>3</v>
      </c>
      <c r="U54" s="2">
        <v>2</v>
      </c>
      <c r="W54" s="33">
        <v>2</v>
      </c>
      <c r="X54" s="2">
        <v>0</v>
      </c>
    </row>
    <row r="55" spans="2:26" s="15" customFormat="1" ht="12">
      <c r="B55" s="32" t="s">
        <v>17</v>
      </c>
      <c r="C55" s="17" t="s">
        <v>18</v>
      </c>
      <c r="D55" s="17"/>
      <c r="E55" s="17" t="s">
        <v>13</v>
      </c>
      <c r="F55" s="32" t="s">
        <v>41</v>
      </c>
      <c r="G55" s="17"/>
      <c r="H55" s="16" t="s">
        <v>8</v>
      </c>
      <c r="I55" s="32" t="s">
        <v>16</v>
      </c>
      <c r="J55" s="17"/>
      <c r="K55" s="17" t="s">
        <v>9</v>
      </c>
      <c r="L55" s="32" t="s">
        <v>40</v>
      </c>
      <c r="M55" s="17"/>
      <c r="N55" s="32" t="s">
        <v>14</v>
      </c>
      <c r="O55" s="16" t="s">
        <v>15</v>
      </c>
      <c r="P55" s="17"/>
      <c r="Q55" s="32" t="s">
        <v>10</v>
      </c>
      <c r="R55" s="17" t="s">
        <v>39</v>
      </c>
      <c r="S55" s="17"/>
      <c r="T55" s="32" t="s">
        <v>11</v>
      </c>
      <c r="U55" s="17" t="s">
        <v>19</v>
      </c>
      <c r="V55" s="17"/>
      <c r="W55" s="17" t="s">
        <v>12</v>
      </c>
      <c r="X55" s="32" t="s">
        <v>42</v>
      </c>
    </row>
    <row r="56" spans="2:26" s="15" customFormat="1" ht="12">
      <c r="B56" s="301" t="str">
        <f>IF(AND(B54&lt;&gt;"",C54&lt;&gt;"",B54=C54),"Invalid game result!","")</f>
        <v/>
      </c>
      <c r="C56" s="301"/>
      <c r="D56" s="17"/>
      <c r="E56" s="301" t="str">
        <f>IF(AND(E54&lt;&gt;"",F54&lt;&gt;"",E54=F54),"Invalid game result!","")</f>
        <v/>
      </c>
      <c r="F56" s="301"/>
      <c r="G56" s="17"/>
      <c r="H56" s="301" t="str">
        <f>IF(AND(H54&lt;&gt;"",I54&lt;&gt;"",H54=I54),"Invalid game result!","")</f>
        <v/>
      </c>
      <c r="I56" s="301"/>
      <c r="J56" s="17"/>
      <c r="K56" s="301" t="str">
        <f>IF(AND(K54&lt;&gt;"",L54&lt;&gt;"",K54=L54),"Invalid game result!","")</f>
        <v/>
      </c>
      <c r="L56" s="301"/>
      <c r="M56" s="17"/>
      <c r="N56" s="301" t="str">
        <f>IF(AND(N54&lt;&gt;"",O54&lt;&gt;"",N54=O54),"Invalid game result!","")</f>
        <v/>
      </c>
      <c r="O56" s="301"/>
      <c r="P56" s="17"/>
      <c r="Q56" s="301" t="str">
        <f>IF(AND(Q54&lt;&gt;"",R54&lt;&gt;"",Q54=R54),"Invalid game result!","")</f>
        <v/>
      </c>
      <c r="R56" s="301"/>
      <c r="S56" s="17"/>
      <c r="T56" s="301" t="str">
        <f>IF(AND(T54&lt;&gt;"",U54&lt;&gt;"",T54=U54),"Invalid game result!","")</f>
        <v/>
      </c>
      <c r="U56" s="301"/>
      <c r="V56" s="17"/>
      <c r="W56" s="301" t="str">
        <f>IF(AND(W54&lt;&gt;"",X54&lt;&gt;"",W54=X54),"Invalid game result!","")</f>
        <v/>
      </c>
      <c r="X56" s="301"/>
    </row>
    <row r="57" spans="2:26">
      <c r="B57" s="19"/>
      <c r="C57" s="18"/>
      <c r="E57" s="18"/>
      <c r="F57" s="19"/>
      <c r="H57" s="19"/>
      <c r="L57" s="19"/>
      <c r="N57" s="19"/>
      <c r="R57" s="19"/>
      <c r="T57" s="19"/>
      <c r="X57" s="19"/>
    </row>
    <row r="58" spans="2:26" ht="15.75" customHeight="1">
      <c r="B58" s="19"/>
      <c r="C58" s="295" t="s">
        <v>174</v>
      </c>
      <c r="D58" s="295"/>
      <c r="E58" s="295"/>
      <c r="F58" s="19"/>
      <c r="H58" s="19"/>
      <c r="I58" s="295" t="s">
        <v>175</v>
      </c>
      <c r="J58" s="295"/>
      <c r="K58" s="295"/>
      <c r="L58" s="19"/>
      <c r="N58" s="19"/>
      <c r="O58" s="295" t="s">
        <v>176</v>
      </c>
      <c r="P58" s="295"/>
      <c r="Q58" s="295"/>
      <c r="R58" s="19"/>
      <c r="T58" s="19"/>
      <c r="U58" s="295" t="s">
        <v>177</v>
      </c>
      <c r="V58" s="295"/>
      <c r="W58" s="295"/>
      <c r="X58" s="19"/>
    </row>
    <row r="59" spans="2:26" ht="15.75" customHeight="1">
      <c r="C59" s="291" t="s">
        <v>43</v>
      </c>
      <c r="D59" s="289"/>
      <c r="E59" s="292"/>
      <c r="I59" s="291" t="s">
        <v>184</v>
      </c>
      <c r="J59" s="289"/>
      <c r="K59" s="292"/>
      <c r="O59" s="291" t="s">
        <v>33</v>
      </c>
      <c r="P59" s="289"/>
      <c r="Q59" s="292"/>
      <c r="U59" s="291" t="s">
        <v>181</v>
      </c>
      <c r="V59" s="289"/>
      <c r="W59" s="292"/>
    </row>
    <row r="60" spans="2:26">
      <c r="C60" s="196">
        <v>44379</v>
      </c>
      <c r="D60" s="19"/>
      <c r="E60" s="197">
        <v>0.75</v>
      </c>
      <c r="I60" s="196">
        <v>44379</v>
      </c>
      <c r="J60" s="19"/>
      <c r="K60" s="197">
        <v>0.875</v>
      </c>
      <c r="O60" s="196">
        <v>44380</v>
      </c>
      <c r="P60" s="19"/>
      <c r="Q60" s="197">
        <v>0.75</v>
      </c>
      <c r="U60" s="196">
        <v>44380</v>
      </c>
      <c r="V60" s="19"/>
      <c r="W60" s="197">
        <v>0.875</v>
      </c>
    </row>
    <row r="61" spans="2:26">
      <c r="C61" s="11" t="str">
        <f ca="1">IF(OR(B54="",C54="",B54=C54),"",IF(B54&gt;C54,B53,C53))</f>
        <v>Kroatië</v>
      </c>
      <c r="D61" s="19"/>
      <c r="E61" s="12" t="str">
        <f ca="1">IF(OR(E54="",F54="",E54=F54),"",IF(E54&gt;F54,E53,F53))</f>
        <v>Frankrijk</v>
      </c>
      <c r="I61" s="11" t="str">
        <f ca="1">IF(OR(H54="",I54="",H54=I54),"",IF(H54&gt;I54,H53,I53))</f>
        <v>Italië</v>
      </c>
      <c r="J61" s="19"/>
      <c r="K61" s="12" t="str">
        <f ca="1">IF(OR(K54="",L54="",K54=L54),"",IF(K54&gt;L54,K53,L53))</f>
        <v>België</v>
      </c>
      <c r="O61" s="11" t="str">
        <f ca="1">IF(OR(N54="",O54="",N54=O54),"",IF(N54&gt;O54,N53,O53))</f>
        <v>Zwitserland</v>
      </c>
      <c r="P61" s="19"/>
      <c r="Q61" s="12" t="str">
        <f ca="1">IF(OR(Q54="",R54="",Q54=R54),"",IF(Q54&gt;R54,Q53,R53))</f>
        <v>Portugal</v>
      </c>
      <c r="U61" s="11" t="str">
        <f ca="1">IF(OR(T54="",U54="",T54=U54),"",IF(T54&gt;U54,T53,U53))</f>
        <v>Engeland</v>
      </c>
      <c r="V61" s="19"/>
      <c r="W61" s="12" t="str">
        <f ca="1">IF(OR(W54="",X54="",W54=X54),"",IF(W54&gt;X54,W53,X53))</f>
        <v>Spanje</v>
      </c>
    </row>
    <row r="62" spans="2:26" ht="15" thickBot="1">
      <c r="C62" s="1">
        <v>1</v>
      </c>
      <c r="D62" s="20"/>
      <c r="E62" s="3">
        <v>2</v>
      </c>
      <c r="I62" s="1">
        <v>6</v>
      </c>
      <c r="J62" s="20"/>
      <c r="K62" s="3">
        <v>5</v>
      </c>
      <c r="O62" s="1">
        <v>1</v>
      </c>
      <c r="P62" s="20"/>
      <c r="Q62" s="3">
        <v>2</v>
      </c>
      <c r="U62" s="1">
        <v>3</v>
      </c>
      <c r="V62" s="20"/>
      <c r="W62" s="3">
        <v>1</v>
      </c>
    </row>
    <row r="63" spans="2:26" s="15" customFormat="1" ht="12">
      <c r="C63" s="17" t="s">
        <v>185</v>
      </c>
      <c r="D63" s="21"/>
      <c r="E63" s="17" t="s">
        <v>186</v>
      </c>
      <c r="F63" s="22"/>
      <c r="G63" s="22"/>
      <c r="H63" s="22"/>
      <c r="I63" s="17" t="s">
        <v>187</v>
      </c>
      <c r="J63" s="21"/>
      <c r="K63" s="17" t="s">
        <v>188</v>
      </c>
      <c r="L63" s="22"/>
      <c r="M63" s="22"/>
      <c r="N63" s="22"/>
      <c r="O63" s="17" t="s">
        <v>189</v>
      </c>
      <c r="P63" s="21"/>
      <c r="Q63" s="17" t="s">
        <v>190</v>
      </c>
      <c r="R63" s="22"/>
      <c r="S63" s="22"/>
      <c r="T63" s="22"/>
      <c r="U63" s="17" t="s">
        <v>191</v>
      </c>
      <c r="V63" s="21"/>
      <c r="W63" s="17" t="s">
        <v>192</v>
      </c>
    </row>
    <row r="64" spans="2:26" ht="12" customHeight="1">
      <c r="C64" s="272" t="str">
        <f>IF(AND(C62&lt;&gt;"",E62&lt;&gt;"",C62=E62),"Invalid game result!","")</f>
        <v/>
      </c>
      <c r="D64" s="272"/>
      <c r="E64" s="272"/>
      <c r="I64" s="272" t="str">
        <f>IF(AND(I62&lt;&gt;"",K62&lt;&gt;"",I62=K62),"Invalid game result!","")</f>
        <v/>
      </c>
      <c r="J64" s="272"/>
      <c r="K64" s="272"/>
      <c r="O64" s="272" t="str">
        <f>IF(AND(O62&lt;&gt;"",Q62&lt;&gt;"",O62=Q62),"Invalid game result!","")</f>
        <v/>
      </c>
      <c r="P64" s="272"/>
      <c r="Q64" s="272"/>
      <c r="U64" s="272" t="str">
        <f>IF(AND(U62&lt;&gt;"",W62&lt;&gt;"",U62=W62),"Invalid game result!","")</f>
        <v/>
      </c>
      <c r="V64" s="272"/>
      <c r="W64" s="272"/>
    </row>
    <row r="65" spans="2:23"/>
    <row r="66" spans="2:23" ht="15.6">
      <c r="F66" s="294" t="s">
        <v>178</v>
      </c>
      <c r="G66" s="295"/>
      <c r="H66" s="296"/>
      <c r="R66" s="294" t="s">
        <v>179</v>
      </c>
      <c r="S66" s="295"/>
      <c r="T66" s="296"/>
    </row>
    <row r="67" spans="2:23">
      <c r="F67" s="291" t="s">
        <v>36</v>
      </c>
      <c r="G67" s="289"/>
      <c r="H67" s="292"/>
      <c r="R67" s="291" t="s">
        <v>36</v>
      </c>
      <c r="S67" s="289"/>
      <c r="T67" s="292"/>
    </row>
    <row r="68" spans="2:23" ht="15.6">
      <c r="F68" s="196">
        <v>44383</v>
      </c>
      <c r="G68" s="19"/>
      <c r="H68" s="197">
        <v>0.875</v>
      </c>
      <c r="L68" s="83"/>
      <c r="M68" s="83"/>
      <c r="R68" s="196">
        <v>44384</v>
      </c>
      <c r="S68" s="19"/>
      <c r="T68" s="197">
        <v>0.875</v>
      </c>
    </row>
    <row r="69" spans="2:23">
      <c r="F69" s="11" t="str">
        <f ca="1">IF(OR(C62="",E62="",C62=E62),"",IF(C62&gt;E62,C61,E61))</f>
        <v>Frankrijk</v>
      </c>
      <c r="G69" s="19"/>
      <c r="H69" s="12" t="str">
        <f ca="1">IF(OR(I62="",K62="",I62=K62),"",IF(I62&gt;K62,I61,K61))</f>
        <v>Italië</v>
      </c>
      <c r="L69" s="84"/>
      <c r="M69" s="84"/>
      <c r="R69" s="11" t="str">
        <f ca="1">IF(OR(O62="",Q62="",O62=Q62),"",IF(O62&gt;Q62,O61,Q61))</f>
        <v>Portugal</v>
      </c>
      <c r="S69" s="19"/>
      <c r="T69" s="12" t="str">
        <f ca="1">IF(OR(U62="",W62="",U62=W62),"",IF(U62&gt;W62,U61,W61))</f>
        <v>Engeland</v>
      </c>
    </row>
    <row r="70" spans="2:23" ht="15" thickBot="1">
      <c r="F70" s="1">
        <v>2</v>
      </c>
      <c r="G70" s="20"/>
      <c r="H70" s="3">
        <v>1</v>
      </c>
      <c r="L70" s="30"/>
      <c r="M70" s="29"/>
      <c r="R70" s="1">
        <v>4</v>
      </c>
      <c r="S70" s="20"/>
      <c r="T70" s="3">
        <v>6</v>
      </c>
    </row>
    <row r="71" spans="2:23">
      <c r="F71" s="17" t="s">
        <v>193</v>
      </c>
      <c r="G71" s="21"/>
      <c r="H71" s="17" t="s">
        <v>194</v>
      </c>
      <c r="L71" s="31"/>
      <c r="M71" s="29"/>
      <c r="R71" s="17" t="s">
        <v>195</v>
      </c>
      <c r="S71" s="21"/>
      <c r="T71" s="17" t="s">
        <v>196</v>
      </c>
    </row>
    <row r="72" spans="2:23" ht="12" customHeight="1">
      <c r="F72" s="272" t="str">
        <f>IF(AND(F70&lt;&gt;"",H70&lt;&gt;"",F70=H70),"Invalid game result!","")</f>
        <v/>
      </c>
      <c r="G72" s="272"/>
      <c r="H72" s="272"/>
      <c r="L72" s="47"/>
      <c r="M72" s="29"/>
      <c r="N72" s="47"/>
      <c r="R72" s="272" t="str">
        <f>IF(AND(R70&lt;&gt;"",T70&lt;&gt;"",R70=T70),"Invalid game result!","")</f>
        <v/>
      </c>
      <c r="S72" s="272"/>
      <c r="T72" s="272"/>
    </row>
    <row r="73" spans="2:23">
      <c r="L73" s="17"/>
      <c r="M73" s="21"/>
      <c r="N73" s="17"/>
    </row>
    <row r="74" spans="2:23"/>
    <row r="75" spans="2:23" ht="15" thickBot="1"/>
    <row r="76" spans="2:23" ht="31.2">
      <c r="L76" s="285" t="s">
        <v>180</v>
      </c>
      <c r="M76" s="286"/>
      <c r="N76" s="287"/>
    </row>
    <row r="77" spans="2:23">
      <c r="L77" s="288" t="s">
        <v>36</v>
      </c>
      <c r="M77" s="289"/>
      <c r="N77" s="290"/>
    </row>
    <row r="78" spans="2:23">
      <c r="L78" s="198">
        <v>44388</v>
      </c>
      <c r="M78" s="19"/>
      <c r="N78" s="199">
        <v>0.875</v>
      </c>
    </row>
    <row r="79" spans="2:23">
      <c r="L79" s="23" t="str">
        <f ca="1">IF(OR(F70="",H70="",F70=H70),"",IF(F70&gt;H70,F69,H69))</f>
        <v>Frankrijk</v>
      </c>
      <c r="M79" s="19"/>
      <c r="N79" s="24" t="str">
        <f ca="1">IF(OR(R70="",T70="",R70=T70),"",IF(R70&gt;T70,R69,T69))</f>
        <v>Engeland</v>
      </c>
    </row>
    <row r="80" spans="2:23" ht="15" thickBot="1">
      <c r="B80" s="28"/>
      <c r="L80" s="4">
        <v>2</v>
      </c>
      <c r="M80" s="26"/>
      <c r="N80" s="5">
        <v>1</v>
      </c>
      <c r="U80" s="25"/>
      <c r="V80" s="25"/>
      <c r="W80" s="25"/>
    </row>
    <row r="81" spans="2:24">
      <c r="L81" s="17" t="s">
        <v>197</v>
      </c>
      <c r="M81" s="27"/>
      <c r="N81" s="17" t="s">
        <v>198</v>
      </c>
    </row>
    <row r="82" spans="2:24" ht="12" customHeight="1">
      <c r="L82" s="272" t="str">
        <f>IF(AND(L80&lt;&gt;"",N80&lt;&gt;"",L80=N80),"Invalid game result!","")</f>
        <v/>
      </c>
      <c r="M82" s="272"/>
      <c r="N82" s="272"/>
    </row>
    <row r="83" spans="2:24"/>
    <row r="84" spans="2:24">
      <c r="U84" s="297"/>
      <c r="V84" s="298"/>
      <c r="W84" s="298"/>
      <c r="X84" s="298"/>
    </row>
    <row r="85" spans="2:24">
      <c r="B85" s="281" t="s">
        <v>284</v>
      </c>
      <c r="C85" s="282"/>
      <c r="D85" s="282"/>
      <c r="T85" s="299" t="s">
        <v>281</v>
      </c>
      <c r="U85" s="300"/>
      <c r="V85" s="300"/>
      <c r="W85" s="300"/>
      <c r="X85" s="300"/>
    </row>
    <row r="86" spans="2:24"/>
  </sheetData>
  <sheetProtection sheet="1" selectLockedCells="1"/>
  <mergeCells count="155">
    <mergeCell ref="B34:C34"/>
    <mergeCell ref="E34:F34"/>
    <mergeCell ref="H34:I34"/>
    <mergeCell ref="K34:L34"/>
    <mergeCell ref="N34:O34"/>
    <mergeCell ref="Q34:R34"/>
    <mergeCell ref="W56:X56"/>
    <mergeCell ref="U59:W59"/>
    <mergeCell ref="T10:X25"/>
    <mergeCell ref="T46:U46"/>
    <mergeCell ref="W46:X46"/>
    <mergeCell ref="T50:U50"/>
    <mergeCell ref="H51:I51"/>
    <mergeCell ref="Q51:R51"/>
    <mergeCell ref="T51:U51"/>
    <mergeCell ref="T48:U48"/>
    <mergeCell ref="N50:O50"/>
    <mergeCell ref="H50:I50"/>
    <mergeCell ref="Q50:R50"/>
    <mergeCell ref="K50:L50"/>
    <mergeCell ref="E50:F50"/>
    <mergeCell ref="H46:I46"/>
    <mergeCell ref="K46:L46"/>
    <mergeCell ref="N46:O46"/>
    <mergeCell ref="N56:O56"/>
    <mergeCell ref="Q56:R56"/>
    <mergeCell ref="T56:U56"/>
    <mergeCell ref="H47:I47"/>
    <mergeCell ref="C58:E58"/>
    <mergeCell ref="I58:K58"/>
    <mergeCell ref="O58:Q58"/>
    <mergeCell ref="U58:W58"/>
    <mergeCell ref="N51:O51"/>
    <mergeCell ref="K47:L47"/>
    <mergeCell ref="N47:O47"/>
    <mergeCell ref="Q47:R47"/>
    <mergeCell ref="T47:U47"/>
    <mergeCell ref="B48:C48"/>
    <mergeCell ref="E48:F48"/>
    <mergeCell ref="H48:I48"/>
    <mergeCell ref="K48:L48"/>
    <mergeCell ref="N48:O48"/>
    <mergeCell ref="Q48:R48"/>
    <mergeCell ref="W51:X51"/>
    <mergeCell ref="B50:C50"/>
    <mergeCell ref="B85:D85"/>
    <mergeCell ref="W50:X50"/>
    <mergeCell ref="L76:N76"/>
    <mergeCell ref="L77:N77"/>
    <mergeCell ref="C59:E59"/>
    <mergeCell ref="I59:K59"/>
    <mergeCell ref="O59:Q59"/>
    <mergeCell ref="K51:L51"/>
    <mergeCell ref="B51:C51"/>
    <mergeCell ref="E51:F51"/>
    <mergeCell ref="F66:H66"/>
    <mergeCell ref="R66:T66"/>
    <mergeCell ref="F67:H67"/>
    <mergeCell ref="R67:T67"/>
    <mergeCell ref="U84:X84"/>
    <mergeCell ref="T85:X85"/>
    <mergeCell ref="B56:C56"/>
    <mergeCell ref="E56:F56"/>
    <mergeCell ref="C64:E64"/>
    <mergeCell ref="I64:K64"/>
    <mergeCell ref="O64:Q64"/>
    <mergeCell ref="L82:N82"/>
    <mergeCell ref="H56:I56"/>
    <mergeCell ref="K56:L56"/>
    <mergeCell ref="U64:W64"/>
    <mergeCell ref="F72:H72"/>
    <mergeCell ref="R72:T72"/>
    <mergeCell ref="T44:U44"/>
    <mergeCell ref="W44:X44"/>
    <mergeCell ref="B45:C45"/>
    <mergeCell ref="E45:F45"/>
    <mergeCell ref="H45:I45"/>
    <mergeCell ref="K45:L45"/>
    <mergeCell ref="N45:O45"/>
    <mergeCell ref="Q45:R45"/>
    <mergeCell ref="T45:U45"/>
    <mergeCell ref="W45:X45"/>
    <mergeCell ref="B44:C44"/>
    <mergeCell ref="E44:F44"/>
    <mergeCell ref="H44:I44"/>
    <mergeCell ref="K44:L44"/>
    <mergeCell ref="N44:O44"/>
    <mergeCell ref="Q44:R44"/>
    <mergeCell ref="B46:C46"/>
    <mergeCell ref="E46:F46"/>
    <mergeCell ref="Q46:R46"/>
    <mergeCell ref="B47:C47"/>
    <mergeCell ref="E47:F47"/>
    <mergeCell ref="B1:X1"/>
    <mergeCell ref="B8:C8"/>
    <mergeCell ref="E8:F8"/>
    <mergeCell ref="H8:I8"/>
    <mergeCell ref="K8:L8"/>
    <mergeCell ref="N8:O8"/>
    <mergeCell ref="Q8:R8"/>
    <mergeCell ref="B15:C15"/>
    <mergeCell ref="E15:F15"/>
    <mergeCell ref="H15:I15"/>
    <mergeCell ref="K15:L15"/>
    <mergeCell ref="N15:O15"/>
    <mergeCell ref="Q15:R15"/>
    <mergeCell ref="B10:C10"/>
    <mergeCell ref="E10:F10"/>
    <mergeCell ref="H10:I10"/>
    <mergeCell ref="K10:L10"/>
    <mergeCell ref="N10:O10"/>
    <mergeCell ref="Q10:R10"/>
    <mergeCell ref="T8:X8"/>
    <mergeCell ref="T2:X6"/>
    <mergeCell ref="B7:C7"/>
    <mergeCell ref="E7:F7"/>
    <mergeCell ref="H7:I7"/>
    <mergeCell ref="K7:L7"/>
    <mergeCell ref="N7:O7"/>
    <mergeCell ref="Q7:R7"/>
    <mergeCell ref="H25:I25"/>
    <mergeCell ref="K25:L25"/>
    <mergeCell ref="N25:O25"/>
    <mergeCell ref="Q25:R25"/>
    <mergeCell ref="B20:C20"/>
    <mergeCell ref="E20:F20"/>
    <mergeCell ref="H20:I20"/>
    <mergeCell ref="K20:L20"/>
    <mergeCell ref="N20:O20"/>
    <mergeCell ref="Q20:R20"/>
    <mergeCell ref="E25:F25"/>
    <mergeCell ref="B41:C41"/>
    <mergeCell ref="E41:F41"/>
    <mergeCell ref="H41:I41"/>
    <mergeCell ref="K41:L41"/>
    <mergeCell ref="N41:O41"/>
    <mergeCell ref="Q41:R41"/>
    <mergeCell ref="B25:C25"/>
    <mergeCell ref="T43:U43"/>
    <mergeCell ref="N37:O37"/>
    <mergeCell ref="Q37:R37"/>
    <mergeCell ref="B30:C30"/>
    <mergeCell ref="E30:F30"/>
    <mergeCell ref="H30:I30"/>
    <mergeCell ref="K30:L30"/>
    <mergeCell ref="N30:O30"/>
    <mergeCell ref="Q30:R30"/>
    <mergeCell ref="E37:F37"/>
    <mergeCell ref="B37:C37"/>
    <mergeCell ref="T33:X40"/>
    <mergeCell ref="T27:X27"/>
    <mergeCell ref="T28:X28"/>
    <mergeCell ref="T30:X30"/>
    <mergeCell ref="H37:I37"/>
    <mergeCell ref="K37:L37"/>
  </mergeCells>
  <conditionalFormatting sqref="T10">
    <cfRule type="expression" dxfId="92" priority="254">
      <formula>AND(T10=TODAY())</formula>
    </cfRule>
  </conditionalFormatting>
  <conditionalFormatting sqref="B11 E11">
    <cfRule type="expression" dxfId="91" priority="251">
      <formula>AND(B11=TODAY())</formula>
    </cfRule>
  </conditionalFormatting>
  <conditionalFormatting sqref="L70">
    <cfRule type="expression" dxfId="90" priority="250">
      <formula>AND(L70=TODAY())</formula>
    </cfRule>
  </conditionalFormatting>
  <conditionalFormatting sqref="C13:C14 F13:F14 I13:I14 L13:L14 O13:O14 R13:R14 C18:C19 F18:F19 I18:I19 L18:L19 O18:O19 R18:R19 C23:C24 F23:F24 I23:I24 L23:L24 O23:O24 R23:R24 C28:C29 F28:F29 I28:I29 L28:L29 O28:O29 R28:R29 C40 F40 I40 L40 O40 R40 C33 F33 I33 L33 O33 R33">
    <cfRule type="expression" dxfId="89" priority="145">
      <formula>AND(B11&lt;TODAY(),C13="")</formula>
    </cfRule>
  </conditionalFormatting>
  <conditionalFormatting sqref="B13:B14 E13:E14 H13:H14 K13:K14 N13:N14 Q13:Q14 B18:B19 E18:E19 H18:H19 K18:K19 N18:N19 Q18:Q19 B23:B24 E23:E24 H23:H24 K23:K24 N23:N24 Q23:Q24 B28:B29 E28:E29 H28:H29 K28:K29 N28:N29 Q28:Q29 B40 E40 H40 K40 N40 Q40 B33 E33 H33 K33 N33 Q33">
    <cfRule type="expression" dxfId="88" priority="144">
      <formula>AND(B11&lt;TODAY(),B13="")</formula>
    </cfRule>
  </conditionalFormatting>
  <conditionalFormatting sqref="C62 I62 O62 U62 F70 R70 L80">
    <cfRule type="expression" dxfId="87" priority="143">
      <formula>AND(C60&lt;TODAY(),C62="")</formula>
    </cfRule>
  </conditionalFormatting>
  <conditionalFormatting sqref="V52">
    <cfRule type="expression" dxfId="86" priority="141">
      <formula>AND(V52=TODAY())</formula>
    </cfRule>
  </conditionalFormatting>
  <conditionalFormatting sqref="E62 K62 Q62 W62 H70 T70 N80">
    <cfRule type="expression" dxfId="85" priority="140">
      <formula>AND(C60&lt;TODAY(),E62="")</formula>
    </cfRule>
  </conditionalFormatting>
  <conditionalFormatting sqref="B45:C48 E45:E48">
    <cfRule type="expression" dxfId="84" priority="90">
      <formula>AND(B$38&lt;TODAY(),B45="")</formula>
    </cfRule>
  </conditionalFormatting>
  <conditionalFormatting sqref="H45:H48">
    <cfRule type="expression" dxfId="83" priority="78">
      <formula>AND(H$38&lt;TODAY(),H45="")</formula>
    </cfRule>
  </conditionalFormatting>
  <conditionalFormatting sqref="K45:K48">
    <cfRule type="expression" dxfId="82" priority="77">
      <formula>AND(K$38&lt;TODAY(),K45="")</formula>
    </cfRule>
  </conditionalFormatting>
  <conditionalFormatting sqref="N45:N48">
    <cfRule type="expression" dxfId="81" priority="76">
      <formula>AND(N$38&lt;TODAY(),N45="")</formula>
    </cfRule>
  </conditionalFormatting>
  <conditionalFormatting sqref="Q45:Q48">
    <cfRule type="expression" dxfId="80" priority="75">
      <formula>AND(Q$38&lt;TODAY(),Q45="")</formula>
    </cfRule>
  </conditionalFormatting>
  <conditionalFormatting sqref="B54 E54 H54 K54 N54 Q54 T54 W54">
    <cfRule type="expression" dxfId="79" priority="61">
      <formula>AND(B52&lt;TODAY(),B54="")</formula>
    </cfRule>
  </conditionalFormatting>
  <conditionalFormatting sqref="C54 F54 I54 L54 O54 R54 U54 X54">
    <cfRule type="expression" dxfId="78" priority="60">
      <formula>AND(B52&lt;TODAY(),C54="")</formula>
    </cfRule>
  </conditionalFormatting>
  <conditionalFormatting sqref="B16">
    <cfRule type="expression" dxfId="77" priority="59">
      <formula>AND(B16=TODAY())</formula>
    </cfRule>
  </conditionalFormatting>
  <conditionalFormatting sqref="B21">
    <cfRule type="expression" dxfId="76" priority="58">
      <formula>AND(B21=TODAY())</formula>
    </cfRule>
  </conditionalFormatting>
  <conditionalFormatting sqref="B26">
    <cfRule type="expression" dxfId="75" priority="57">
      <formula>AND(B26=TODAY())</formula>
    </cfRule>
  </conditionalFormatting>
  <conditionalFormatting sqref="B31">
    <cfRule type="expression" dxfId="74" priority="56">
      <formula>AND(B31=TODAY())</formula>
    </cfRule>
  </conditionalFormatting>
  <conditionalFormatting sqref="B38">
    <cfRule type="expression" dxfId="73" priority="55">
      <formula>AND(B38=TODAY())</formula>
    </cfRule>
  </conditionalFormatting>
  <conditionalFormatting sqref="E16">
    <cfRule type="expression" dxfId="72" priority="54">
      <formula>AND(E16=TODAY())</formula>
    </cfRule>
  </conditionalFormatting>
  <conditionalFormatting sqref="E21">
    <cfRule type="expression" dxfId="71" priority="53">
      <formula>AND(E21=TODAY())</formula>
    </cfRule>
  </conditionalFormatting>
  <conditionalFormatting sqref="E26">
    <cfRule type="expression" dxfId="70" priority="52">
      <formula>AND(E26=TODAY())</formula>
    </cfRule>
  </conditionalFormatting>
  <conditionalFormatting sqref="E31">
    <cfRule type="expression" dxfId="69" priority="51">
      <formula>AND(E31=TODAY())</formula>
    </cfRule>
  </conditionalFormatting>
  <conditionalFormatting sqref="E38">
    <cfRule type="expression" dxfId="68" priority="50">
      <formula>AND(E38=TODAY())</formula>
    </cfRule>
  </conditionalFormatting>
  <conditionalFormatting sqref="H11">
    <cfRule type="expression" dxfId="67" priority="49">
      <formula>AND(H11=TODAY())</formula>
    </cfRule>
  </conditionalFormatting>
  <conditionalFormatting sqref="H16">
    <cfRule type="expression" dxfId="66" priority="48">
      <formula>AND(H16=TODAY())</formula>
    </cfRule>
  </conditionalFormatting>
  <conditionalFormatting sqref="H21">
    <cfRule type="expression" dxfId="65" priority="47">
      <formula>AND(H21=TODAY())</formula>
    </cfRule>
  </conditionalFormatting>
  <conditionalFormatting sqref="H26">
    <cfRule type="expression" dxfId="64" priority="46">
      <formula>AND(H26=TODAY())</formula>
    </cfRule>
  </conditionalFormatting>
  <conditionalFormatting sqref="H31">
    <cfRule type="expression" dxfId="63" priority="45">
      <formula>AND(H31=TODAY())</formula>
    </cfRule>
  </conditionalFormatting>
  <conditionalFormatting sqref="H38">
    <cfRule type="expression" dxfId="62" priority="44">
      <formula>AND(H38=TODAY())</formula>
    </cfRule>
  </conditionalFormatting>
  <conditionalFormatting sqref="K11">
    <cfRule type="expression" dxfId="61" priority="43">
      <formula>AND(K11=TODAY())</formula>
    </cfRule>
  </conditionalFormatting>
  <conditionalFormatting sqref="K16">
    <cfRule type="expression" dxfId="60" priority="42">
      <formula>AND(K16=TODAY())</formula>
    </cfRule>
  </conditionalFormatting>
  <conditionalFormatting sqref="K21">
    <cfRule type="expression" dxfId="59" priority="41">
      <formula>AND(K21=TODAY())</formula>
    </cfRule>
  </conditionalFormatting>
  <conditionalFormatting sqref="K26">
    <cfRule type="expression" dxfId="58" priority="40">
      <formula>AND(K26=TODAY())</formula>
    </cfRule>
  </conditionalFormatting>
  <conditionalFormatting sqref="K31">
    <cfRule type="expression" dxfId="57" priority="39">
      <formula>AND(K31=TODAY())</formula>
    </cfRule>
  </conditionalFormatting>
  <conditionalFormatting sqref="K38">
    <cfRule type="expression" dxfId="56" priority="38">
      <formula>AND(K38=TODAY())</formula>
    </cfRule>
  </conditionalFormatting>
  <conditionalFormatting sqref="N11">
    <cfRule type="expression" dxfId="55" priority="37">
      <formula>AND(N11=TODAY())</formula>
    </cfRule>
  </conditionalFormatting>
  <conditionalFormatting sqref="N16">
    <cfRule type="expression" dxfId="54" priority="36">
      <formula>AND(N16=TODAY())</formula>
    </cfRule>
  </conditionalFormatting>
  <conditionalFormatting sqref="N21">
    <cfRule type="expression" dxfId="53" priority="35">
      <formula>AND(N21=TODAY())</formula>
    </cfRule>
  </conditionalFormatting>
  <conditionalFormatting sqref="N26">
    <cfRule type="expression" dxfId="52" priority="34">
      <formula>AND(N26=TODAY())</formula>
    </cfRule>
  </conditionalFormatting>
  <conditionalFormatting sqref="N31">
    <cfRule type="expression" dxfId="51" priority="33">
      <formula>AND(N31=TODAY())</formula>
    </cfRule>
  </conditionalFormatting>
  <conditionalFormatting sqref="N38">
    <cfRule type="expression" dxfId="50" priority="32">
      <formula>AND(N38=TODAY())</formula>
    </cfRule>
  </conditionalFormatting>
  <conditionalFormatting sqref="Q11">
    <cfRule type="expression" dxfId="49" priority="31">
      <formula>AND(Q11=TODAY())</formula>
    </cfRule>
  </conditionalFormatting>
  <conditionalFormatting sqref="Q16">
    <cfRule type="expression" dxfId="48" priority="30">
      <formula>AND(Q16=TODAY())</formula>
    </cfRule>
  </conditionalFormatting>
  <conditionalFormatting sqref="Q21">
    <cfRule type="expression" dxfId="47" priority="29">
      <formula>AND(Q21=TODAY())</formula>
    </cfRule>
  </conditionalFormatting>
  <conditionalFormatting sqref="Q26">
    <cfRule type="expression" dxfId="46" priority="28">
      <formula>AND(Q26=TODAY())</formula>
    </cfRule>
  </conditionalFormatting>
  <conditionalFormatting sqref="Q31">
    <cfRule type="expression" dxfId="45" priority="27">
      <formula>AND(Q31=TODAY())</formula>
    </cfRule>
  </conditionalFormatting>
  <conditionalFormatting sqref="Q38">
    <cfRule type="expression" dxfId="44" priority="26">
      <formula>AND(Q38=TODAY())</formula>
    </cfRule>
  </conditionalFormatting>
  <conditionalFormatting sqref="B52">
    <cfRule type="expression" dxfId="43" priority="25">
      <formula>AND(B52=TODAY())</formula>
    </cfRule>
  </conditionalFormatting>
  <conditionalFormatting sqref="E52">
    <cfRule type="expression" dxfId="42" priority="24">
      <formula>AND(E52=TODAY())</formula>
    </cfRule>
  </conditionalFormatting>
  <conditionalFormatting sqref="H52">
    <cfRule type="expression" dxfId="41" priority="23">
      <formula>AND(H52=TODAY())</formula>
    </cfRule>
  </conditionalFormatting>
  <conditionalFormatting sqref="K52">
    <cfRule type="expression" dxfId="40" priority="22">
      <formula>AND(K52=TODAY())</formula>
    </cfRule>
  </conditionalFormatting>
  <conditionalFormatting sqref="N52">
    <cfRule type="expression" dxfId="39" priority="21">
      <formula>AND(N52=TODAY())</formula>
    </cfRule>
  </conditionalFormatting>
  <conditionalFormatting sqref="Q52">
    <cfRule type="expression" dxfId="38" priority="20">
      <formula>AND(Q52=TODAY())</formula>
    </cfRule>
  </conditionalFormatting>
  <conditionalFormatting sqref="T52">
    <cfRule type="expression" dxfId="37" priority="19">
      <formula>AND(T52=TODAY())</formula>
    </cfRule>
  </conditionalFormatting>
  <conditionalFormatting sqref="W52">
    <cfRule type="expression" dxfId="36" priority="18">
      <formula>AND(W52=TODAY())</formula>
    </cfRule>
  </conditionalFormatting>
  <conditionalFormatting sqref="U60">
    <cfRule type="expression" dxfId="35" priority="17">
      <formula>AND(U60=TODAY())</formula>
    </cfRule>
  </conditionalFormatting>
  <conditionalFormatting sqref="O60">
    <cfRule type="expression" dxfId="34" priority="16">
      <formula>AND(O60=TODAY())</formula>
    </cfRule>
  </conditionalFormatting>
  <conditionalFormatting sqref="I60">
    <cfRule type="expression" dxfId="33" priority="15">
      <formula>AND(I60=TODAY())</formula>
    </cfRule>
  </conditionalFormatting>
  <conditionalFormatting sqref="C60">
    <cfRule type="expression" dxfId="32" priority="14">
      <formula>AND(C60=TODAY())</formula>
    </cfRule>
  </conditionalFormatting>
  <conditionalFormatting sqref="F68">
    <cfRule type="expression" dxfId="31" priority="13">
      <formula>AND(F68=TODAY())</formula>
    </cfRule>
  </conditionalFormatting>
  <conditionalFormatting sqref="R68">
    <cfRule type="expression" dxfId="30" priority="12">
      <formula>AND(R68=TODAY())</formula>
    </cfRule>
  </conditionalFormatting>
  <conditionalFormatting sqref="L78">
    <cfRule type="expression" dxfId="29" priority="11">
      <formula>AND(L78=TODAY())</formula>
    </cfRule>
  </conditionalFormatting>
  <dataValidations count="3">
    <dataValidation type="whole" allowBlank="1" showInputMessage="1" showErrorMessage="1" sqref="B13:C14 E13:F14 H13:I14 K13:L14 N13:O14 Q13:R14 Q18:R19 N18:O19 K18:L19 H18:I19 E18:F19 B18:C19 B23:C24 E23:F24 H23:I24 K23:L24 N23:O24 Q23:R24 Q28:R29 N28:O29 K28:L29 H28:I29 E28:F29 B28:C29 E33:F33 H33:I33 K33:L33 N33:O33 Q33:R33 Q42:R42 L80 N54:O54 H54:I54 Q54:R54 K54:L54 B54:C54 E54:F54 T54:U54 W54:X54 W62 U62 Q62 O62 K62 I62 E62 C62 F70 H70 R70 T70 N80 B42:C42 E42:F42 H42:I42 K42:L42 N42:O42 B40:C40 E40:F40 H40:I40 K40:L40 N40:O40 Q40:R40 B33:C33 Q35:R36 B35:C36 E35:F36 H35:I36 K35:L36 N35:O36" xr:uid="{281686A2-0182-4C92-ACD3-E0E7C826DF91}">
      <formula1>0</formula1>
      <formula2>99</formula2>
    </dataValidation>
    <dataValidation type="textLength" operator="lessThanOrEqual" allowBlank="1" showInputMessage="1" showErrorMessage="1" sqref="V45:V48" xr:uid="{BF23ECB7-D8FA-4C48-8AAC-3DCEB5D7582D}">
      <formula1>1</formula1>
    </dataValidation>
    <dataValidation allowBlank="1" showInputMessage="1" showErrorMessage="1" sqref="N41:O41 Q41:R41 H41:I41 K41:L41 B41:C41 E41:F41 K34:L34 N34:O34 E34:F34 H34:I34 B34:C34 Q34:R34" xr:uid="{751B0935-BD7E-4033-995A-F47473ADF6FD}"/>
  </dataValidations>
  <hyperlinks>
    <hyperlink ref="T85" r:id="rId1" xr:uid="{8C5C8D1D-BB5F-453F-A4E2-3EEDF508E671}"/>
  </hyperlinks>
  <pageMargins left="0.7" right="0.7" top="0.78740157499999996" bottom="0.78740157499999996" header="0.3" footer="0.3"/>
  <pageSetup paperSize="9" orientation="portrait" horizontalDpi="0" verticalDpi="0" r:id="rId2"/>
  <extLst>
    <ext xmlns:x14="http://schemas.microsoft.com/office/spreadsheetml/2009/9/main" uri="{78C0D931-6437-407d-A8EE-F0AAD7539E65}">
      <x14:conditionalFormattings>
        <x14:conditionalFormatting xmlns:xm="http://schemas.microsoft.com/office/excel/2006/main">
          <x14:cfRule type="expression" priority="89" id="{00000000-000E-0000-0000-000011000000}">
            <xm:f>GrpA!$X$11&gt;0</xm:f>
            <x14:dxf>
              <font>
                <color rgb="FFC00000"/>
              </font>
            </x14:dxf>
          </x14:cfRule>
          <xm:sqref>B41:C41</xm:sqref>
        </x14:conditionalFormatting>
        <x14:conditionalFormatting xmlns:xm="http://schemas.microsoft.com/office/excel/2006/main">
          <x14:cfRule type="expression" priority="74" id="{59B8F943-952F-4585-8A9C-EA1EDE6AE1B3}">
            <xm:f>AND(Eindeutigkeit!$D$4=0,Gruppendritte!$I$21=0)</xm:f>
            <x14:dxf>
              <font>
                <color theme="9" tint="-0.24994659260841701"/>
              </font>
            </x14:dxf>
          </x14:cfRule>
          <xm:sqref>T28:X29</xm:sqref>
        </x14:conditionalFormatting>
        <x14:conditionalFormatting xmlns:xm="http://schemas.microsoft.com/office/excel/2006/main">
          <x14:cfRule type="expression" priority="73" id="{11658442-4353-4C1F-81DF-4226E8FD9503}">
            <xm:f>AND(Eindeutigkeit!$D$4=0,Gruppendritte!$I$21=0)</xm:f>
            <x14:dxf>
              <font>
                <color theme="9" tint="-0.24994659260841701"/>
              </font>
            </x14:dxf>
          </x14:cfRule>
          <xm:sqref>T30:X30</xm:sqref>
        </x14:conditionalFormatting>
        <x14:conditionalFormatting xmlns:xm="http://schemas.microsoft.com/office/excel/2006/main">
          <x14:cfRule type="expression" priority="71" id="{B27A39D0-8549-4CF9-90DD-FD37A890A1C5}">
            <xm:f>GrpB!$X$11&gt;0</xm:f>
            <x14:dxf>
              <font>
                <color rgb="FFC00000"/>
              </font>
            </x14:dxf>
          </x14:cfRule>
          <xm:sqref>E41:F41</xm:sqref>
        </x14:conditionalFormatting>
        <x14:conditionalFormatting xmlns:xm="http://schemas.microsoft.com/office/excel/2006/main">
          <x14:cfRule type="expression" priority="70" id="{9FF6DB88-EB3E-43CE-8B9B-1EB2A9306903}">
            <xm:f>GrpC!$X$11&gt;0</xm:f>
            <x14:dxf>
              <font>
                <color rgb="FFC00000"/>
              </font>
            </x14:dxf>
          </x14:cfRule>
          <xm:sqref>H41:I41</xm:sqref>
        </x14:conditionalFormatting>
        <x14:conditionalFormatting xmlns:xm="http://schemas.microsoft.com/office/excel/2006/main">
          <x14:cfRule type="expression" priority="69" id="{C12EB46F-52D4-415B-A4B2-FC3422824EED}">
            <xm:f>GrpD!$X$11&gt;0</xm:f>
            <x14:dxf>
              <font>
                <color rgb="FFC00000"/>
              </font>
            </x14:dxf>
          </x14:cfRule>
          <xm:sqref>K41:L41</xm:sqref>
        </x14:conditionalFormatting>
        <x14:conditionalFormatting xmlns:xm="http://schemas.microsoft.com/office/excel/2006/main">
          <x14:cfRule type="expression" priority="68" id="{8A70A784-0681-4E89-808A-52F31B3D3395}">
            <xm:f>GrpE!$X$11&gt;0</xm:f>
            <x14:dxf>
              <font>
                <color rgb="FFC00000"/>
              </font>
            </x14:dxf>
          </x14:cfRule>
          <xm:sqref>N41:O41</xm:sqref>
        </x14:conditionalFormatting>
        <x14:conditionalFormatting xmlns:xm="http://schemas.microsoft.com/office/excel/2006/main">
          <x14:cfRule type="expression" priority="67" id="{2B804AE5-C2E6-4255-9473-C2D763F02CB9}">
            <xm:f>GrpF!$X$11&gt;0</xm:f>
            <x14:dxf>
              <font>
                <color rgb="FFC00000"/>
              </font>
            </x14:dxf>
          </x14:cfRule>
          <xm:sqref>Q41:R41</xm:sqref>
        </x14:conditionalFormatting>
        <x14:conditionalFormatting xmlns:xm="http://schemas.microsoft.com/office/excel/2006/main">
          <x14:cfRule type="expression" priority="10" id="{DA0A003C-7DA9-4A33-A7C4-B9138AACC07E}">
            <xm:f>GrpA!$X$12&gt;0</xm:f>
            <x14:dxf>
              <font>
                <color rgb="FFC00000"/>
              </font>
            </x14:dxf>
          </x14:cfRule>
          <xm:sqref>B34:C34</xm:sqref>
        </x14:conditionalFormatting>
        <x14:conditionalFormatting xmlns:xm="http://schemas.microsoft.com/office/excel/2006/main">
          <x14:cfRule type="expression" priority="9" id="{5447D282-0806-4FD1-A0C5-E78E6CBCB891}">
            <xm:f>GrpB!$X$12&gt;0</xm:f>
            <x14:dxf>
              <font>
                <color rgb="FFC00000"/>
              </font>
            </x14:dxf>
          </x14:cfRule>
          <xm:sqref>E34:F34</xm:sqref>
        </x14:conditionalFormatting>
        <x14:conditionalFormatting xmlns:xm="http://schemas.microsoft.com/office/excel/2006/main">
          <x14:cfRule type="expression" priority="4" id="{90A3AEDA-BD18-4DF0-9A67-E40D3C02DE97}">
            <xm:f>GrpC!$X$12&gt;0</xm:f>
            <x14:dxf>
              <font>
                <color rgb="FFC00000"/>
              </font>
            </x14:dxf>
          </x14:cfRule>
          <xm:sqref>H34:I34</xm:sqref>
        </x14:conditionalFormatting>
        <x14:conditionalFormatting xmlns:xm="http://schemas.microsoft.com/office/excel/2006/main">
          <x14:cfRule type="expression" priority="3" id="{7574A198-3BE5-4800-8A46-B724AE424AD0}">
            <xm:f>GrpD!$X$12&gt;0</xm:f>
            <x14:dxf>
              <font>
                <color rgb="FFC00000"/>
              </font>
            </x14:dxf>
          </x14:cfRule>
          <xm:sqref>K34:L34</xm:sqref>
        </x14:conditionalFormatting>
        <x14:conditionalFormatting xmlns:xm="http://schemas.microsoft.com/office/excel/2006/main">
          <x14:cfRule type="expression" priority="2" id="{850A1FAA-98CF-4FAE-ABD3-1ECCFBA3D186}">
            <xm:f>GrpE!$X$12&gt;0</xm:f>
            <x14:dxf>
              <font>
                <color rgb="FFC00000"/>
              </font>
            </x14:dxf>
          </x14:cfRule>
          <xm:sqref>N34:O34</xm:sqref>
        </x14:conditionalFormatting>
        <x14:conditionalFormatting xmlns:xm="http://schemas.microsoft.com/office/excel/2006/main">
          <x14:cfRule type="expression" priority="1" id="{08065D70-33BB-4BA9-9673-864BEB516EA4}">
            <xm:f>GrpF!$X$12&gt;0</xm:f>
            <x14:dxf>
              <font>
                <color rgb="FFC00000"/>
              </font>
            </x14:dxf>
          </x14:cfRule>
          <xm:sqref>Q34:R34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B99E-B8E2-424D-8FCE-C81BF3897CAE}">
  <sheetPr codeName="Tabelle1"/>
  <dimension ref="B1:H35"/>
  <sheetViews>
    <sheetView showGridLines="0" showRowColHeaders="0" topLeftCell="A14" workbookViewId="0">
      <selection activeCell="H34" sqref="H34"/>
    </sheetView>
  </sheetViews>
  <sheetFormatPr defaultColWidth="10.88671875" defaultRowHeight="14.4"/>
  <cols>
    <col min="1" max="1" width="19.21875" customWidth="1"/>
    <col min="2" max="2" width="11.44140625" hidden="1" customWidth="1"/>
    <col min="3" max="3" width="17.21875" hidden="1" customWidth="1"/>
    <col min="4" max="8" width="18.77734375" customWidth="1"/>
  </cols>
  <sheetData>
    <row r="1" spans="2:8" ht="28.8">
      <c r="D1" s="316" t="s">
        <v>237</v>
      </c>
      <c r="E1" s="316"/>
      <c r="F1" s="316"/>
      <c r="G1" s="316"/>
      <c r="H1" s="316"/>
    </row>
    <row r="2" spans="2:8" ht="32.25" customHeight="1" thickBot="1">
      <c r="D2" s="317" t="s">
        <v>238</v>
      </c>
      <c r="E2" s="317"/>
      <c r="F2" s="317"/>
      <c r="G2" s="317"/>
      <c r="H2" s="317"/>
    </row>
    <row r="3" spans="2:8" ht="15" thickTop="1">
      <c r="B3" s="50" t="b">
        <v>0</v>
      </c>
      <c r="C3" s="50"/>
      <c r="D3" s="200"/>
      <c r="E3" s="201"/>
      <c r="F3" s="202"/>
      <c r="G3" s="203"/>
      <c r="H3" s="204"/>
    </row>
    <row r="4" spans="2:8">
      <c r="B4" s="50" t="b">
        <v>0</v>
      </c>
      <c r="C4" s="50"/>
      <c r="D4" s="205"/>
      <c r="E4" s="206"/>
      <c r="F4" s="207"/>
      <c r="G4" s="208"/>
      <c r="H4" s="209"/>
    </row>
    <row r="5" spans="2:8" ht="15.6">
      <c r="B5" s="50" t="b">
        <v>0</v>
      </c>
      <c r="C5" s="50"/>
      <c r="D5" s="318" t="s">
        <v>126</v>
      </c>
      <c r="E5" s="319"/>
      <c r="F5" s="319"/>
      <c r="G5" s="319"/>
      <c r="H5" s="320"/>
    </row>
    <row r="6" spans="2:8">
      <c r="B6" s="50" t="b">
        <v>0</v>
      </c>
      <c r="C6" s="50" t="str">
        <f>IF($B$3,D6,IF($B$4,E6,IF($B$5,F6,IF($B$6,G6,IF(H6&lt;&gt;"",H6,D6)))))</f>
        <v>Turkije</v>
      </c>
      <c r="D6" s="210" t="s">
        <v>213</v>
      </c>
      <c r="E6" s="211" t="s">
        <v>217</v>
      </c>
      <c r="F6" s="212" t="s">
        <v>239</v>
      </c>
      <c r="G6" s="213" t="s">
        <v>240</v>
      </c>
      <c r="H6" s="214" t="s">
        <v>290</v>
      </c>
    </row>
    <row r="7" spans="2:8">
      <c r="B7" s="50" t="b">
        <v>1</v>
      </c>
      <c r="C7" s="50" t="str">
        <f t="shared" ref="C7:C34" si="0">IF($B$3,D7,IF($B$4,E7,IF($B$5,F7,IF($B$6,G7,IF(H7&lt;&gt;"",H7,D7)))))</f>
        <v>Italië</v>
      </c>
      <c r="D7" s="210" t="s">
        <v>214</v>
      </c>
      <c r="E7" s="211" t="s">
        <v>218</v>
      </c>
      <c r="F7" s="212" t="s">
        <v>218</v>
      </c>
      <c r="G7" s="213" t="s">
        <v>241</v>
      </c>
      <c r="H7" s="214" t="s">
        <v>291</v>
      </c>
    </row>
    <row r="8" spans="2:8">
      <c r="B8" s="50"/>
      <c r="C8" s="50" t="str">
        <f t="shared" si="0"/>
        <v>Wales</v>
      </c>
      <c r="D8" s="210" t="s">
        <v>215</v>
      </c>
      <c r="E8" s="211" t="s">
        <v>219</v>
      </c>
      <c r="F8" s="212" t="s">
        <v>242</v>
      </c>
      <c r="G8" s="213" t="s">
        <v>243</v>
      </c>
      <c r="H8" s="214" t="s">
        <v>215</v>
      </c>
    </row>
    <row r="9" spans="2:8">
      <c r="B9" s="50"/>
      <c r="C9" s="50" t="str">
        <f t="shared" si="0"/>
        <v>Zwitserland</v>
      </c>
      <c r="D9" s="215" t="s">
        <v>216</v>
      </c>
      <c r="E9" s="216" t="s">
        <v>220</v>
      </c>
      <c r="F9" s="217" t="s">
        <v>244</v>
      </c>
      <c r="G9" s="218" t="s">
        <v>245</v>
      </c>
      <c r="H9" s="219" t="s">
        <v>292</v>
      </c>
    </row>
    <row r="10" spans="2:8" ht="15.6">
      <c r="B10" s="50"/>
      <c r="C10" s="50"/>
      <c r="D10" s="313" t="s">
        <v>129</v>
      </c>
      <c r="E10" s="314"/>
      <c r="F10" s="314"/>
      <c r="G10" s="314"/>
      <c r="H10" s="315"/>
    </row>
    <row r="11" spans="2:8">
      <c r="B11" s="50"/>
      <c r="C11" s="50" t="str">
        <f t="shared" si="0"/>
        <v>Denemarken</v>
      </c>
      <c r="D11" s="210" t="s">
        <v>151</v>
      </c>
      <c r="E11" s="211" t="s">
        <v>221</v>
      </c>
      <c r="F11" s="212" t="s">
        <v>246</v>
      </c>
      <c r="G11" s="213" t="s">
        <v>247</v>
      </c>
      <c r="H11" s="214" t="s">
        <v>293</v>
      </c>
    </row>
    <row r="12" spans="2:8">
      <c r="B12" s="50"/>
      <c r="C12" s="50" t="str">
        <f t="shared" si="0"/>
        <v>Finland</v>
      </c>
      <c r="D12" s="210" t="s">
        <v>154</v>
      </c>
      <c r="E12" s="211" t="s">
        <v>222</v>
      </c>
      <c r="F12" s="212" t="s">
        <v>222</v>
      </c>
      <c r="G12" s="213" t="s">
        <v>248</v>
      </c>
      <c r="H12" s="214" t="s">
        <v>154</v>
      </c>
    </row>
    <row r="13" spans="2:8">
      <c r="B13" s="50"/>
      <c r="C13" s="50" t="str">
        <f t="shared" si="0"/>
        <v>België</v>
      </c>
      <c r="D13" s="210" t="s">
        <v>143</v>
      </c>
      <c r="E13" s="211" t="s">
        <v>223</v>
      </c>
      <c r="F13" s="212" t="s">
        <v>249</v>
      </c>
      <c r="G13" s="213" t="s">
        <v>250</v>
      </c>
      <c r="H13" s="214" t="s">
        <v>294</v>
      </c>
    </row>
    <row r="14" spans="2:8">
      <c r="B14" s="50"/>
      <c r="C14" s="50" t="str">
        <f t="shared" si="0"/>
        <v>Rusland</v>
      </c>
      <c r="D14" s="215" t="s">
        <v>150</v>
      </c>
      <c r="E14" s="216" t="s">
        <v>224</v>
      </c>
      <c r="F14" s="217" t="s">
        <v>150</v>
      </c>
      <c r="G14" s="218" t="s">
        <v>251</v>
      </c>
      <c r="H14" s="219" t="s">
        <v>295</v>
      </c>
    </row>
    <row r="15" spans="2:8" ht="15.6">
      <c r="B15" s="50"/>
      <c r="C15" s="50"/>
      <c r="D15" s="313" t="s">
        <v>131</v>
      </c>
      <c r="E15" s="314"/>
      <c r="F15" s="314"/>
      <c r="G15" s="314"/>
      <c r="H15" s="315"/>
    </row>
    <row r="16" spans="2:8">
      <c r="B16" s="50"/>
      <c r="C16" s="50" t="str">
        <f t="shared" si="0"/>
        <v>Oostenrijk</v>
      </c>
      <c r="D16" s="210" t="s">
        <v>152</v>
      </c>
      <c r="E16" s="211" t="s">
        <v>152</v>
      </c>
      <c r="F16" s="212" t="s">
        <v>152</v>
      </c>
      <c r="G16" s="213" t="s">
        <v>252</v>
      </c>
      <c r="H16" s="214" t="s">
        <v>296</v>
      </c>
    </row>
    <row r="17" spans="2:8">
      <c r="B17" s="50"/>
      <c r="C17" s="50" t="str">
        <f t="shared" si="0"/>
        <v>Noord-Macedonië</v>
      </c>
      <c r="D17" s="210" t="s">
        <v>157</v>
      </c>
      <c r="E17" s="211" t="s">
        <v>253</v>
      </c>
      <c r="F17" s="212" t="s">
        <v>254</v>
      </c>
      <c r="G17" s="213" t="s">
        <v>255</v>
      </c>
      <c r="H17" s="214" t="s">
        <v>297</v>
      </c>
    </row>
    <row r="18" spans="2:8">
      <c r="B18" s="50"/>
      <c r="C18" s="50" t="str">
        <f t="shared" si="0"/>
        <v>Nederland</v>
      </c>
      <c r="D18" s="210" t="s">
        <v>149</v>
      </c>
      <c r="E18" s="211" t="s">
        <v>225</v>
      </c>
      <c r="F18" s="212" t="s">
        <v>256</v>
      </c>
      <c r="G18" s="213" t="s">
        <v>257</v>
      </c>
      <c r="H18" s="214" t="s">
        <v>298</v>
      </c>
    </row>
    <row r="19" spans="2:8">
      <c r="B19" s="50"/>
      <c r="C19" s="50" t="str">
        <f t="shared" si="0"/>
        <v>Oekraïne</v>
      </c>
      <c r="D19" s="215" t="s">
        <v>34</v>
      </c>
      <c r="E19" s="216" t="s">
        <v>226</v>
      </c>
      <c r="F19" s="217" t="s">
        <v>258</v>
      </c>
      <c r="G19" s="218" t="s">
        <v>34</v>
      </c>
      <c r="H19" s="219" t="s">
        <v>299</v>
      </c>
    </row>
    <row r="20" spans="2:8" ht="15.6">
      <c r="B20" s="50"/>
      <c r="C20" s="50"/>
      <c r="D20" s="313" t="s">
        <v>128</v>
      </c>
      <c r="E20" s="314"/>
      <c r="F20" s="314"/>
      <c r="G20" s="314"/>
      <c r="H20" s="315"/>
    </row>
    <row r="21" spans="2:8">
      <c r="B21" s="50"/>
      <c r="C21" s="50" t="str">
        <f t="shared" si="0"/>
        <v>Engeland</v>
      </c>
      <c r="D21" s="210" t="s">
        <v>7</v>
      </c>
      <c r="E21" s="211" t="s">
        <v>227</v>
      </c>
      <c r="F21" s="212" t="s">
        <v>259</v>
      </c>
      <c r="G21" s="213" t="s">
        <v>260</v>
      </c>
      <c r="H21" s="214" t="s">
        <v>300</v>
      </c>
    </row>
    <row r="22" spans="2:8">
      <c r="B22" s="50"/>
      <c r="C22" s="50" t="str">
        <f t="shared" si="0"/>
        <v>Kroatië</v>
      </c>
      <c r="D22" s="210" t="s">
        <v>148</v>
      </c>
      <c r="E22" s="211" t="s">
        <v>228</v>
      </c>
      <c r="F22" s="212" t="s">
        <v>261</v>
      </c>
      <c r="G22" s="213" t="s">
        <v>262</v>
      </c>
      <c r="H22" s="214" t="s">
        <v>301</v>
      </c>
    </row>
    <row r="23" spans="2:8">
      <c r="B23" s="50"/>
      <c r="C23" s="50" t="str">
        <f t="shared" si="0"/>
        <v>Schotland</v>
      </c>
      <c r="D23" s="210" t="s">
        <v>156</v>
      </c>
      <c r="E23" s="211" t="s">
        <v>229</v>
      </c>
      <c r="F23" s="212" t="s">
        <v>263</v>
      </c>
      <c r="G23" s="213" t="s">
        <v>264</v>
      </c>
      <c r="H23" s="214" t="s">
        <v>302</v>
      </c>
    </row>
    <row r="24" spans="2:8">
      <c r="B24" s="50"/>
      <c r="C24" s="50" t="str">
        <f t="shared" si="0"/>
        <v>Tsjechië</v>
      </c>
      <c r="D24" s="215" t="s">
        <v>265</v>
      </c>
      <c r="E24" s="216" t="s">
        <v>266</v>
      </c>
      <c r="F24" s="217" t="s">
        <v>267</v>
      </c>
      <c r="G24" s="218" t="s">
        <v>268</v>
      </c>
      <c r="H24" s="219" t="s">
        <v>303</v>
      </c>
    </row>
    <row r="25" spans="2:8" ht="15.6">
      <c r="B25" s="50"/>
      <c r="C25" s="50"/>
      <c r="D25" s="313" t="s">
        <v>130</v>
      </c>
      <c r="E25" s="314"/>
      <c r="F25" s="314"/>
      <c r="G25" s="314"/>
      <c r="H25" s="315"/>
    </row>
    <row r="26" spans="2:8">
      <c r="B26" s="50"/>
      <c r="C26" s="50" t="str">
        <f t="shared" si="0"/>
        <v>Polen</v>
      </c>
      <c r="D26" s="210" t="s">
        <v>147</v>
      </c>
      <c r="E26" s="211" t="s">
        <v>230</v>
      </c>
      <c r="F26" s="212" t="s">
        <v>230</v>
      </c>
      <c r="G26" s="213" t="s">
        <v>269</v>
      </c>
      <c r="H26" s="214" t="s">
        <v>304</v>
      </c>
    </row>
    <row r="27" spans="2:8">
      <c r="B27" s="50"/>
      <c r="C27" s="50" t="str">
        <f t="shared" si="0"/>
        <v>Slowakije</v>
      </c>
      <c r="D27" s="210" t="s">
        <v>155</v>
      </c>
      <c r="E27" s="211" t="s">
        <v>231</v>
      </c>
      <c r="F27" s="212" t="s">
        <v>270</v>
      </c>
      <c r="G27" s="213" t="s">
        <v>271</v>
      </c>
      <c r="H27" s="214" t="s">
        <v>305</v>
      </c>
    </row>
    <row r="28" spans="2:8">
      <c r="B28" s="50"/>
      <c r="C28" s="50" t="str">
        <f t="shared" si="0"/>
        <v>Spanje</v>
      </c>
      <c r="D28" s="210" t="s">
        <v>145</v>
      </c>
      <c r="E28" s="211" t="s">
        <v>232</v>
      </c>
      <c r="F28" s="212" t="s">
        <v>272</v>
      </c>
      <c r="G28" s="213" t="s">
        <v>273</v>
      </c>
      <c r="H28" s="214" t="s">
        <v>306</v>
      </c>
    </row>
    <row r="29" spans="2:8">
      <c r="B29" s="50"/>
      <c r="C29" s="50" t="str">
        <f t="shared" si="0"/>
        <v>Zweden</v>
      </c>
      <c r="D29" s="215" t="s">
        <v>153</v>
      </c>
      <c r="E29" s="216" t="s">
        <v>233</v>
      </c>
      <c r="F29" s="217" t="s">
        <v>274</v>
      </c>
      <c r="G29" s="218" t="s">
        <v>275</v>
      </c>
      <c r="H29" s="219" t="s">
        <v>307</v>
      </c>
    </row>
    <row r="30" spans="2:8" ht="15.6">
      <c r="B30" s="50"/>
      <c r="C30" s="50"/>
      <c r="D30" s="313" t="s">
        <v>132</v>
      </c>
      <c r="E30" s="314"/>
      <c r="F30" s="314"/>
      <c r="G30" s="314"/>
      <c r="H30" s="315"/>
    </row>
    <row r="31" spans="2:8">
      <c r="B31" s="50"/>
      <c r="C31" s="50" t="str">
        <f t="shared" si="0"/>
        <v>Hongarije</v>
      </c>
      <c r="D31" s="210" t="s">
        <v>134</v>
      </c>
      <c r="E31" s="211" t="s">
        <v>234</v>
      </c>
      <c r="F31" s="212" t="s">
        <v>276</v>
      </c>
      <c r="G31" s="213" t="s">
        <v>277</v>
      </c>
      <c r="H31" s="214" t="s">
        <v>308</v>
      </c>
    </row>
    <row r="32" spans="2:8">
      <c r="B32" s="50"/>
      <c r="C32" s="50" t="str">
        <f t="shared" si="0"/>
        <v>Portugal</v>
      </c>
      <c r="D32" s="210" t="s">
        <v>6</v>
      </c>
      <c r="E32" s="211" t="s">
        <v>6</v>
      </c>
      <c r="F32" s="212" t="s">
        <v>278</v>
      </c>
      <c r="G32" s="213" t="s">
        <v>6</v>
      </c>
      <c r="H32" s="214" t="s">
        <v>6</v>
      </c>
    </row>
    <row r="33" spans="2:8">
      <c r="B33" s="50"/>
      <c r="C33" s="50" t="str">
        <f t="shared" si="0"/>
        <v>Frankrijk</v>
      </c>
      <c r="D33" s="210" t="s">
        <v>146</v>
      </c>
      <c r="E33" s="211" t="s">
        <v>235</v>
      </c>
      <c r="F33" s="212" t="s">
        <v>235</v>
      </c>
      <c r="G33" s="213" t="s">
        <v>146</v>
      </c>
      <c r="H33" s="214" t="s">
        <v>309</v>
      </c>
    </row>
    <row r="34" spans="2:8" ht="15" thickBot="1">
      <c r="B34" s="50"/>
      <c r="C34" s="50" t="str">
        <f t="shared" si="0"/>
        <v>Duitsland</v>
      </c>
      <c r="D34" s="220" t="s">
        <v>144</v>
      </c>
      <c r="E34" s="221" t="s">
        <v>236</v>
      </c>
      <c r="F34" s="222" t="s">
        <v>279</v>
      </c>
      <c r="G34" s="223" t="s">
        <v>280</v>
      </c>
      <c r="H34" s="224" t="s">
        <v>310</v>
      </c>
    </row>
    <row r="35" spans="2:8" ht="15" thickTop="1"/>
  </sheetData>
  <sheetProtection sheet="1" objects="1" scenarios="1" selectLockedCells="1"/>
  <mergeCells count="8">
    <mergeCell ref="D25:H25"/>
    <mergeCell ref="D30:H30"/>
    <mergeCell ref="D1:H1"/>
    <mergeCell ref="D2:H2"/>
    <mergeCell ref="D5:H5"/>
    <mergeCell ref="D10:H10"/>
    <mergeCell ref="D15:H15"/>
    <mergeCell ref="D20:H20"/>
  </mergeCells>
  <pageMargins left="0.7" right="0.7" top="0.78740157499999996" bottom="0.78740157499999996" header="0.3" footer="0.3"/>
  <drawing r:id="rId1"/>
  <legacyDrawing r:id="rId2"/>
  <controls>
    <mc:AlternateContent xmlns:mc="http://schemas.openxmlformats.org/markup-compatibility/2006">
      <mc:Choice Requires="x14">
        <control shapeId="1032" r:id="rId3" name="OptionButton5">
          <controlPr defaultSize="0" autoLine="0" linkedCell="B6" r:id="rId4">
            <anchor moveWithCells="1">
              <from>
                <xdr:col>6</xdr:col>
                <xdr:colOff>68580</xdr:colOff>
                <xdr:row>2</xdr:row>
                <xdr:rowOff>68580</xdr:rowOff>
              </from>
              <to>
                <xdr:col>6</xdr:col>
                <xdr:colOff>1150620</xdr:colOff>
                <xdr:row>3</xdr:row>
                <xdr:rowOff>106680</xdr:rowOff>
              </to>
            </anchor>
          </controlPr>
        </control>
      </mc:Choice>
      <mc:Fallback>
        <control shapeId="1032" r:id="rId3" name="OptionButton5"/>
      </mc:Fallback>
    </mc:AlternateContent>
    <mc:AlternateContent xmlns:mc="http://schemas.openxmlformats.org/markup-compatibility/2006">
      <mc:Choice Requires="x14">
        <control shapeId="1031" r:id="rId5" name="OptionButton4">
          <controlPr defaultSize="0" autoLine="0" linkedCell="B5" r:id="rId6">
            <anchor moveWithCells="1">
              <from>
                <xdr:col>5</xdr:col>
                <xdr:colOff>76200</xdr:colOff>
                <xdr:row>2</xdr:row>
                <xdr:rowOff>68580</xdr:rowOff>
              </from>
              <to>
                <xdr:col>5</xdr:col>
                <xdr:colOff>1158240</xdr:colOff>
                <xdr:row>3</xdr:row>
                <xdr:rowOff>106680</xdr:rowOff>
              </to>
            </anchor>
          </controlPr>
        </control>
      </mc:Choice>
      <mc:Fallback>
        <control shapeId="1031" r:id="rId5" name="OptionButton4"/>
      </mc:Fallback>
    </mc:AlternateContent>
    <mc:AlternateContent xmlns:mc="http://schemas.openxmlformats.org/markup-compatibility/2006">
      <mc:Choice Requires="x14">
        <control shapeId="1030" r:id="rId7" name="OptionButton3">
          <controlPr defaultSize="0" autoLine="0" linkedCell="B7" r:id="rId8">
            <anchor moveWithCells="1">
              <from>
                <xdr:col>7</xdr:col>
                <xdr:colOff>76200</xdr:colOff>
                <xdr:row>2</xdr:row>
                <xdr:rowOff>68580</xdr:rowOff>
              </from>
              <to>
                <xdr:col>7</xdr:col>
                <xdr:colOff>1158240</xdr:colOff>
                <xdr:row>3</xdr:row>
                <xdr:rowOff>106680</xdr:rowOff>
              </to>
            </anchor>
          </controlPr>
        </control>
      </mc:Choice>
      <mc:Fallback>
        <control shapeId="1030" r:id="rId7" name="OptionButton3"/>
      </mc:Fallback>
    </mc:AlternateContent>
    <mc:AlternateContent xmlns:mc="http://schemas.openxmlformats.org/markup-compatibility/2006">
      <mc:Choice Requires="x14">
        <control shapeId="1029" r:id="rId9" name="OptionButton2">
          <controlPr defaultSize="0" autoLine="0" linkedCell="B4" r:id="rId10">
            <anchor moveWithCells="1">
              <from>
                <xdr:col>4</xdr:col>
                <xdr:colOff>76200</xdr:colOff>
                <xdr:row>2</xdr:row>
                <xdr:rowOff>68580</xdr:rowOff>
              </from>
              <to>
                <xdr:col>4</xdr:col>
                <xdr:colOff>1158240</xdr:colOff>
                <xdr:row>3</xdr:row>
                <xdr:rowOff>106680</xdr:rowOff>
              </to>
            </anchor>
          </controlPr>
        </control>
      </mc:Choice>
      <mc:Fallback>
        <control shapeId="1029" r:id="rId9" name="OptionButton2"/>
      </mc:Fallback>
    </mc:AlternateContent>
    <mc:AlternateContent xmlns:mc="http://schemas.openxmlformats.org/markup-compatibility/2006">
      <mc:Choice Requires="x14">
        <control shapeId="1028" r:id="rId11" name="OptionButton1">
          <controlPr defaultSize="0" autoLine="0" linkedCell="B3" r:id="rId12">
            <anchor moveWithCells="1">
              <from>
                <xdr:col>3</xdr:col>
                <xdr:colOff>91440</xdr:colOff>
                <xdr:row>2</xdr:row>
                <xdr:rowOff>68580</xdr:rowOff>
              </from>
              <to>
                <xdr:col>3</xdr:col>
                <xdr:colOff>1173480</xdr:colOff>
                <xdr:row>3</xdr:row>
                <xdr:rowOff>114300</xdr:rowOff>
              </to>
            </anchor>
          </controlPr>
        </control>
      </mc:Choice>
      <mc:Fallback>
        <control shapeId="1028" r:id="rId11" name="OptionButton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1E18-B273-4FE2-B324-CC70CED7D9BB}">
  <sheetPr codeName="Tabelle3"/>
  <dimension ref="B2:F23"/>
  <sheetViews>
    <sheetView showGridLines="0" showRowColHeaders="0" workbookViewId="0">
      <selection activeCell="C6" sqref="C6"/>
    </sheetView>
  </sheetViews>
  <sheetFormatPr defaultColWidth="10.88671875" defaultRowHeight="14.4"/>
  <cols>
    <col min="2" max="2" width="16.77734375" customWidth="1"/>
    <col min="3" max="3" width="13" customWidth="1"/>
    <col min="5" max="5" width="16.77734375" customWidth="1"/>
  </cols>
  <sheetData>
    <row r="2" spans="2:6" ht="38.25" customHeight="1">
      <c r="B2" s="321" t="s">
        <v>123</v>
      </c>
      <c r="C2" s="322"/>
      <c r="D2" s="322"/>
      <c r="E2" s="322"/>
      <c r="F2" s="322"/>
    </row>
    <row r="3" spans="2:6">
      <c r="B3" s="323" t="s">
        <v>124</v>
      </c>
      <c r="C3" s="324"/>
      <c r="D3" s="324"/>
      <c r="E3" s="324"/>
      <c r="F3" s="324"/>
    </row>
    <row r="4" spans="2:6" ht="34.5" customHeight="1">
      <c r="B4" s="325" t="s">
        <v>125</v>
      </c>
      <c r="C4" s="325"/>
      <c r="D4" s="325"/>
      <c r="E4" s="325"/>
      <c r="F4" s="325"/>
    </row>
    <row r="5" spans="2:6" ht="18.600000000000001" thickBot="1">
      <c r="B5" s="52" t="s">
        <v>126</v>
      </c>
      <c r="C5" s="53" t="s">
        <v>127</v>
      </c>
      <c r="E5" s="52" t="s">
        <v>128</v>
      </c>
      <c r="F5" s="53" t="s">
        <v>127</v>
      </c>
    </row>
    <row r="6" spans="2:6">
      <c r="B6" s="67" t="str">
        <f>'EURO 2020 score sheet'!B12</f>
        <v>Turkije</v>
      </c>
      <c r="C6" s="69">
        <v>0</v>
      </c>
      <c r="E6" s="67" t="str">
        <f>'EURO 2020 score sheet'!K12</f>
        <v>Engeland</v>
      </c>
      <c r="F6" s="69">
        <v>0</v>
      </c>
    </row>
    <row r="7" spans="2:6">
      <c r="B7" s="68" t="str">
        <f>'EURO 2020 score sheet'!C12</f>
        <v>Italië</v>
      </c>
      <c r="C7" s="70">
        <v>0</v>
      </c>
      <c r="E7" s="68" t="str">
        <f>'EURO 2020 score sheet'!L12</f>
        <v>Kroatië</v>
      </c>
      <c r="F7" s="70">
        <v>0</v>
      </c>
    </row>
    <row r="8" spans="2:6">
      <c r="B8" s="68" t="str">
        <f>'EURO 2020 score sheet'!B17</f>
        <v>Wales</v>
      </c>
      <c r="C8" s="70">
        <v>0</v>
      </c>
      <c r="E8" s="68" t="str">
        <f>'EURO 2020 score sheet'!K17</f>
        <v>Schotland</v>
      </c>
      <c r="F8" s="70">
        <v>0</v>
      </c>
    </row>
    <row r="9" spans="2:6">
      <c r="B9" s="68" t="str">
        <f>'EURO 2020 score sheet'!C17</f>
        <v>Zwitserland</v>
      </c>
      <c r="C9" s="70">
        <v>0</v>
      </c>
      <c r="E9" s="68" t="str">
        <f>'EURO 2020 score sheet'!L17</f>
        <v>Tsjechië</v>
      </c>
      <c r="F9" s="70">
        <v>0</v>
      </c>
    </row>
    <row r="10" spans="2:6">
      <c r="C10" s="51"/>
      <c r="F10" s="51"/>
    </row>
    <row r="11" spans="2:6" ht="18.600000000000001" thickBot="1">
      <c r="B11" s="52" t="s">
        <v>129</v>
      </c>
      <c r="C11" s="53" t="s">
        <v>127</v>
      </c>
      <c r="E11" s="52" t="s">
        <v>130</v>
      </c>
      <c r="F11" s="53" t="s">
        <v>127</v>
      </c>
    </row>
    <row r="12" spans="2:6">
      <c r="B12" s="67" t="str">
        <f>'EURO 2020 score sheet'!E12</f>
        <v>Denemarken</v>
      </c>
      <c r="C12" s="69">
        <v>0</v>
      </c>
      <c r="E12" s="67" t="str">
        <f>'EURO 2020 score sheet'!N12</f>
        <v>Polen</v>
      </c>
      <c r="F12" s="69">
        <v>0</v>
      </c>
    </row>
    <row r="13" spans="2:6">
      <c r="B13" s="68" t="str">
        <f>'EURO 2020 score sheet'!F12</f>
        <v>Finland</v>
      </c>
      <c r="C13" s="70">
        <v>0</v>
      </c>
      <c r="E13" s="67" t="str">
        <f>'EURO 2020 score sheet'!O12</f>
        <v>Slowakije</v>
      </c>
      <c r="F13" s="70">
        <v>0</v>
      </c>
    </row>
    <row r="14" spans="2:6">
      <c r="B14" s="68" t="str">
        <f>'EURO 2020 score sheet'!E17</f>
        <v>België</v>
      </c>
      <c r="C14" s="70">
        <v>0</v>
      </c>
      <c r="E14" s="68" t="str">
        <f>'EURO 2020 score sheet'!N17</f>
        <v>Spanje</v>
      </c>
      <c r="F14" s="70">
        <v>0</v>
      </c>
    </row>
    <row r="15" spans="2:6">
      <c r="B15" s="68" t="str">
        <f>'EURO 2020 score sheet'!F17</f>
        <v>Rusland</v>
      </c>
      <c r="C15" s="70">
        <v>0</v>
      </c>
      <c r="E15" s="68" t="str">
        <f>'EURO 2020 score sheet'!O17</f>
        <v>Zweden</v>
      </c>
      <c r="F15" s="70">
        <v>0</v>
      </c>
    </row>
    <row r="16" spans="2:6">
      <c r="C16" s="51"/>
      <c r="F16" s="51"/>
    </row>
    <row r="17" spans="2:6" ht="18.600000000000001" thickBot="1">
      <c r="B17" s="52" t="s">
        <v>131</v>
      </c>
      <c r="C17" s="53" t="s">
        <v>127</v>
      </c>
      <c r="E17" s="52" t="s">
        <v>132</v>
      </c>
      <c r="F17" s="53" t="s">
        <v>127</v>
      </c>
    </row>
    <row r="18" spans="2:6">
      <c r="B18" s="67" t="str">
        <f>'EURO 2020 score sheet'!H12</f>
        <v>Oostenrijk</v>
      </c>
      <c r="C18" s="69">
        <v>0</v>
      </c>
      <c r="E18" s="68" t="str">
        <f>'EURO 2020 score sheet'!Q12</f>
        <v>Hongarije</v>
      </c>
      <c r="F18" s="69">
        <v>0</v>
      </c>
    </row>
    <row r="19" spans="2:6">
      <c r="B19" s="68" t="str">
        <f>'EURO 2020 score sheet'!I12</f>
        <v>Noord-Macedonië</v>
      </c>
      <c r="C19" s="70">
        <v>0</v>
      </c>
      <c r="E19" s="68" t="str">
        <f>'EURO 2020 score sheet'!R12</f>
        <v>Portugal</v>
      </c>
      <c r="F19" s="70">
        <v>0</v>
      </c>
    </row>
    <row r="20" spans="2:6">
      <c r="B20" s="68" t="str">
        <f>'EURO 2020 score sheet'!H17</f>
        <v>Nederland</v>
      </c>
      <c r="C20" s="70">
        <v>0</v>
      </c>
      <c r="E20" s="68" t="str">
        <f>'EURO 2020 score sheet'!Q17</f>
        <v>Frankrijk</v>
      </c>
      <c r="F20" s="70">
        <v>0</v>
      </c>
    </row>
    <row r="21" spans="2:6">
      <c r="B21" s="68" t="str">
        <f>'EURO 2020 score sheet'!I17</f>
        <v>Oekraïne</v>
      </c>
      <c r="C21" s="70">
        <v>0</v>
      </c>
      <c r="E21" s="68" t="str">
        <f>'EURO 2020 score sheet'!R17</f>
        <v>Duitsland</v>
      </c>
      <c r="F21" s="70">
        <v>0</v>
      </c>
    </row>
    <row r="22" spans="2:6" ht="30.75" customHeight="1">
      <c r="C22" s="51"/>
    </row>
    <row r="23" spans="2:6" ht="58.5" customHeight="1">
      <c r="B23" s="326" t="s">
        <v>133</v>
      </c>
      <c r="C23" s="327"/>
      <c r="D23" s="327"/>
      <c r="E23" s="327"/>
      <c r="F23" s="328"/>
    </row>
  </sheetData>
  <sheetProtection sheet="1" selectLockedCells="1"/>
  <mergeCells count="4">
    <mergeCell ref="B2:F2"/>
    <mergeCell ref="B3:F3"/>
    <mergeCell ref="B4:F4"/>
    <mergeCell ref="B23:F23"/>
  </mergeCells>
  <dataValidations count="1">
    <dataValidation type="whole" allowBlank="1" showInputMessage="1" showErrorMessage="1" sqref="C6:C9 C12:C15 C18:C21 F6:F9 F12:F15 F18:F21" xr:uid="{F800E550-C2F5-479F-B933-19E20C2EA6BB}">
      <formula1>0</formula1>
      <formula2>99</formula2>
    </dataValidation>
  </dataValidation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38A33-B70C-41BF-8D98-36BE4699F84F}">
  <sheetPr codeName="Tabelle4"/>
  <dimension ref="A1:L31"/>
  <sheetViews>
    <sheetView showGridLines="0" showRowColHeaders="0" topLeftCell="A3" workbookViewId="0">
      <selection activeCell="AD19" sqref="AD19"/>
    </sheetView>
  </sheetViews>
  <sheetFormatPr defaultColWidth="10.88671875" defaultRowHeight="14.4"/>
  <cols>
    <col min="1" max="1" width="2.77734375" customWidth="1"/>
    <col min="5" max="5" width="16.77734375" customWidth="1"/>
  </cols>
  <sheetData>
    <row r="1" spans="1:12" ht="36.75" customHeight="1">
      <c r="A1" s="6"/>
      <c r="B1" s="189"/>
      <c r="C1" s="188"/>
      <c r="D1" s="188"/>
      <c r="E1" s="188"/>
      <c r="F1" s="188"/>
      <c r="G1" s="188"/>
      <c r="H1" s="188"/>
      <c r="I1" s="188"/>
      <c r="J1" s="188"/>
      <c r="K1" s="188"/>
      <c r="L1" s="6"/>
    </row>
    <row r="2" spans="1:12" ht="42.75" customHeight="1">
      <c r="B2" s="190"/>
      <c r="C2" s="191"/>
      <c r="D2" s="333" t="s">
        <v>72</v>
      </c>
      <c r="E2" s="333"/>
      <c r="F2" s="333"/>
      <c r="G2" s="333"/>
      <c r="H2" s="333"/>
      <c r="I2" s="333"/>
      <c r="J2" s="191"/>
      <c r="K2" s="191"/>
    </row>
    <row r="3" spans="1:12" ht="63.75" customHeight="1">
      <c r="A3" s="60"/>
      <c r="B3" s="90"/>
      <c r="C3" s="90"/>
      <c r="D3" s="329" t="s">
        <v>135</v>
      </c>
      <c r="E3" s="330"/>
      <c r="F3" s="330"/>
      <c r="G3" s="330"/>
      <c r="H3" s="330"/>
      <c r="I3" s="331"/>
      <c r="J3" s="90"/>
      <c r="K3" s="89"/>
    </row>
    <row r="4" spans="1:12" ht="9" customHeight="1">
      <c r="B4" s="58"/>
      <c r="C4" s="58"/>
      <c r="D4" s="58"/>
      <c r="E4" s="58"/>
      <c r="F4" s="58"/>
      <c r="G4" s="58"/>
      <c r="H4" s="58"/>
      <c r="J4" s="58"/>
    </row>
    <row r="5" spans="1:12" ht="15" thickBot="1">
      <c r="E5" s="332" t="s">
        <v>136</v>
      </c>
      <c r="F5" s="332"/>
      <c r="G5" s="332"/>
      <c r="H5" s="332"/>
    </row>
    <row r="6" spans="1:12" ht="28.2" thickBot="1">
      <c r="D6" s="192" t="s">
        <v>137</v>
      </c>
      <c r="E6" s="193" t="s">
        <v>138</v>
      </c>
      <c r="F6" s="194" t="s">
        <v>139</v>
      </c>
      <c r="G6" s="194" t="s">
        <v>140</v>
      </c>
      <c r="H6" s="194" t="s">
        <v>141</v>
      </c>
      <c r="I6" s="195" t="s">
        <v>142</v>
      </c>
    </row>
    <row r="7" spans="1:12">
      <c r="D7" s="91">
        <v>1</v>
      </c>
      <c r="E7" s="94" t="str">
        <f>'Country names'!C13</f>
        <v>België</v>
      </c>
      <c r="F7" s="54">
        <v>1</v>
      </c>
      <c r="G7" s="54">
        <v>24</v>
      </c>
      <c r="H7" s="54">
        <v>24</v>
      </c>
      <c r="I7" s="63" t="s">
        <v>59</v>
      </c>
    </row>
    <row r="8" spans="1:12">
      <c r="D8" s="92">
        <v>2</v>
      </c>
      <c r="E8" s="94" t="str">
        <f>'Country names'!C7</f>
        <v>Italië</v>
      </c>
      <c r="F8" s="54">
        <v>1</v>
      </c>
      <c r="G8" s="54">
        <v>24</v>
      </c>
      <c r="H8" s="54">
        <v>22</v>
      </c>
      <c r="I8" s="64" t="s">
        <v>63</v>
      </c>
    </row>
    <row r="9" spans="1:12">
      <c r="D9" s="92">
        <v>3</v>
      </c>
      <c r="E9" s="94" t="str">
        <f>'Country names'!C21</f>
        <v>Engeland</v>
      </c>
      <c r="F9" s="54">
        <v>1</v>
      </c>
      <c r="G9" s="54">
        <v>21</v>
      </c>
      <c r="H9" s="54">
        <v>31</v>
      </c>
      <c r="I9" s="66" t="s">
        <v>64</v>
      </c>
    </row>
    <row r="10" spans="1:12">
      <c r="D10" s="92">
        <v>4</v>
      </c>
      <c r="E10" s="94" t="str">
        <f>'Country names'!C34</f>
        <v>Duitsland</v>
      </c>
      <c r="F10" s="54">
        <v>1</v>
      </c>
      <c r="G10" s="54">
        <v>21</v>
      </c>
      <c r="H10" s="54">
        <v>23</v>
      </c>
      <c r="I10" s="61" t="s">
        <v>62</v>
      </c>
    </row>
    <row r="11" spans="1:12">
      <c r="D11" s="92">
        <v>5</v>
      </c>
      <c r="E11" s="94" t="str">
        <f>'Country names'!C28</f>
        <v>Spanje</v>
      </c>
      <c r="F11" s="54">
        <v>1</v>
      </c>
      <c r="G11" s="54">
        <v>20</v>
      </c>
      <c r="H11" s="54">
        <v>17</v>
      </c>
      <c r="I11" s="62" t="s">
        <v>61</v>
      </c>
    </row>
    <row r="12" spans="1:12">
      <c r="D12" s="92">
        <v>6</v>
      </c>
      <c r="E12" s="94" t="str">
        <f>'Country names'!C19</f>
        <v>Oekraïne</v>
      </c>
      <c r="F12" s="54">
        <v>1</v>
      </c>
      <c r="G12" s="54">
        <v>20</v>
      </c>
      <c r="H12" s="54">
        <v>13</v>
      </c>
      <c r="I12" s="65" t="s">
        <v>60</v>
      </c>
    </row>
    <row r="13" spans="1:12">
      <c r="D13" s="92">
        <v>7</v>
      </c>
      <c r="E13" s="94" t="str">
        <f>'Country names'!C33</f>
        <v>Frankrijk</v>
      </c>
      <c r="F13" s="54">
        <v>1</v>
      </c>
      <c r="G13" s="54">
        <v>19</v>
      </c>
      <c r="H13" s="54">
        <v>15</v>
      </c>
      <c r="I13" s="61" t="s">
        <v>62</v>
      </c>
    </row>
    <row r="14" spans="1:12">
      <c r="D14" s="92">
        <v>8</v>
      </c>
      <c r="E14" s="94" t="str">
        <f>'Country names'!C26</f>
        <v>Polen</v>
      </c>
      <c r="F14" s="54">
        <v>1</v>
      </c>
      <c r="G14" s="54">
        <v>19</v>
      </c>
      <c r="H14" s="54">
        <v>8</v>
      </c>
      <c r="I14" s="62" t="s">
        <v>61</v>
      </c>
    </row>
    <row r="15" spans="1:12">
      <c r="D15" s="92">
        <v>9</v>
      </c>
      <c r="E15" s="94" t="str">
        <f>'Country names'!C9</f>
        <v>Zwitserland</v>
      </c>
      <c r="F15" s="54">
        <v>1</v>
      </c>
      <c r="G15" s="54">
        <v>17</v>
      </c>
      <c r="H15" s="54">
        <v>13</v>
      </c>
      <c r="I15" s="64" t="s">
        <v>63</v>
      </c>
    </row>
    <row r="16" spans="1:12" ht="15" thickBot="1">
      <c r="D16" s="93">
        <v>10</v>
      </c>
      <c r="E16" s="95" t="str">
        <f>'Country names'!C22</f>
        <v>Kroatië</v>
      </c>
      <c r="F16" s="59">
        <v>1</v>
      </c>
      <c r="G16" s="59">
        <v>17</v>
      </c>
      <c r="H16" s="59">
        <v>10</v>
      </c>
      <c r="I16" s="101" t="s">
        <v>64</v>
      </c>
    </row>
    <row r="17" spans="4:9">
      <c r="D17" s="97">
        <v>11</v>
      </c>
      <c r="E17" s="98" t="str">
        <f>'Country names'!C18</f>
        <v>Nederland</v>
      </c>
      <c r="F17" s="99">
        <v>2</v>
      </c>
      <c r="G17" s="99">
        <v>19</v>
      </c>
      <c r="H17" s="99">
        <v>17</v>
      </c>
      <c r="I17" s="100" t="s">
        <v>60</v>
      </c>
    </row>
    <row r="18" spans="4:9">
      <c r="D18" s="92">
        <v>12</v>
      </c>
      <c r="E18" s="94" t="str">
        <f>'Country names'!C14</f>
        <v>Rusland</v>
      </c>
      <c r="F18" s="54">
        <v>2</v>
      </c>
      <c r="G18" s="54">
        <v>18</v>
      </c>
      <c r="H18" s="54">
        <v>11</v>
      </c>
      <c r="I18" s="63" t="s">
        <v>59</v>
      </c>
    </row>
    <row r="19" spans="4:9">
      <c r="D19" s="92">
        <v>13</v>
      </c>
      <c r="E19" s="94" t="str">
        <f>'Country names'!C32</f>
        <v>Portugal</v>
      </c>
      <c r="F19" s="54">
        <v>2</v>
      </c>
      <c r="G19" s="54">
        <v>17</v>
      </c>
      <c r="H19" s="54">
        <v>16</v>
      </c>
      <c r="I19" s="61" t="s">
        <v>62</v>
      </c>
    </row>
    <row r="20" spans="4:9">
      <c r="D20" s="92">
        <v>14</v>
      </c>
      <c r="E20" s="94" t="str">
        <f>'Country names'!C6</f>
        <v>Turkije</v>
      </c>
      <c r="F20" s="54">
        <v>2</v>
      </c>
      <c r="G20" s="54">
        <v>17</v>
      </c>
      <c r="H20" s="54">
        <v>7</v>
      </c>
      <c r="I20" s="64" t="s">
        <v>63</v>
      </c>
    </row>
    <row r="21" spans="4:9">
      <c r="D21" s="92">
        <v>15</v>
      </c>
      <c r="E21" s="94" t="str">
        <f>'Country names'!C11</f>
        <v>Denemarken</v>
      </c>
      <c r="F21" s="54">
        <v>2</v>
      </c>
      <c r="G21" s="54">
        <v>16</v>
      </c>
      <c r="H21" s="54">
        <v>17</v>
      </c>
      <c r="I21" s="63" t="s">
        <v>59</v>
      </c>
    </row>
    <row r="22" spans="4:9">
      <c r="D22" s="92">
        <v>16</v>
      </c>
      <c r="E22" s="94" t="str">
        <f>'Country names'!C16</f>
        <v>Oostenrijk</v>
      </c>
      <c r="F22" s="54">
        <v>2</v>
      </c>
      <c r="G22" s="54">
        <v>16</v>
      </c>
      <c r="H22" s="54">
        <v>5</v>
      </c>
      <c r="I22" s="65" t="s">
        <v>60</v>
      </c>
    </row>
    <row r="23" spans="4:9">
      <c r="D23" s="92">
        <v>17</v>
      </c>
      <c r="E23" s="94" t="str">
        <f>'Country names'!C29</f>
        <v>Zweden</v>
      </c>
      <c r="F23" s="54">
        <v>2</v>
      </c>
      <c r="G23" s="54">
        <v>15</v>
      </c>
      <c r="H23" s="54">
        <v>7</v>
      </c>
      <c r="I23" s="62" t="s">
        <v>61</v>
      </c>
    </row>
    <row r="24" spans="4:9">
      <c r="D24" s="92">
        <v>18</v>
      </c>
      <c r="E24" s="94" t="str">
        <f>'Country names'!C24</f>
        <v>Tsjechië</v>
      </c>
      <c r="F24" s="54">
        <v>2</v>
      </c>
      <c r="G24" s="54">
        <v>15</v>
      </c>
      <c r="H24" s="54">
        <v>2</v>
      </c>
      <c r="I24" s="66" t="s">
        <v>64</v>
      </c>
    </row>
    <row r="25" spans="4:9">
      <c r="D25" s="92">
        <v>19</v>
      </c>
      <c r="E25" s="94" t="str">
        <f>'Country names'!C8</f>
        <v>Wales</v>
      </c>
      <c r="F25" s="54">
        <v>2</v>
      </c>
      <c r="G25" s="54">
        <v>14</v>
      </c>
      <c r="H25" s="54">
        <v>4</v>
      </c>
      <c r="I25" s="64" t="s">
        <v>63</v>
      </c>
    </row>
    <row r="26" spans="4:9" ht="15" thickBot="1">
      <c r="D26" s="93">
        <v>20</v>
      </c>
      <c r="E26" s="95" t="str">
        <f>'Country names'!C12</f>
        <v>Finland</v>
      </c>
      <c r="F26" s="59">
        <v>2</v>
      </c>
      <c r="G26" s="59">
        <v>12</v>
      </c>
      <c r="H26" s="59">
        <v>1</v>
      </c>
      <c r="I26" s="102" t="s">
        <v>59</v>
      </c>
    </row>
    <row r="27" spans="4:9">
      <c r="D27" s="97">
        <v>21</v>
      </c>
      <c r="E27" s="98" t="str">
        <f>'Country names'!C27</f>
        <v>Slowakije</v>
      </c>
      <c r="F27" s="99">
        <v>3</v>
      </c>
      <c r="G27" s="99">
        <v>13</v>
      </c>
      <c r="H27" s="99">
        <v>2</v>
      </c>
      <c r="I27" s="96" t="s">
        <v>61</v>
      </c>
    </row>
    <row r="28" spans="4:9">
      <c r="D28" s="92">
        <v>22</v>
      </c>
      <c r="E28" s="94" t="str">
        <f>'Country names'!C23</f>
        <v>Schotland</v>
      </c>
      <c r="F28" s="54">
        <v>3</v>
      </c>
      <c r="G28" s="54">
        <v>9</v>
      </c>
      <c r="H28" s="54">
        <v>-11</v>
      </c>
      <c r="I28" s="66" t="s">
        <v>64</v>
      </c>
    </row>
    <row r="29" spans="4:9" ht="15" thickBot="1">
      <c r="D29" s="93">
        <v>23</v>
      </c>
      <c r="E29" s="95" t="str">
        <f>'Country names'!C17</f>
        <v>Noord-Macedonië</v>
      </c>
      <c r="F29" s="59">
        <v>3</v>
      </c>
      <c r="G29" s="59">
        <v>8</v>
      </c>
      <c r="H29" s="59">
        <v>-5</v>
      </c>
      <c r="I29" s="107" t="s">
        <v>60</v>
      </c>
    </row>
    <row r="30" spans="4:9" ht="15" thickBot="1">
      <c r="D30" s="103">
        <v>24</v>
      </c>
      <c r="E30" s="104" t="str">
        <f>'Country names'!C31</f>
        <v>Hongarije</v>
      </c>
      <c r="F30" s="105">
        <v>4</v>
      </c>
      <c r="G30" s="105">
        <v>12</v>
      </c>
      <c r="H30" s="105">
        <v>-3</v>
      </c>
      <c r="I30" s="106" t="s">
        <v>62</v>
      </c>
    </row>
    <row r="31" spans="4:9">
      <c r="D31" s="55"/>
      <c r="E31" s="56"/>
      <c r="F31" s="57"/>
      <c r="G31" s="88"/>
      <c r="H31" s="88"/>
    </row>
  </sheetData>
  <sheetProtection sheet="1" selectLockedCells="1"/>
  <mergeCells count="3">
    <mergeCell ref="D3:I3"/>
    <mergeCell ref="E5:H5"/>
    <mergeCell ref="D2:I2"/>
  </mergeCells>
  <pageMargins left="0.7" right="0.7" top="0.78740157499999996" bottom="0.78740157499999996"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D1D04-A79C-49C2-BE14-336AEF4E8B74}">
  <sheetPr codeName="Tabelle2"/>
  <dimension ref="A1:R39"/>
  <sheetViews>
    <sheetView showGridLines="0" showRowColHeaders="0" topLeftCell="A11" workbookViewId="0">
      <selection activeCell="AF21" sqref="AF21"/>
    </sheetView>
  </sheetViews>
  <sheetFormatPr defaultColWidth="10.88671875" defaultRowHeight="14.4"/>
  <cols>
    <col min="3" max="3" width="22.21875" customWidth="1"/>
    <col min="4" max="4" width="15.21875" customWidth="1"/>
    <col min="5" max="5" width="13.77734375" customWidth="1"/>
    <col min="6" max="6" width="14.77734375" customWidth="1"/>
    <col min="7" max="7" width="14" customWidth="1"/>
  </cols>
  <sheetData>
    <row r="1" spans="1:7">
      <c r="A1" s="6"/>
    </row>
    <row r="2" spans="1:7" ht="21">
      <c r="C2" s="337" t="s">
        <v>158</v>
      </c>
      <c r="D2" s="337"/>
      <c r="E2" s="337"/>
      <c r="F2" s="337"/>
      <c r="G2" s="337"/>
    </row>
    <row r="4" spans="1:7" ht="16.2" thickBot="1">
      <c r="C4" s="338"/>
      <c r="D4" s="338"/>
      <c r="E4" s="338"/>
      <c r="F4" s="338"/>
      <c r="G4" s="338"/>
    </row>
    <row r="5" spans="1:7" ht="36" customHeight="1">
      <c r="C5" s="334" t="s">
        <v>159</v>
      </c>
      <c r="D5" s="71" t="s">
        <v>160</v>
      </c>
      <c r="E5" s="71" t="s">
        <v>160</v>
      </c>
      <c r="F5" s="71" t="s">
        <v>160</v>
      </c>
      <c r="G5" s="71" t="s">
        <v>160</v>
      </c>
    </row>
    <row r="6" spans="1:7" ht="15.6">
      <c r="C6" s="335"/>
      <c r="D6" s="72" t="s">
        <v>59</v>
      </c>
      <c r="E6" s="72" t="s">
        <v>60</v>
      </c>
      <c r="F6" s="72" t="s">
        <v>61</v>
      </c>
      <c r="G6" s="73" t="s">
        <v>62</v>
      </c>
    </row>
    <row r="7" spans="1:7" ht="47.4" thickBot="1">
      <c r="C7" s="336"/>
      <c r="D7" s="74" t="s">
        <v>161</v>
      </c>
      <c r="E7" s="74" t="s">
        <v>161</v>
      </c>
      <c r="F7" s="74" t="s">
        <v>161</v>
      </c>
      <c r="G7" s="74" t="s">
        <v>161</v>
      </c>
    </row>
    <row r="8" spans="1:7" ht="22.5" customHeight="1">
      <c r="C8" s="85" t="s">
        <v>44</v>
      </c>
      <c r="D8" s="86" t="s">
        <v>63</v>
      </c>
      <c r="E8" s="86" t="s">
        <v>64</v>
      </c>
      <c r="F8" s="86" t="s">
        <v>59</v>
      </c>
      <c r="G8" s="87" t="s">
        <v>60</v>
      </c>
    </row>
    <row r="9" spans="1:7" ht="22.5" customHeight="1">
      <c r="C9" s="75" t="s">
        <v>45</v>
      </c>
      <c r="D9" s="76" t="s">
        <v>63</v>
      </c>
      <c r="E9" s="76" t="s">
        <v>61</v>
      </c>
      <c r="F9" s="76" t="s">
        <v>59</v>
      </c>
      <c r="G9" s="77" t="s">
        <v>60</v>
      </c>
    </row>
    <row r="10" spans="1:7" ht="22.5" customHeight="1">
      <c r="C10" s="75" t="s">
        <v>46</v>
      </c>
      <c r="D10" s="76" t="s">
        <v>63</v>
      </c>
      <c r="E10" s="76" t="s">
        <v>62</v>
      </c>
      <c r="F10" s="76" t="s">
        <v>59</v>
      </c>
      <c r="G10" s="77" t="s">
        <v>60</v>
      </c>
    </row>
    <row r="11" spans="1:7" ht="22.5" customHeight="1">
      <c r="C11" s="75" t="s">
        <v>47</v>
      </c>
      <c r="D11" s="76" t="s">
        <v>64</v>
      </c>
      <c r="E11" s="76" t="s">
        <v>61</v>
      </c>
      <c r="F11" s="76" t="s">
        <v>63</v>
      </c>
      <c r="G11" s="77" t="s">
        <v>59</v>
      </c>
    </row>
    <row r="12" spans="1:7" ht="22.5" customHeight="1">
      <c r="C12" s="75" t="s">
        <v>48</v>
      </c>
      <c r="D12" s="76" t="s">
        <v>64</v>
      </c>
      <c r="E12" s="76" t="s">
        <v>62</v>
      </c>
      <c r="F12" s="76" t="s">
        <v>63</v>
      </c>
      <c r="G12" s="77" t="s">
        <v>59</v>
      </c>
    </row>
    <row r="13" spans="1:7" ht="22.5" customHeight="1">
      <c r="C13" s="75" t="s">
        <v>49</v>
      </c>
      <c r="D13" s="76" t="s">
        <v>61</v>
      </c>
      <c r="E13" s="76" t="s">
        <v>62</v>
      </c>
      <c r="F13" s="76" t="s">
        <v>59</v>
      </c>
      <c r="G13" s="77" t="s">
        <v>63</v>
      </c>
    </row>
    <row r="14" spans="1:7" ht="22.5" customHeight="1">
      <c r="C14" s="75" t="s">
        <v>50</v>
      </c>
      <c r="D14" s="76" t="s">
        <v>61</v>
      </c>
      <c r="E14" s="76" t="s">
        <v>64</v>
      </c>
      <c r="F14" s="76" t="s">
        <v>60</v>
      </c>
      <c r="G14" s="77" t="s">
        <v>63</v>
      </c>
    </row>
    <row r="15" spans="1:7" ht="22.5" customHeight="1">
      <c r="C15" s="75" t="s">
        <v>51</v>
      </c>
      <c r="D15" s="76" t="s">
        <v>62</v>
      </c>
      <c r="E15" s="76" t="s">
        <v>64</v>
      </c>
      <c r="F15" s="76" t="s">
        <v>60</v>
      </c>
      <c r="G15" s="77" t="s">
        <v>63</v>
      </c>
    </row>
    <row r="16" spans="1:7" ht="22.5" customHeight="1">
      <c r="C16" s="75" t="s">
        <v>52</v>
      </c>
      <c r="D16" s="76" t="s">
        <v>61</v>
      </c>
      <c r="E16" s="76" t="s">
        <v>62</v>
      </c>
      <c r="F16" s="76" t="s">
        <v>60</v>
      </c>
      <c r="G16" s="77" t="s">
        <v>63</v>
      </c>
    </row>
    <row r="17" spans="3:7" ht="22.5" customHeight="1">
      <c r="C17" s="75" t="s">
        <v>53</v>
      </c>
      <c r="D17" s="76" t="s">
        <v>61</v>
      </c>
      <c r="E17" s="76" t="s">
        <v>62</v>
      </c>
      <c r="F17" s="76" t="s">
        <v>64</v>
      </c>
      <c r="G17" s="77" t="s">
        <v>63</v>
      </c>
    </row>
    <row r="18" spans="3:7" ht="22.5" customHeight="1">
      <c r="C18" s="75" t="s">
        <v>54</v>
      </c>
      <c r="D18" s="76" t="s">
        <v>61</v>
      </c>
      <c r="E18" s="76" t="s">
        <v>64</v>
      </c>
      <c r="F18" s="76" t="s">
        <v>59</v>
      </c>
      <c r="G18" s="77" t="s">
        <v>60</v>
      </c>
    </row>
    <row r="19" spans="3:7" ht="22.5" customHeight="1">
      <c r="C19" s="75" t="s">
        <v>55</v>
      </c>
      <c r="D19" s="76" t="s">
        <v>62</v>
      </c>
      <c r="E19" s="76" t="s">
        <v>64</v>
      </c>
      <c r="F19" s="76" t="s">
        <v>60</v>
      </c>
      <c r="G19" s="77" t="s">
        <v>59</v>
      </c>
    </row>
    <row r="20" spans="3:7" ht="22.5" customHeight="1">
      <c r="C20" s="75" t="s">
        <v>56</v>
      </c>
      <c r="D20" s="76" t="s">
        <v>62</v>
      </c>
      <c r="E20" s="76" t="s">
        <v>61</v>
      </c>
      <c r="F20" s="76" t="s">
        <v>60</v>
      </c>
      <c r="G20" s="77" t="s">
        <v>59</v>
      </c>
    </row>
    <row r="21" spans="3:7" ht="22.5" customHeight="1">
      <c r="C21" s="75" t="s">
        <v>57</v>
      </c>
      <c r="D21" s="76" t="s">
        <v>62</v>
      </c>
      <c r="E21" s="76" t="s">
        <v>61</v>
      </c>
      <c r="F21" s="76" t="s">
        <v>64</v>
      </c>
      <c r="G21" s="77" t="s">
        <v>59</v>
      </c>
    </row>
    <row r="22" spans="3:7" ht="22.5" customHeight="1" thickBot="1">
      <c r="C22" s="78" t="s">
        <v>58</v>
      </c>
      <c r="D22" s="79" t="s">
        <v>62</v>
      </c>
      <c r="E22" s="79" t="s">
        <v>61</v>
      </c>
      <c r="F22" s="79" t="s">
        <v>64</v>
      </c>
      <c r="G22" s="80" t="s">
        <v>60</v>
      </c>
    </row>
    <row r="33" spans="2:18">
      <c r="B33" s="45"/>
      <c r="C33" s="45"/>
    </row>
    <row r="34" spans="2:18">
      <c r="B34" s="45"/>
      <c r="C34" s="45"/>
    </row>
    <row r="35" spans="2:18">
      <c r="B35" s="45"/>
      <c r="C35" s="45"/>
      <c r="E35" s="45"/>
      <c r="F35" s="45"/>
      <c r="G35" s="46"/>
      <c r="H35" s="45"/>
      <c r="I35" s="45"/>
      <c r="J35" s="46"/>
      <c r="K35" s="45"/>
      <c r="L35" s="45"/>
      <c r="M35" s="46"/>
      <c r="N35" s="45"/>
      <c r="O35" s="45"/>
      <c r="P35" s="46"/>
      <c r="Q35" s="45"/>
      <c r="R35" s="45"/>
    </row>
    <row r="36" spans="2:18">
      <c r="B36" s="45"/>
      <c r="C36" s="45"/>
      <c r="E36" s="45"/>
      <c r="F36" s="45"/>
      <c r="G36" s="46"/>
      <c r="H36" s="45"/>
      <c r="I36" s="45"/>
      <c r="J36" s="46"/>
      <c r="K36" s="45"/>
      <c r="L36" s="45"/>
      <c r="M36" s="46"/>
      <c r="N36" s="45"/>
      <c r="O36" s="45"/>
      <c r="P36" s="46"/>
      <c r="Q36" s="45"/>
      <c r="R36" s="45"/>
    </row>
    <row r="37" spans="2:18">
      <c r="B37" s="45"/>
      <c r="C37" s="45"/>
      <c r="E37" s="45"/>
      <c r="F37" s="45"/>
      <c r="G37" s="46"/>
      <c r="H37" s="45"/>
      <c r="I37" s="45"/>
      <c r="J37" s="46"/>
      <c r="K37" s="45"/>
      <c r="L37" s="45"/>
      <c r="M37" s="46"/>
      <c r="N37" s="45"/>
      <c r="O37" s="45"/>
      <c r="P37" s="46"/>
      <c r="Q37" s="45"/>
      <c r="R37" s="45"/>
    </row>
    <row r="38" spans="2:18">
      <c r="B38" s="45"/>
      <c r="C38" s="45"/>
      <c r="E38" s="45"/>
      <c r="F38" s="45"/>
      <c r="G38" s="46"/>
      <c r="H38" s="45"/>
      <c r="I38" s="45"/>
      <c r="J38" s="46"/>
      <c r="K38" s="45"/>
      <c r="L38" s="45"/>
      <c r="M38" s="46"/>
      <c r="N38" s="45"/>
      <c r="O38" s="45"/>
      <c r="P38" s="46"/>
      <c r="Q38" s="45"/>
      <c r="R38" s="45"/>
    </row>
    <row r="39" spans="2:18">
      <c r="E39" s="46"/>
      <c r="F39" s="46"/>
      <c r="G39" s="46"/>
      <c r="H39" s="46"/>
      <c r="I39" s="46"/>
      <c r="J39" s="46"/>
      <c r="K39" s="46"/>
      <c r="L39" s="46"/>
      <c r="M39" s="46"/>
      <c r="N39" s="46"/>
      <c r="O39" s="46"/>
      <c r="P39" s="46"/>
      <c r="Q39" s="46"/>
      <c r="R39" s="46"/>
    </row>
  </sheetData>
  <sheetProtection sheet="1" selectLockedCells="1"/>
  <mergeCells count="3">
    <mergeCell ref="C5:C7"/>
    <mergeCell ref="C2:G2"/>
    <mergeCell ref="C4:G4"/>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EA330674-6056-4164-BBFD-D7E21D9F2A7A}">
            <xm:f>$C8=Gruppendritte!$I$18</xm:f>
            <x14:dxf>
              <fill>
                <patternFill>
                  <bgColor theme="9" tint="0.59996337778862885"/>
                </patternFill>
              </fill>
            </x14:dxf>
          </x14:cfRule>
          <xm:sqref>C8:G8</xm:sqref>
        </x14:conditionalFormatting>
        <x14:conditionalFormatting xmlns:xm="http://schemas.microsoft.com/office/excel/2006/main">
          <x14:cfRule type="expression" priority="14" id="{C320279E-11D0-449E-9903-02DBCA0CE1FD}">
            <xm:f>$C9=Gruppendritte!$I$18</xm:f>
            <x14:dxf>
              <fill>
                <patternFill>
                  <bgColor theme="9" tint="0.59996337778862885"/>
                </patternFill>
              </fill>
            </x14:dxf>
          </x14:cfRule>
          <xm:sqref>C9:G9</xm:sqref>
        </x14:conditionalFormatting>
        <x14:conditionalFormatting xmlns:xm="http://schemas.microsoft.com/office/excel/2006/main">
          <x14:cfRule type="expression" priority="13" id="{5B3918A1-0911-47D1-8DB2-5A557164DCAC}">
            <xm:f>AND(AnzSpiele&gt;0,$C10=Gruppendritte!$I$18)</xm:f>
            <x14:dxf>
              <fill>
                <patternFill>
                  <bgColor theme="9" tint="0.59996337778862885"/>
                </patternFill>
              </fill>
            </x14:dxf>
          </x14:cfRule>
          <xm:sqref>C10:G10</xm:sqref>
        </x14:conditionalFormatting>
        <x14:conditionalFormatting xmlns:xm="http://schemas.microsoft.com/office/excel/2006/main">
          <x14:cfRule type="expression" priority="12" id="{4C55923E-2EFB-47CB-AEFC-008D5429BAFA}">
            <xm:f>$C11=Gruppendritte!$I$18</xm:f>
            <x14:dxf>
              <fill>
                <patternFill>
                  <bgColor theme="9" tint="0.59996337778862885"/>
                </patternFill>
              </fill>
            </x14:dxf>
          </x14:cfRule>
          <xm:sqref>C11:G11</xm:sqref>
        </x14:conditionalFormatting>
        <x14:conditionalFormatting xmlns:xm="http://schemas.microsoft.com/office/excel/2006/main">
          <x14:cfRule type="expression" priority="11" id="{9A06C7CD-605B-480D-806C-BE51292D94B1}">
            <xm:f>$C12=Gruppendritte!$I$18</xm:f>
            <x14:dxf>
              <fill>
                <patternFill>
                  <bgColor theme="9" tint="0.59996337778862885"/>
                </patternFill>
              </fill>
            </x14:dxf>
          </x14:cfRule>
          <xm:sqref>C12:G12</xm:sqref>
        </x14:conditionalFormatting>
        <x14:conditionalFormatting xmlns:xm="http://schemas.microsoft.com/office/excel/2006/main">
          <x14:cfRule type="expression" priority="10" id="{9D661C16-FE25-469E-BDC0-FB659838A68E}">
            <xm:f>$C13=Gruppendritte!$I$18</xm:f>
            <x14:dxf>
              <fill>
                <patternFill>
                  <bgColor theme="9" tint="0.59996337778862885"/>
                </patternFill>
              </fill>
            </x14:dxf>
          </x14:cfRule>
          <xm:sqref>C13:G13</xm:sqref>
        </x14:conditionalFormatting>
        <x14:conditionalFormatting xmlns:xm="http://schemas.microsoft.com/office/excel/2006/main">
          <x14:cfRule type="expression" priority="9" id="{C6188701-77A2-4A86-AB46-EBE91A698A61}">
            <xm:f>$C14=Gruppendritte!$I$18</xm:f>
            <x14:dxf>
              <fill>
                <patternFill>
                  <bgColor theme="9" tint="0.59996337778862885"/>
                </patternFill>
              </fill>
            </x14:dxf>
          </x14:cfRule>
          <xm:sqref>C14:G14</xm:sqref>
        </x14:conditionalFormatting>
        <x14:conditionalFormatting xmlns:xm="http://schemas.microsoft.com/office/excel/2006/main">
          <x14:cfRule type="expression" priority="8" id="{FFC5FB70-EE6F-4384-A349-978B3924F67D}">
            <xm:f>$C15=Gruppendritte!$I$18</xm:f>
            <x14:dxf>
              <fill>
                <patternFill>
                  <bgColor theme="9" tint="0.59996337778862885"/>
                </patternFill>
              </fill>
            </x14:dxf>
          </x14:cfRule>
          <xm:sqref>C15:G15</xm:sqref>
        </x14:conditionalFormatting>
        <x14:conditionalFormatting xmlns:xm="http://schemas.microsoft.com/office/excel/2006/main">
          <x14:cfRule type="expression" priority="7" id="{F855031D-9841-4583-8ED7-8FCF21FD07AA}">
            <xm:f>$C16=Gruppendritte!$I$18</xm:f>
            <x14:dxf>
              <fill>
                <patternFill>
                  <bgColor theme="9" tint="0.59996337778862885"/>
                </patternFill>
              </fill>
            </x14:dxf>
          </x14:cfRule>
          <xm:sqref>C16:G16</xm:sqref>
        </x14:conditionalFormatting>
        <x14:conditionalFormatting xmlns:xm="http://schemas.microsoft.com/office/excel/2006/main">
          <x14:cfRule type="expression" priority="6" id="{BAA91127-4446-4921-B775-A6DD97DDD76E}">
            <xm:f>$C17=Gruppendritte!$I$18</xm:f>
            <x14:dxf>
              <fill>
                <patternFill>
                  <bgColor theme="9" tint="0.59996337778862885"/>
                </patternFill>
              </fill>
            </x14:dxf>
          </x14:cfRule>
          <xm:sqref>C17:G17</xm:sqref>
        </x14:conditionalFormatting>
        <x14:conditionalFormatting xmlns:xm="http://schemas.microsoft.com/office/excel/2006/main">
          <x14:cfRule type="expression" priority="5" id="{7D3BCAFB-8D4E-4084-9C4F-D1B6A5D95CCE}">
            <xm:f>$C18=Gruppendritte!$I$18</xm:f>
            <x14:dxf>
              <fill>
                <patternFill>
                  <bgColor theme="9" tint="0.59996337778862885"/>
                </patternFill>
              </fill>
            </x14:dxf>
          </x14:cfRule>
          <xm:sqref>C18:G18</xm:sqref>
        </x14:conditionalFormatting>
        <x14:conditionalFormatting xmlns:xm="http://schemas.microsoft.com/office/excel/2006/main">
          <x14:cfRule type="expression" priority="4" id="{C9850993-5F4C-4E16-8AFF-0C474D758B41}">
            <xm:f>$C19=Gruppendritte!$I$18</xm:f>
            <x14:dxf>
              <fill>
                <patternFill>
                  <bgColor theme="9" tint="0.59996337778862885"/>
                </patternFill>
              </fill>
            </x14:dxf>
          </x14:cfRule>
          <xm:sqref>C19:G19</xm:sqref>
        </x14:conditionalFormatting>
        <x14:conditionalFormatting xmlns:xm="http://schemas.microsoft.com/office/excel/2006/main">
          <x14:cfRule type="expression" priority="3" id="{2AD51576-2DFC-4518-BB08-1E6F78A33F23}">
            <xm:f>$C20=Gruppendritte!$I$18</xm:f>
            <x14:dxf>
              <fill>
                <patternFill>
                  <bgColor theme="9" tint="0.59996337778862885"/>
                </patternFill>
              </fill>
            </x14:dxf>
          </x14:cfRule>
          <xm:sqref>C20:G20</xm:sqref>
        </x14:conditionalFormatting>
        <x14:conditionalFormatting xmlns:xm="http://schemas.microsoft.com/office/excel/2006/main">
          <x14:cfRule type="expression" priority="2" id="{EB205E25-2CED-4857-AC24-D1430E666CE1}">
            <xm:f>$C21=Gruppendritte!$I$18</xm:f>
            <x14:dxf>
              <fill>
                <patternFill>
                  <bgColor theme="9" tint="0.59996337778862885"/>
                </patternFill>
              </fill>
            </x14:dxf>
          </x14:cfRule>
          <xm:sqref>C21:G21</xm:sqref>
        </x14:conditionalFormatting>
        <x14:conditionalFormatting xmlns:xm="http://schemas.microsoft.com/office/excel/2006/main">
          <x14:cfRule type="expression" priority="1" id="{27D8CB1E-CDE2-43BF-B645-953E20532E62}">
            <xm:f>$C22=Gruppendritte!$I$18</xm:f>
            <x14:dxf>
              <fill>
                <patternFill>
                  <bgColor theme="9" tint="0.59996337778862885"/>
                </patternFill>
              </fill>
            </x14:dxf>
          </x14:cfRule>
          <xm:sqref>C22:G22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41ED-A29A-484E-BAC9-80AD4AD7FDE4}">
  <sheetPr codeName="Tabelle14"/>
  <dimension ref="B2:G24"/>
  <sheetViews>
    <sheetView showGridLines="0" showRowColHeaders="0" topLeftCell="A3" workbookViewId="0">
      <selection activeCell="AE24" sqref="AE24"/>
    </sheetView>
  </sheetViews>
  <sheetFormatPr defaultColWidth="10.88671875" defaultRowHeight="14.4"/>
  <sheetData>
    <row r="2" spans="2:7" ht="25.8">
      <c r="B2" s="347" t="s">
        <v>202</v>
      </c>
      <c r="C2" s="347"/>
      <c r="D2" s="347"/>
      <c r="E2" s="347"/>
      <c r="F2" s="347"/>
      <c r="G2" s="347"/>
    </row>
    <row r="4" spans="2:7">
      <c r="B4" s="339" t="s">
        <v>201</v>
      </c>
      <c r="C4" s="340"/>
      <c r="D4" s="340"/>
      <c r="E4" s="340"/>
      <c r="F4" s="340"/>
      <c r="G4" s="341"/>
    </row>
    <row r="5" spans="2:7">
      <c r="B5" s="342"/>
      <c r="C5" s="306"/>
      <c r="D5" s="306"/>
      <c r="E5" s="306"/>
      <c r="F5" s="306"/>
      <c r="G5" s="343"/>
    </row>
    <row r="6" spans="2:7">
      <c r="B6" s="342"/>
      <c r="C6" s="306"/>
      <c r="D6" s="306"/>
      <c r="E6" s="306"/>
      <c r="F6" s="306"/>
      <c r="G6" s="343"/>
    </row>
    <row r="7" spans="2:7">
      <c r="B7" s="342"/>
      <c r="C7" s="306"/>
      <c r="D7" s="306"/>
      <c r="E7" s="306"/>
      <c r="F7" s="306"/>
      <c r="G7" s="343"/>
    </row>
    <row r="8" spans="2:7">
      <c r="B8" s="342"/>
      <c r="C8" s="306"/>
      <c r="D8" s="306"/>
      <c r="E8" s="306"/>
      <c r="F8" s="306"/>
      <c r="G8" s="343"/>
    </row>
    <row r="9" spans="2:7">
      <c r="B9" s="342"/>
      <c r="C9" s="306"/>
      <c r="D9" s="306"/>
      <c r="E9" s="306"/>
      <c r="F9" s="306"/>
      <c r="G9" s="343"/>
    </row>
    <row r="10" spans="2:7">
      <c r="B10" s="342"/>
      <c r="C10" s="306"/>
      <c r="D10" s="306"/>
      <c r="E10" s="306"/>
      <c r="F10" s="306"/>
      <c r="G10" s="343"/>
    </row>
    <row r="11" spans="2:7">
      <c r="B11" s="342"/>
      <c r="C11" s="306"/>
      <c r="D11" s="306"/>
      <c r="E11" s="306"/>
      <c r="F11" s="306"/>
      <c r="G11" s="343"/>
    </row>
    <row r="12" spans="2:7">
      <c r="B12" s="342"/>
      <c r="C12" s="306"/>
      <c r="D12" s="306"/>
      <c r="E12" s="306"/>
      <c r="F12" s="306"/>
      <c r="G12" s="343"/>
    </row>
    <row r="13" spans="2:7">
      <c r="B13" s="342"/>
      <c r="C13" s="306"/>
      <c r="D13" s="306"/>
      <c r="E13" s="306"/>
      <c r="F13" s="306"/>
      <c r="G13" s="343"/>
    </row>
    <row r="14" spans="2:7">
      <c r="B14" s="342"/>
      <c r="C14" s="306"/>
      <c r="D14" s="306"/>
      <c r="E14" s="306"/>
      <c r="F14" s="306"/>
      <c r="G14" s="343"/>
    </row>
    <row r="15" spans="2:7">
      <c r="B15" s="342"/>
      <c r="C15" s="306"/>
      <c r="D15" s="306"/>
      <c r="E15" s="306"/>
      <c r="F15" s="306"/>
      <c r="G15" s="343"/>
    </row>
    <row r="16" spans="2:7">
      <c r="B16" s="342"/>
      <c r="C16" s="306"/>
      <c r="D16" s="306"/>
      <c r="E16" s="306"/>
      <c r="F16" s="306"/>
      <c r="G16" s="343"/>
    </row>
    <row r="17" spans="2:7">
      <c r="B17" s="342"/>
      <c r="C17" s="306"/>
      <c r="D17" s="306"/>
      <c r="E17" s="306"/>
      <c r="F17" s="306"/>
      <c r="G17" s="343"/>
    </row>
    <row r="18" spans="2:7">
      <c r="B18" s="342"/>
      <c r="C18" s="306"/>
      <c r="D18" s="306"/>
      <c r="E18" s="306"/>
      <c r="F18" s="306"/>
      <c r="G18" s="343"/>
    </row>
    <row r="19" spans="2:7">
      <c r="B19" s="342"/>
      <c r="C19" s="306"/>
      <c r="D19" s="306"/>
      <c r="E19" s="306"/>
      <c r="F19" s="306"/>
      <c r="G19" s="343"/>
    </row>
    <row r="20" spans="2:7">
      <c r="B20" s="342"/>
      <c r="C20" s="306"/>
      <c r="D20" s="306"/>
      <c r="E20" s="306"/>
      <c r="F20" s="306"/>
      <c r="G20" s="343"/>
    </row>
    <row r="21" spans="2:7">
      <c r="B21" s="342"/>
      <c r="C21" s="306"/>
      <c r="D21" s="306"/>
      <c r="E21" s="306"/>
      <c r="F21" s="306"/>
      <c r="G21" s="343"/>
    </row>
    <row r="22" spans="2:7">
      <c r="B22" s="342"/>
      <c r="C22" s="306"/>
      <c r="D22" s="306"/>
      <c r="E22" s="306"/>
      <c r="F22" s="306"/>
      <c r="G22" s="343"/>
    </row>
    <row r="23" spans="2:7">
      <c r="B23" s="342"/>
      <c r="C23" s="306"/>
      <c r="D23" s="306"/>
      <c r="E23" s="306"/>
      <c r="F23" s="306"/>
      <c r="G23" s="343"/>
    </row>
    <row r="24" spans="2:7">
      <c r="B24" s="344"/>
      <c r="C24" s="345"/>
      <c r="D24" s="345"/>
      <c r="E24" s="345"/>
      <c r="F24" s="345"/>
      <c r="G24" s="346"/>
    </row>
  </sheetData>
  <sheetProtection sheet="1" objects="1" scenarios="1" selectLockedCells="1"/>
  <mergeCells count="2">
    <mergeCell ref="B4:G24"/>
    <mergeCell ref="B2:G2"/>
  </mergeCells>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4C46-CEEA-4263-A490-56BB89862C2B}">
  <sheetPr codeName="Tabelle5"/>
  <dimension ref="B3:C11"/>
  <sheetViews>
    <sheetView workbookViewId="0"/>
  </sheetViews>
  <sheetFormatPr defaultColWidth="10.88671875" defaultRowHeight="14.4"/>
  <cols>
    <col min="3" max="3" width="15.21875" customWidth="1"/>
  </cols>
  <sheetData>
    <row r="3" spans="2:3" ht="15" thickBot="1">
      <c r="B3" s="147" t="s">
        <v>86</v>
      </c>
      <c r="C3" s="147" t="s">
        <v>90</v>
      </c>
    </row>
    <row r="4" spans="2:3" ht="15" thickTop="1">
      <c r="B4" s="145">
        <v>1000000</v>
      </c>
      <c r="C4" s="146" t="s">
        <v>73</v>
      </c>
    </row>
    <row r="5" spans="2:3">
      <c r="B5" s="143">
        <v>100000</v>
      </c>
      <c r="C5" s="144" t="s">
        <v>79</v>
      </c>
    </row>
    <row r="6" spans="2:3">
      <c r="B6" s="143">
        <v>10000</v>
      </c>
      <c r="C6" s="144" t="s">
        <v>78</v>
      </c>
    </row>
    <row r="7" spans="2:3">
      <c r="B7" s="143">
        <v>100</v>
      </c>
      <c r="C7" s="144" t="s">
        <v>74</v>
      </c>
    </row>
    <row r="8" spans="2:3">
      <c r="B8" s="143">
        <v>1</v>
      </c>
      <c r="C8" s="144" t="s">
        <v>77</v>
      </c>
    </row>
    <row r="9" spans="2:3">
      <c r="B9" s="143">
        <v>0.1</v>
      </c>
      <c r="C9" s="144" t="s">
        <v>85</v>
      </c>
    </row>
    <row r="10" spans="2:3">
      <c r="B10" s="143">
        <v>1E-3</v>
      </c>
      <c r="C10" s="144" t="s">
        <v>87</v>
      </c>
    </row>
    <row r="11" spans="2:3">
      <c r="B11" s="143">
        <v>1.0000000000000001E-5</v>
      </c>
      <c r="C11" s="144" t="s">
        <v>80</v>
      </c>
    </row>
  </sheetData>
  <sheetProtection sheet="1" objects="1" scenarios="1" selectLockedCells="1"/>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39A4-B881-4D62-A24E-E7BE0C56FD53}">
  <sheetPr codeName="Tabelle9"/>
  <dimension ref="A1:S21"/>
  <sheetViews>
    <sheetView workbookViewId="0">
      <selection activeCell="R11" sqref="R11"/>
    </sheetView>
  </sheetViews>
  <sheetFormatPr defaultColWidth="10.88671875" defaultRowHeight="14.4"/>
  <cols>
    <col min="1" max="1" width="7.77734375" customWidth="1"/>
    <col min="2" max="2" width="4.44140625" style="51" customWidth="1"/>
    <col min="3" max="3" width="14" customWidth="1"/>
    <col min="8" max="8" width="14.21875" customWidth="1"/>
    <col min="10" max="10" width="7.77734375" customWidth="1"/>
    <col min="13" max="13" width="3.21875" customWidth="1"/>
    <col min="14" max="14" width="4.5546875" customWidth="1"/>
    <col min="15" max="15" width="0.77734375" customWidth="1"/>
    <col min="16" max="16" width="3.5546875" customWidth="1"/>
  </cols>
  <sheetData>
    <row r="1" spans="1:19" ht="23.4">
      <c r="C1" s="130" t="s">
        <v>70</v>
      </c>
    </row>
    <row r="2" spans="1:19" ht="8.25" customHeight="1"/>
    <row r="3" spans="1:19">
      <c r="A3" s="125"/>
      <c r="B3" s="128"/>
      <c r="C3" s="127"/>
      <c r="D3" s="129" t="s">
        <v>73</v>
      </c>
      <c r="E3" s="129" t="s">
        <v>84</v>
      </c>
      <c r="F3" s="129" t="s">
        <v>83</v>
      </c>
      <c r="G3" s="129" t="s">
        <v>82</v>
      </c>
      <c r="H3" s="129" t="s">
        <v>81</v>
      </c>
      <c r="I3" s="129" t="s">
        <v>110</v>
      </c>
      <c r="J3" s="172"/>
      <c r="K3" s="140" t="s">
        <v>87</v>
      </c>
      <c r="L3" s="140" t="s">
        <v>80</v>
      </c>
    </row>
    <row r="4" spans="1:19">
      <c r="A4" s="51"/>
      <c r="B4" s="51" t="s">
        <v>66</v>
      </c>
      <c r="C4" t="str">
        <f ca="1">GrpA!O$13</f>
        <v>Turkije</v>
      </c>
      <c r="D4" s="51">
        <f ca="1">GrpA!P$13</f>
        <v>4</v>
      </c>
      <c r="E4" s="51">
        <f ca="1">GrpA!Q$13</f>
        <v>-1</v>
      </c>
      <c r="F4" s="51">
        <f ca="1">GrpA!R$13</f>
        <v>4</v>
      </c>
      <c r="G4" s="51">
        <f ca="1">GrpA!S$13</f>
        <v>5</v>
      </c>
      <c r="H4" s="131">
        <f t="shared" ref="H4:H9" ca="1" si="0">$D4*FaktorPkte+$E4*FaktorTDiff+$F4*FaktorTErz+K4*FaktorFairPlay+L4*FaktorRngLi</f>
        <v>3999904.0991099998</v>
      </c>
      <c r="I4" s="51" t="s">
        <v>63</v>
      </c>
      <c r="J4" s="51"/>
      <c r="K4" s="148">
        <f t="shared" ref="K4:K9" ca="1" si="1">99-SUMIFS(FairPlayPkte1,FairPlayMn1,C4)-SUMIFS(FairPlayPkte2,FairPlayMn2,C4)</f>
        <v>99</v>
      </c>
      <c r="L4" s="148">
        <f ca="1">25-INDEX(RngLiRang,MATCH(Gruppendritte!C4,RngLiLand,0))</f>
        <v>11</v>
      </c>
    </row>
    <row r="5" spans="1:19">
      <c r="A5" s="51"/>
      <c r="B5" s="51" t="s">
        <v>67</v>
      </c>
      <c r="C5" t="str">
        <f ca="1">GrpB!O$13</f>
        <v>Denemarken</v>
      </c>
      <c r="D5" s="51">
        <f ca="1">GrpB!P$13</f>
        <v>4</v>
      </c>
      <c r="E5" s="51">
        <f ca="1">GrpB!Q$13</f>
        <v>1</v>
      </c>
      <c r="F5" s="51">
        <f ca="1">GrpB!R$13</f>
        <v>3</v>
      </c>
      <c r="G5" s="51">
        <f ca="1">GrpB!S$13</f>
        <v>2</v>
      </c>
      <c r="H5" s="131">
        <f t="shared" ca="1" si="0"/>
        <v>4000103.0990999998</v>
      </c>
      <c r="I5" s="51" t="s">
        <v>59</v>
      </c>
      <c r="J5" s="51"/>
      <c r="K5" s="148">
        <f t="shared" ca="1" si="1"/>
        <v>99</v>
      </c>
      <c r="L5" s="148">
        <f ca="1">25-INDEX(RngLiRang,MATCH(Gruppendritte!C5,RngLiLand,0))</f>
        <v>10</v>
      </c>
    </row>
    <row r="6" spans="1:19">
      <c r="A6" s="51"/>
      <c r="B6" s="51" t="s">
        <v>68</v>
      </c>
      <c r="C6" t="str">
        <f ca="1">GrpC!O$13</f>
        <v>Oostenrijk</v>
      </c>
      <c r="D6" s="51">
        <f ca="1">GrpC!P$13</f>
        <v>3</v>
      </c>
      <c r="E6" s="51">
        <f ca="1">GrpC!Q$13</f>
        <v>0</v>
      </c>
      <c r="F6" s="51">
        <f ca="1">GrpC!R$13</f>
        <v>3</v>
      </c>
      <c r="G6" s="51">
        <f ca="1">GrpC!S$13</f>
        <v>3</v>
      </c>
      <c r="H6" s="131">
        <f t="shared" ca="1" si="0"/>
        <v>3000003.0990900001</v>
      </c>
      <c r="I6" s="51" t="s">
        <v>60</v>
      </c>
      <c r="J6" s="51"/>
      <c r="K6" s="148">
        <f t="shared" ca="1" si="1"/>
        <v>99</v>
      </c>
      <c r="L6" s="148">
        <f ca="1">25-INDEX(RngLiRang,MATCH(Gruppendritte!C6,RngLiLand,0))</f>
        <v>9</v>
      </c>
    </row>
    <row r="7" spans="1:19">
      <c r="A7" s="51"/>
      <c r="B7" s="51" t="s">
        <v>69</v>
      </c>
      <c r="C7" t="str">
        <f ca="1">GrpD!O$13</f>
        <v>Tsjechië</v>
      </c>
      <c r="D7" s="51">
        <f ca="1">GrpD!P$13</f>
        <v>2</v>
      </c>
      <c r="E7" s="51">
        <f ca="1">GrpD!Q$13</f>
        <v>-1</v>
      </c>
      <c r="F7" s="51">
        <f ca="1">GrpD!R$13</f>
        <v>2</v>
      </c>
      <c r="G7" s="51">
        <f ca="1">GrpD!S$13</f>
        <v>3</v>
      </c>
      <c r="H7" s="131">
        <f t="shared" ca="1" si="0"/>
        <v>1999902.09907</v>
      </c>
      <c r="I7" s="51" t="s">
        <v>64</v>
      </c>
      <c r="J7" s="51"/>
      <c r="K7" s="148">
        <f t="shared" ca="1" si="1"/>
        <v>99</v>
      </c>
      <c r="L7" s="148">
        <f ca="1">25-INDEX(RngLiRang,MATCH(Gruppendritte!C7,RngLiLand,0))</f>
        <v>7</v>
      </c>
    </row>
    <row r="8" spans="1:19">
      <c r="A8" s="51"/>
      <c r="B8" s="51" t="s">
        <v>108</v>
      </c>
      <c r="C8" t="str">
        <f ca="1">GrpE!O$13</f>
        <v>Zweden</v>
      </c>
      <c r="D8" s="51">
        <f ca="1">GrpE!P$13</f>
        <v>4</v>
      </c>
      <c r="E8" s="51">
        <f ca="1">GrpE!Q$13</f>
        <v>-1</v>
      </c>
      <c r="F8" s="51">
        <f ca="1">GrpE!R$13</f>
        <v>3</v>
      </c>
      <c r="G8" s="51">
        <f ca="1">GrpE!S$13</f>
        <v>4</v>
      </c>
      <c r="H8" s="131">
        <f t="shared" ca="1" si="0"/>
        <v>3999903.0990800001</v>
      </c>
      <c r="I8" s="51" t="s">
        <v>61</v>
      </c>
      <c r="J8" s="51"/>
      <c r="K8" s="148">
        <f t="shared" ca="1" si="1"/>
        <v>99</v>
      </c>
      <c r="L8" s="148">
        <f ca="1">25-INDEX(RngLiRang,MATCH(Gruppendritte!C8,RngLiLand,0))</f>
        <v>8</v>
      </c>
    </row>
    <row r="9" spans="1:19">
      <c r="A9" s="51"/>
      <c r="B9" s="51" t="s">
        <v>109</v>
      </c>
      <c r="C9" t="str">
        <f ca="1">GrpF!O$13</f>
        <v>Portugal</v>
      </c>
      <c r="D9" s="51">
        <f ca="1">GrpF!P$13</f>
        <v>4</v>
      </c>
      <c r="E9" s="51">
        <f ca="1">GrpF!Q$13</f>
        <v>0</v>
      </c>
      <c r="F9" s="51">
        <f ca="1">GrpF!R$13</f>
        <v>4</v>
      </c>
      <c r="G9" s="51">
        <f ca="1">GrpF!S$13</f>
        <v>4</v>
      </c>
      <c r="H9" s="131">
        <f t="shared" ca="1" si="0"/>
        <v>4000004.0991199999</v>
      </c>
      <c r="I9" s="51" t="s">
        <v>62</v>
      </c>
      <c r="J9" s="51"/>
      <c r="K9" s="148">
        <f t="shared" ca="1" si="1"/>
        <v>99</v>
      </c>
      <c r="L9" s="148">
        <f ca="1">25-INDEX(RngLiRang,MATCH(Gruppendritte!C9,RngLiLand,0))</f>
        <v>12</v>
      </c>
    </row>
    <row r="10" spans="1:19" ht="15" thickBot="1">
      <c r="D10" s="51"/>
      <c r="E10" s="51"/>
      <c r="F10" s="51"/>
      <c r="G10" s="51"/>
      <c r="I10" s="51"/>
      <c r="J10" s="51"/>
    </row>
    <row r="11" spans="1:19" ht="15" thickTop="1">
      <c r="B11" s="121" t="s">
        <v>66</v>
      </c>
      <c r="C11" s="120" t="str">
        <f ca="1">INDEX(C$4:C$9,MATCH($H11,$H$4:$H$9,0))</f>
        <v>Denemarken</v>
      </c>
      <c r="D11" s="119">
        <f t="shared" ref="D11:G16" ca="1" si="2">INDEX(D$4:D$9,MATCH($H11,$H$4:$H$9,0))</f>
        <v>4</v>
      </c>
      <c r="E11" s="119">
        <f t="shared" ca="1" si="2"/>
        <v>1</v>
      </c>
      <c r="F11" s="119">
        <f t="shared" ca="1" si="2"/>
        <v>3</v>
      </c>
      <c r="G11" s="119">
        <f t="shared" ca="1" si="2"/>
        <v>2</v>
      </c>
      <c r="H11" s="167">
        <f ca="1">LARGE($H$4:$H$9,ROW($H4)-3)</f>
        <v>4000103.0990999998</v>
      </c>
      <c r="I11" s="169" t="str">
        <f ca="1">INDEX(I$4:I$9,MATCH($H11,$H$4:$H$9,0))</f>
        <v>B</v>
      </c>
      <c r="J11" s="173"/>
      <c r="K11" s="174">
        <f t="array" aca="1" ref="K11" ca="1">SUM(IF($I$11:$I$14 &lt; $I11,1))</f>
        <v>1</v>
      </c>
      <c r="L11" s="51" t="str">
        <f ca="1">INDEX($I$11:$I$14,MATCH(ROW()-11,$K$11:$K$14,0))</f>
        <v>A</v>
      </c>
      <c r="M11" s="163">
        <f ca="1">D11</f>
        <v>4</v>
      </c>
      <c r="N11" s="162">
        <f ca="1">F11</f>
        <v>3</v>
      </c>
      <c r="O11" s="160" t="s">
        <v>75</v>
      </c>
      <c r="P11" s="161">
        <f ca="1">G11</f>
        <v>2</v>
      </c>
      <c r="R11" s="51">
        <f ca="1">SMALL($K$11:$K$14,ROW()-10)</f>
        <v>0</v>
      </c>
      <c r="S11" s="51">
        <f ca="1">MATCH(ROW()-11,$K$11:$K$14,0)</f>
        <v>3</v>
      </c>
    </row>
    <row r="12" spans="1:19">
      <c r="B12" s="118" t="s">
        <v>67</v>
      </c>
      <c r="C12" s="60" t="str">
        <f t="shared" ref="C12:C16" ca="1" si="3">INDEX(C$4:C$9,MATCH($H12,$H$4:$H$9,0))</f>
        <v>Portugal</v>
      </c>
      <c r="D12" s="117">
        <f t="shared" ca="1" si="2"/>
        <v>4</v>
      </c>
      <c r="E12" s="117">
        <f t="shared" ca="1" si="2"/>
        <v>0</v>
      </c>
      <c r="F12" s="117">
        <f t="shared" ca="1" si="2"/>
        <v>4</v>
      </c>
      <c r="G12" s="117">
        <f t="shared" ca="1" si="2"/>
        <v>4</v>
      </c>
      <c r="H12" s="166">
        <f t="shared" ref="H12:H16" ca="1" si="4">LARGE($H$4:$H$9,ROW($H5)-3)</f>
        <v>4000004.0991199999</v>
      </c>
      <c r="I12" s="170" t="str">
        <f t="shared" ref="I12:I16" ca="1" si="5">INDEX(I$4:I$9,MATCH($H12,$H$4:$H$9,0))</f>
        <v>F</v>
      </c>
      <c r="J12" s="117"/>
      <c r="K12" s="174">
        <f t="array" aca="1" ref="K12" ca="1">SUM(IF($I$11:$I$14 &lt; $I12,1))</f>
        <v>3</v>
      </c>
      <c r="L12" s="51" t="str">
        <f t="shared" ref="L12:L14" ca="1" si="6">INDEX($I$11:$I$14,MATCH(ROW()-11,$K$11:$K$14,0))</f>
        <v>B</v>
      </c>
      <c r="M12" s="163">
        <f t="shared" ref="M12:M14" ca="1" si="7">D12</f>
        <v>4</v>
      </c>
      <c r="N12" s="162">
        <f t="shared" ref="N12:N14" ca="1" si="8">F12</f>
        <v>4</v>
      </c>
      <c r="O12" s="160" t="s">
        <v>75</v>
      </c>
      <c r="P12" s="161">
        <f t="shared" ref="P12:P14" ca="1" si="9">G12</f>
        <v>4</v>
      </c>
      <c r="R12" s="51">
        <f t="shared" ref="R12:R14" ca="1" si="10">SMALL($K$11:$K$14,ROW()-10)</f>
        <v>1</v>
      </c>
      <c r="S12" s="51">
        <f t="shared" ref="S12:S14" ca="1" si="11">MATCH(ROW()-11,$K$11:$K$14,0)</f>
        <v>1</v>
      </c>
    </row>
    <row r="13" spans="1:19">
      <c r="B13" s="118" t="s">
        <v>68</v>
      </c>
      <c r="C13" s="60" t="str">
        <f t="shared" ca="1" si="3"/>
        <v>Turkije</v>
      </c>
      <c r="D13" s="117">
        <f t="shared" ca="1" si="2"/>
        <v>4</v>
      </c>
      <c r="E13" s="117">
        <f t="shared" ca="1" si="2"/>
        <v>-1</v>
      </c>
      <c r="F13" s="117">
        <f t="shared" ca="1" si="2"/>
        <v>4</v>
      </c>
      <c r="G13" s="117">
        <f t="shared" ca="1" si="2"/>
        <v>5</v>
      </c>
      <c r="H13" s="166">
        <f t="shared" ca="1" si="4"/>
        <v>3999904.0991099998</v>
      </c>
      <c r="I13" s="170" t="str">
        <f t="shared" ca="1" si="5"/>
        <v>A</v>
      </c>
      <c r="J13" s="117"/>
      <c r="K13" s="174">
        <f t="array" aca="1" ref="K13" ca="1">SUM(IF($I$11:$I$14 &lt; $I13,1))</f>
        <v>0</v>
      </c>
      <c r="L13" s="51" t="str">
        <f t="shared" ca="1" si="6"/>
        <v>E</v>
      </c>
      <c r="M13" s="163">
        <f t="shared" ca="1" si="7"/>
        <v>4</v>
      </c>
      <c r="N13" s="162">
        <f t="shared" ca="1" si="8"/>
        <v>4</v>
      </c>
      <c r="O13" s="160" t="s">
        <v>75</v>
      </c>
      <c r="P13" s="161">
        <f t="shared" ca="1" si="9"/>
        <v>5</v>
      </c>
      <c r="R13" s="51">
        <f t="shared" ca="1" si="10"/>
        <v>2</v>
      </c>
      <c r="S13" s="51">
        <f t="shared" ca="1" si="11"/>
        <v>4</v>
      </c>
    </row>
    <row r="14" spans="1:19">
      <c r="B14" s="118" t="s">
        <v>69</v>
      </c>
      <c r="C14" s="60" t="str">
        <f t="shared" ca="1" si="3"/>
        <v>Zweden</v>
      </c>
      <c r="D14" s="117">
        <f t="shared" ca="1" si="2"/>
        <v>4</v>
      </c>
      <c r="E14" s="117">
        <f t="shared" ca="1" si="2"/>
        <v>-1</v>
      </c>
      <c r="F14" s="117">
        <f t="shared" ca="1" si="2"/>
        <v>3</v>
      </c>
      <c r="G14" s="117">
        <f t="shared" ca="1" si="2"/>
        <v>4</v>
      </c>
      <c r="H14" s="166">
        <f t="shared" ca="1" si="4"/>
        <v>3999903.0990800001</v>
      </c>
      <c r="I14" s="170" t="str">
        <f t="shared" ca="1" si="5"/>
        <v>E</v>
      </c>
      <c r="J14" s="117"/>
      <c r="K14" s="174">
        <f t="array" aca="1" ref="K14" ca="1">SUM(IF($I$11:$I$14 &lt; $I14,1))</f>
        <v>2</v>
      </c>
      <c r="L14" s="51" t="str">
        <f t="shared" ca="1" si="6"/>
        <v>F</v>
      </c>
      <c r="M14" s="163">
        <f t="shared" ca="1" si="7"/>
        <v>4</v>
      </c>
      <c r="N14" s="162">
        <f t="shared" ca="1" si="8"/>
        <v>3</v>
      </c>
      <c r="O14" s="160" t="s">
        <v>75</v>
      </c>
      <c r="P14" s="161">
        <f t="shared" ca="1" si="9"/>
        <v>4</v>
      </c>
      <c r="R14" s="51">
        <f t="shared" ca="1" si="10"/>
        <v>3</v>
      </c>
      <c r="S14" s="51">
        <f t="shared" ca="1" si="11"/>
        <v>2</v>
      </c>
    </row>
    <row r="15" spans="1:19">
      <c r="B15" s="118" t="s">
        <v>108</v>
      </c>
      <c r="C15" s="60" t="str">
        <f t="shared" ca="1" si="3"/>
        <v>Oostenrijk</v>
      </c>
      <c r="D15" s="117">
        <f t="shared" ca="1" si="2"/>
        <v>3</v>
      </c>
      <c r="E15" s="117">
        <f t="shared" ca="1" si="2"/>
        <v>0</v>
      </c>
      <c r="F15" s="117">
        <f t="shared" ca="1" si="2"/>
        <v>3</v>
      </c>
      <c r="G15" s="117">
        <f t="shared" ca="1" si="2"/>
        <v>3</v>
      </c>
      <c r="H15" s="166">
        <f t="shared" ca="1" si="4"/>
        <v>3000003.0990900001</v>
      </c>
      <c r="I15" s="170" t="str">
        <f t="shared" ca="1" si="5"/>
        <v>C</v>
      </c>
      <c r="J15" s="117"/>
      <c r="M15" s="163">
        <f t="shared" ref="M15:M16" ca="1" si="12">D15</f>
        <v>3</v>
      </c>
      <c r="N15" s="162">
        <f t="shared" ref="N15:N16" ca="1" si="13">F15</f>
        <v>3</v>
      </c>
      <c r="O15" s="160" t="s">
        <v>75</v>
      </c>
      <c r="P15" s="161">
        <f t="shared" ref="P15:P16" ca="1" si="14">G15</f>
        <v>3</v>
      </c>
    </row>
    <row r="16" spans="1:19" ht="15" thickBot="1">
      <c r="B16" s="116" t="s">
        <v>109</v>
      </c>
      <c r="C16" s="115" t="str">
        <f t="shared" ca="1" si="3"/>
        <v>Tsjechië</v>
      </c>
      <c r="D16" s="114">
        <f t="shared" ca="1" si="2"/>
        <v>2</v>
      </c>
      <c r="E16" s="114">
        <f t="shared" ca="1" si="2"/>
        <v>-1</v>
      </c>
      <c r="F16" s="114">
        <f t="shared" ca="1" si="2"/>
        <v>2</v>
      </c>
      <c r="G16" s="114">
        <f t="shared" ca="1" si="2"/>
        <v>3</v>
      </c>
      <c r="H16" s="168">
        <f t="shared" ca="1" si="4"/>
        <v>1999902.09907</v>
      </c>
      <c r="I16" s="171" t="str">
        <f t="shared" ca="1" si="5"/>
        <v>D</v>
      </c>
      <c r="J16" s="117"/>
      <c r="M16" s="163">
        <f t="shared" ca="1" si="12"/>
        <v>2</v>
      </c>
      <c r="N16" s="162">
        <f t="shared" ca="1" si="13"/>
        <v>2</v>
      </c>
      <c r="O16" s="160" t="s">
        <v>75</v>
      </c>
      <c r="P16" s="161">
        <f t="shared" ca="1" si="14"/>
        <v>3</v>
      </c>
    </row>
    <row r="17" spans="2:12" ht="15" thickTop="1">
      <c r="L17" s="113"/>
    </row>
    <row r="18" spans="2:12">
      <c r="B18" s="117"/>
      <c r="C18" s="60"/>
      <c r="D18" s="117"/>
      <c r="E18" s="117"/>
      <c r="F18" s="117"/>
      <c r="G18" s="348" t="s">
        <v>65</v>
      </c>
      <c r="H18" s="348"/>
      <c r="I18" s="117" t="str">
        <f ca="1">L11&amp;" "&amp;L12&amp;" "&amp;L13&amp;" "&amp;L14</f>
        <v>A B E F</v>
      </c>
      <c r="J18" s="117"/>
      <c r="K18" s="117"/>
      <c r="L18" s="117"/>
    </row>
    <row r="19" spans="2:12">
      <c r="B19" s="117"/>
      <c r="C19" s="60"/>
      <c r="D19" s="117"/>
      <c r="E19" s="117"/>
      <c r="F19" s="117"/>
      <c r="G19" s="117"/>
      <c r="H19" s="60"/>
      <c r="I19" s="117"/>
      <c r="J19" s="117"/>
      <c r="K19" s="117"/>
      <c r="L19" s="117"/>
    </row>
    <row r="21" spans="2:12">
      <c r="H21" s="182" t="s">
        <v>121</v>
      </c>
      <c r="I21" s="181">
        <f ca="1">IF(AND(TRUNC($H$14,1)=TRUNC($H$15,1),AnzSpiele&gt;0),1,0)</f>
        <v>0</v>
      </c>
    </row>
  </sheetData>
  <mergeCells count="1">
    <mergeCell ref="G18:H18"/>
  </mergeCells>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B9FE-2884-4969-A65C-EBC36322FD1B}">
  <sheetPr codeName="Tabelle10"/>
  <dimension ref="B1:M14"/>
  <sheetViews>
    <sheetView workbookViewId="0"/>
  </sheetViews>
  <sheetFormatPr defaultColWidth="10.88671875" defaultRowHeight="14.4"/>
  <sheetData>
    <row r="1" spans="2:13" ht="23.4">
      <c r="B1" s="351" t="s">
        <v>117</v>
      </c>
      <c r="C1" s="351"/>
      <c r="D1" s="351"/>
      <c r="E1" s="351"/>
    </row>
    <row r="3" spans="2:13">
      <c r="B3" s="149" t="s">
        <v>110</v>
      </c>
      <c r="C3" s="149" t="s">
        <v>111</v>
      </c>
      <c r="D3" s="149" t="s">
        <v>112</v>
      </c>
      <c r="E3" s="149" t="s">
        <v>113</v>
      </c>
      <c r="F3" s="149" t="s">
        <v>115</v>
      </c>
      <c r="G3" s="149" t="s">
        <v>114</v>
      </c>
      <c r="I3" s="254" t="s">
        <v>203</v>
      </c>
      <c r="J3" s="255"/>
      <c r="K3" s="255"/>
      <c r="L3" s="255"/>
      <c r="M3" s="255"/>
    </row>
    <row r="4" spans="2:13">
      <c r="B4" s="51" t="s">
        <v>63</v>
      </c>
      <c r="C4" s="51">
        <f ca="1">GrpA!$V$11</f>
        <v>0</v>
      </c>
      <c r="D4" s="180">
        <f ca="1">COUNTIF(C4:C9,"&gt;0")</f>
        <v>0</v>
      </c>
      <c r="E4" s="51" t="str">
        <f t="shared" ref="E4:E9" ca="1" si="0">IF($C4&gt;0,$B4,"")</f>
        <v/>
      </c>
      <c r="F4" s="51">
        <f ca="1">SUMPRODUCT(LEN($E$4:$E4))</f>
        <v>0</v>
      </c>
      <c r="G4" t="str">
        <f ca="1">IF($E4&lt;&gt;"",$E4&amp;IF($F4=$F$9,IF($F$9&gt;1,", "," "),IF($F4&lt;$F$9-1,", "," and ")),"")</f>
        <v/>
      </c>
      <c r="I4" s="254" t="str">
        <f ca="1">"In "&amp;IF($D$4=1,"group ","groups ")&amp;$G$11&amp;"Fair-Play/UEFA-Coefficients have to decide."</f>
        <v>In groups Fair-Play/UEFA-Coefficients have to decide.</v>
      </c>
      <c r="J4" s="255"/>
      <c r="K4" s="255"/>
      <c r="L4" s="255"/>
      <c r="M4" s="255"/>
    </row>
    <row r="5" spans="2:13">
      <c r="B5" s="51" t="s">
        <v>59</v>
      </c>
      <c r="C5" s="51">
        <f ca="1">GrpB!$V$11</f>
        <v>0</v>
      </c>
      <c r="E5" s="51" t="str">
        <f t="shared" ca="1" si="0"/>
        <v/>
      </c>
      <c r="F5" s="51">
        <f ca="1">SUMPRODUCT(LEN($E$4:$E5))</f>
        <v>0</v>
      </c>
      <c r="G5" t="str">
        <f t="shared" ref="G5:G9" ca="1" si="1">IF($E5&lt;&gt;"",$E5&amp;IF($F5=$F$9,IF($F$9&gt;1,", "," "),IF($F5&lt;$F$9-1,", "," and ")),"")</f>
        <v/>
      </c>
      <c r="I5" s="352" t="s">
        <v>204</v>
      </c>
      <c r="J5" s="257"/>
      <c r="K5" s="257"/>
      <c r="L5" s="257"/>
      <c r="M5" s="257"/>
    </row>
    <row r="6" spans="2:13">
      <c r="B6" s="51" t="s">
        <v>60</v>
      </c>
      <c r="C6" s="51">
        <f ca="1">GrpC!$V$11</f>
        <v>0</v>
      </c>
      <c r="E6" s="51" t="str">
        <f t="shared" ca="1" si="0"/>
        <v/>
      </c>
      <c r="F6" s="51">
        <f ca="1">SUMPRODUCT(LEN($E$4:$E6))</f>
        <v>0</v>
      </c>
      <c r="G6" t="str">
        <f t="shared" ca="1" si="1"/>
        <v/>
      </c>
    </row>
    <row r="7" spans="2:13">
      <c r="B7" s="51" t="s">
        <v>64</v>
      </c>
      <c r="C7" s="51">
        <f ca="1">GrpD!$V$11</f>
        <v>0</v>
      </c>
      <c r="E7" s="51" t="str">
        <f t="shared" ca="1" si="0"/>
        <v/>
      </c>
      <c r="F7" s="51">
        <f ca="1">SUMPRODUCT(LEN($E$4:$E7))</f>
        <v>0</v>
      </c>
      <c r="G7" t="str">
        <f t="shared" ca="1" si="1"/>
        <v/>
      </c>
      <c r="I7" s="254" t="s">
        <v>205</v>
      </c>
      <c r="J7" s="254"/>
      <c r="K7" s="254"/>
      <c r="L7" s="254"/>
      <c r="M7" s="254"/>
    </row>
    <row r="8" spans="2:13">
      <c r="B8" s="51" t="s">
        <v>61</v>
      </c>
      <c r="C8" s="51">
        <f ca="1">GrpE!$V$11</f>
        <v>0</v>
      </c>
      <c r="E8" s="51" t="str">
        <f t="shared" ca="1" si="0"/>
        <v/>
      </c>
      <c r="F8" s="51">
        <f ca="1">SUMPRODUCT(LEN($E$4:$E8))</f>
        <v>0</v>
      </c>
      <c r="G8" t="str">
        <f t="shared" ca="1" si="1"/>
        <v/>
      </c>
      <c r="I8" s="254" t="s">
        <v>206</v>
      </c>
      <c r="J8" s="254"/>
      <c r="K8" s="254"/>
      <c r="L8" s="254"/>
      <c r="M8" s="254"/>
    </row>
    <row r="9" spans="2:13">
      <c r="B9" s="51" t="s">
        <v>62</v>
      </c>
      <c r="C9" s="51">
        <f ca="1">GrpF!$V$11</f>
        <v>0</v>
      </c>
      <c r="E9" s="51" t="str">
        <f t="shared" ca="1" si="0"/>
        <v/>
      </c>
      <c r="F9" s="51">
        <f ca="1">SUMPRODUCT(LEN($E$4:$E9))</f>
        <v>0</v>
      </c>
      <c r="G9" t="str">
        <f t="shared" ca="1" si="1"/>
        <v/>
      </c>
    </row>
    <row r="10" spans="2:13">
      <c r="I10" s="355" t="s">
        <v>207</v>
      </c>
      <c r="J10" s="355"/>
      <c r="K10" s="355"/>
      <c r="L10" s="355"/>
      <c r="M10" s="355"/>
    </row>
    <row r="11" spans="2:13">
      <c r="F11" s="149" t="s">
        <v>116</v>
      </c>
      <c r="G11" s="353" t="str">
        <f ca="1">$G$4&amp;$G$5&amp;$G$6&amp;$G$7&amp;$G$8&amp;$G$9</f>
        <v/>
      </c>
      <c r="H11" s="354"/>
      <c r="I11" s="355" t="s">
        <v>208</v>
      </c>
      <c r="J11" s="355"/>
      <c r="K11" s="355"/>
      <c r="L11" s="355"/>
      <c r="M11" s="355"/>
    </row>
    <row r="13" spans="2:13">
      <c r="F13" s="182" t="s">
        <v>120</v>
      </c>
      <c r="G13" s="187">
        <f ca="1">GrpA!$Z$11+GrpB!$Z$11+GrpC!$Z$11+GrpD!$Z$11+GrpE!$Z$11+GrpF!$Z$11</f>
        <v>36</v>
      </c>
      <c r="I13" s="349" t="s">
        <v>209</v>
      </c>
      <c r="J13" s="349"/>
    </row>
    <row r="14" spans="2:13">
      <c r="I14" s="350" t="s">
        <v>210</v>
      </c>
      <c r="J14" s="350"/>
    </row>
  </sheetData>
  <mergeCells count="11">
    <mergeCell ref="I13:J13"/>
    <mergeCell ref="I14:J14"/>
    <mergeCell ref="B1:E1"/>
    <mergeCell ref="I3:M3"/>
    <mergeCell ref="I4:M4"/>
    <mergeCell ref="I5:M5"/>
    <mergeCell ref="G11:H11"/>
    <mergeCell ref="I7:M7"/>
    <mergeCell ref="I8:M8"/>
    <mergeCell ref="I10:M10"/>
    <mergeCell ref="I11:M1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2325-276B-4471-AA31-98322DF2B178}">
  <sheetPr codeName="Tabelle6"/>
  <dimension ref="A1:AH35"/>
  <sheetViews>
    <sheetView topLeftCell="C1" zoomScaleNormal="100" workbookViewId="0">
      <selection activeCell="A3" sqref="A3:AH35"/>
    </sheetView>
  </sheetViews>
  <sheetFormatPr defaultColWidth="10.88671875" defaultRowHeight="14.4"/>
  <cols>
    <col min="1" max="1" width="9.4414062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3.21875" customWidth="1"/>
    <col min="12" max="12" width="5" customWidth="1"/>
    <col min="13" max="13" width="7.77734375" customWidth="1"/>
    <col min="14" max="14" width="4.44140625" style="51" customWidth="1"/>
    <col min="15" max="15" width="14" customWidth="1"/>
    <col min="20" max="20" width="14.21875" customWidth="1"/>
    <col min="22" max="22" width="10.77734375" customWidth="1"/>
    <col min="25" max="25" width="12.21875" customWidth="1"/>
    <col min="27" max="27" width="12.77734375" customWidth="1"/>
    <col min="28" max="28" width="9" customWidth="1"/>
    <col min="31" max="31" width="3.21875" customWidth="1"/>
    <col min="32" max="32" width="4.5546875" customWidth="1"/>
    <col min="33" max="33" width="0.77734375" customWidth="1"/>
    <col min="34" max="34" width="3.5546875" customWidth="1"/>
  </cols>
  <sheetData>
    <row r="1" spans="1:34" ht="23.4">
      <c r="A1" s="136" t="s">
        <v>211</v>
      </c>
      <c r="B1" s="135" t="s">
        <v>59</v>
      </c>
      <c r="D1" s="135" t="s">
        <v>60</v>
      </c>
      <c r="O1" s="130" t="s">
        <v>0</v>
      </c>
    </row>
    <row r="2" spans="1:34" ht="8.25" customHeight="1"/>
    <row r="3" spans="1:34">
      <c r="B3" s="357" t="s">
        <v>89</v>
      </c>
      <c r="C3" s="357"/>
      <c r="D3" s="357"/>
      <c r="E3" s="357" t="s">
        <v>88</v>
      </c>
      <c r="F3" s="357"/>
      <c r="G3" s="357"/>
      <c r="H3" s="357" t="s">
        <v>73</v>
      </c>
      <c r="I3" s="357"/>
      <c r="J3" s="357" t="s">
        <v>85</v>
      </c>
      <c r="K3" s="357"/>
      <c r="L3" s="357"/>
      <c r="M3" s="184" t="s">
        <v>118</v>
      </c>
      <c r="N3" s="128"/>
      <c r="O3" s="127"/>
      <c r="P3" s="129" t="s">
        <v>73</v>
      </c>
      <c r="Q3" s="129" t="s">
        <v>84</v>
      </c>
      <c r="R3" s="129" t="s">
        <v>83</v>
      </c>
      <c r="S3" s="129" t="s">
        <v>82</v>
      </c>
      <c r="T3" s="129" t="s">
        <v>81</v>
      </c>
      <c r="U3" s="140" t="s">
        <v>287</v>
      </c>
      <c r="V3" s="140" t="s">
        <v>288</v>
      </c>
      <c r="W3" s="140" t="s">
        <v>87</v>
      </c>
      <c r="X3" s="140" t="s">
        <v>80</v>
      </c>
      <c r="Y3" s="140" t="s">
        <v>94</v>
      </c>
      <c r="Z3" s="140" t="s">
        <v>95</v>
      </c>
      <c r="AA3" s="140" t="s">
        <v>98</v>
      </c>
      <c r="AC3" s="140" t="s">
        <v>96</v>
      </c>
    </row>
    <row r="4" spans="1:34">
      <c r="B4" s="124" t="str">
        <f ca="1">INDIRECT("'"&amp;$A$1&amp;"'!"&amp;$B$1&amp;"12")</f>
        <v>Turkije</v>
      </c>
      <c r="C4" s="51" t="s">
        <v>76</v>
      </c>
      <c r="D4" s="123" t="str">
        <f ca="1">INDIRECT("'"&amp;$A$1&amp;"'!"&amp;$D$1&amp;"12")</f>
        <v>Italië</v>
      </c>
      <c r="E4" s="122">
        <f ca="1">IF(OR(INDIRECT("'"&amp;$A$1&amp;"'!"&amp;$B$1&amp;"13")="",INDIRECT("'"&amp;$A$1&amp;"'!"&amp;$D$1&amp;"13")=""),"",INDIRECT("'"&amp;$A$1&amp;"'!"&amp;$B$1&amp;"13"))</f>
        <v>1</v>
      </c>
      <c r="F4" s="51" t="s">
        <v>75</v>
      </c>
      <c r="G4" s="111">
        <f ca="1">IF(OR(INDIRECT("'"&amp;$A$1&amp;"'!"&amp;$B$1&amp;"13")="",INDIRECT("'"&amp;$A$1&amp;"'!"&amp;$D$1&amp;"13")=""),"",INDIRECT("'"&amp;$A$1&amp;"'!"&amp;$D$1&amp;"13"))</f>
        <v>3</v>
      </c>
      <c r="H4" s="51">
        <f ca="1">IF($M4&gt;0,IF($E4&gt;$G4,3,IF($E4=$G4,1,0)),0)</f>
        <v>0</v>
      </c>
      <c r="I4" s="51">
        <f ca="1">IF($M4&gt;0,IF($E4&lt;$G4,3,IF($E4=$G4,1,0)),0)</f>
        <v>3</v>
      </c>
      <c r="K4" s="51"/>
      <c r="L4" s="111"/>
      <c r="M4" s="111">
        <f ca="1">IF(AND($E4&lt;&gt;"",$G4&lt;&gt;""),1,0)</f>
        <v>1</v>
      </c>
      <c r="N4" s="51" t="s">
        <v>66</v>
      </c>
      <c r="O4" t="str">
        <f ca="1">Mann1</f>
        <v>Turkije</v>
      </c>
      <c r="P4" s="51">
        <f ca="1">SUMIF(MschnLinks,O4,PkteLinks)+SUMIF(MschnRechts,O4,PkteRechts)</f>
        <v>4</v>
      </c>
      <c r="Q4" s="51">
        <f ca="1">R4-S4</f>
        <v>-1</v>
      </c>
      <c r="R4" s="51">
        <f ca="1">SUMIF(MschnLinks,$O4,ToreLinks)+SUMIF(MschnRechts,$O4,ToreRechts)</f>
        <v>4</v>
      </c>
      <c r="S4" s="51">
        <f ca="1">SUMIF(MschnLinks,$O4,ToreRechts)+SUMIF(MschnRechts,$O4,ToreLinks)</f>
        <v>5</v>
      </c>
      <c r="T4" s="131">
        <f ca="1">$P4*FaktorPkte+Y4+Z4+AA4+$Q4*FaktorTDiff+$R4*FaktorTErz+V4+U4+W4*FaktorFairPlay+X4*FaktorRngLi</f>
        <v>3999904.0991099998</v>
      </c>
      <c r="U4">
        <f ca="1">IF(AND($X$12&gt;0,OR(AND($B$8=O4,$J$8&gt;$L$8),AND($D$8=O4,$J$8&lt;$L$8))),FaktorElfm,0)</f>
        <v>0</v>
      </c>
      <c r="V4" s="148">
        <f ca="1">IF(AND($X$11&gt;0,OR(AND(LetzteBegLinks=O4,ElfmLinks&gt;ElfmRechts),AND(LetzteBegRechts=O4,ElfmLinks&lt;ElfmRechts))),FaktorElfm,0)</f>
        <v>0</v>
      </c>
      <c r="W4" s="148">
        <f ca="1">99-SUMIFS(FairPlayPkte1,FairPlayMn1,O4)-SUMIFS(FairPlayPkte2,FairPlayMn2,O4)</f>
        <v>99</v>
      </c>
      <c r="X4" s="148">
        <f ca="1">25-INDEX(RngLiRang,MATCH(GrpA!O4,RngLiLand,0))</f>
        <v>11</v>
      </c>
      <c r="Y4" s="126">
        <f ca="1">SUMIFS(DirVergleich3,DirVglMschn,O4)</f>
        <v>0</v>
      </c>
      <c r="Z4" s="126">
        <f ca="1">L17*FaktordirV2</f>
        <v>0</v>
      </c>
      <c r="AA4" s="126">
        <f ca="1">SUMIFS(DirVergleich4,DirVglMschn,O4)</f>
        <v>0</v>
      </c>
      <c r="AC4" s="150">
        <f ca="1">$P4*FaktorPkte+$Q4*FaktorTDiff+$R4*FaktorTErz</f>
        <v>3999904</v>
      </c>
    </row>
    <row r="5" spans="1:34">
      <c r="B5" s="124" t="str">
        <f ca="1">INDIRECT("'"&amp;$A$1&amp;"'!"&amp;$B$1&amp;"17")</f>
        <v>Wales</v>
      </c>
      <c r="C5" s="51" t="s">
        <v>76</v>
      </c>
      <c r="D5" s="123" t="str">
        <f ca="1">INDIRECT("'"&amp;$A$1&amp;"'!"&amp;$D$1&amp;"17")</f>
        <v>Zwitserland</v>
      </c>
      <c r="E5" s="122">
        <f ca="1">IF(OR(INDIRECT("'"&amp;$A$1&amp;"'!"&amp;$B$1&amp;"18")="",INDIRECT("'"&amp;$A$1&amp;"'!"&amp;$D$1&amp;"18")=""),"",INDIRECT("'"&amp;$A$1&amp;"'!"&amp;$B$1&amp;"18"))</f>
        <v>0</v>
      </c>
      <c r="F5" s="51" t="s">
        <v>75</v>
      </c>
      <c r="G5" s="111">
        <f ca="1">IF(OR(INDIRECT("'"&amp;$A$1&amp;"'!"&amp;$B$1&amp;"18")="",INDIRECT("'"&amp;$A$1&amp;"'!"&amp;$D$1&amp;"18")=""),"",INDIRECT("'"&amp;$A$1&amp;"'!"&amp;$D$1&amp;"18"))</f>
        <v>2</v>
      </c>
      <c r="H5" s="51">
        <f t="shared" ref="H5:H9" ca="1" si="0">IF($M5&gt;0,IF($E5&gt;$G5,3,IF($E5=$G5,1,0)),0)</f>
        <v>0</v>
      </c>
      <c r="I5" s="51">
        <f t="shared" ref="I5:I9" ca="1" si="1">IF($M5&gt;0,IF($E5&lt;$G5,3,IF($E5=$G5,1,0)),0)</f>
        <v>3</v>
      </c>
      <c r="K5" s="51"/>
      <c r="L5" s="111"/>
      <c r="M5" s="111">
        <f t="shared" ref="M5:M9" ca="1" si="2">IF(AND($E5&lt;&gt;"",$G5&lt;&gt;""),1,0)</f>
        <v>1</v>
      </c>
      <c r="N5" s="51" t="s">
        <v>67</v>
      </c>
      <c r="O5" t="str">
        <f ca="1">Mann2</f>
        <v>Italië</v>
      </c>
      <c r="P5" s="51">
        <f ca="1">SUMIF(MschnLinks,O5,PkteLinks)+SUMIF(MschnRechts,O5,PkteRechts)</f>
        <v>9</v>
      </c>
      <c r="Q5" s="51">
        <f ca="1">R5-S5</f>
        <v>4</v>
      </c>
      <c r="R5" s="51">
        <f ca="1">SUMIF(MschnLinks,$O5,ToreLinks)+SUMIF(MschnRechts,$O5,ToreRechts)</f>
        <v>6</v>
      </c>
      <c r="S5" s="51">
        <f ca="1">SUMIF(MschnLinks,$O5,ToreRechts)+SUMIF(MschnRechts,$O5,ToreLinks)</f>
        <v>2</v>
      </c>
      <c r="T5" s="131">
        <f ca="1">$P5*FaktorPkte+Y5+Z5+AA5+$Q5*FaktorTDiff+$R5*FaktorTErz+V5+U5+W5*FaktorFairPlay+X5*FaktorRngLi</f>
        <v>9000406.0992299989</v>
      </c>
      <c r="U5">
        <f ca="1">IF(AND($X$12&gt;0,OR(AND($B$8=O5,$J$8&gt;$L$8),AND($D$8=O5,$J$8&lt;$L$8))),FaktorElfm,0)</f>
        <v>0</v>
      </c>
      <c r="V5" s="148">
        <f ca="1">IF(AND($X$11&gt;0,OR(AND(LetzteBegLinks=O5,ElfmLinks&gt;ElfmRechts),AND(LetzteBegRechts=O5,ElfmLinks&lt;ElfmRechts))),FaktorElfm,0)</f>
        <v>0</v>
      </c>
      <c r="W5" s="148">
        <f ca="1">99-SUMIFS(FairPlayPkte1,FairPlayMn1,O5)-SUMIFS(FairPlayPkte2,FairPlayMn2,O5)</f>
        <v>99</v>
      </c>
      <c r="X5" s="148">
        <f ca="1">25-INDEX(RngLiRang,MATCH(GrpA!O5,RngLiLand,0))</f>
        <v>23</v>
      </c>
      <c r="Y5" s="126">
        <f ca="1">SUMIFS(DirVergleich3,DirVglMschn,O5)</f>
        <v>0</v>
      </c>
      <c r="Z5" s="126">
        <f ca="1">L18*FaktordirV2</f>
        <v>0</v>
      </c>
      <c r="AA5" s="126">
        <f ca="1">SUMIFS(DirVergleich4,DirVglMschn,O5)</f>
        <v>0</v>
      </c>
      <c r="AC5" s="150">
        <f ca="1">$P5*FaktorPkte+$Q5*FaktorTDiff+$R5*FaktorTErz</f>
        <v>9000406</v>
      </c>
    </row>
    <row r="6" spans="1:34">
      <c r="B6" s="122" t="str">
        <f ca="1">INDIRECT("'"&amp;$A$1&amp;"'!"&amp;$B$1&amp;"22")</f>
        <v>Turkije</v>
      </c>
      <c r="C6" s="51" t="s">
        <v>76</v>
      </c>
      <c r="D6" t="str">
        <f ca="1">INDIRECT("'"&amp;$A$1&amp;"'!"&amp;$D$1&amp;"22")</f>
        <v>Wales</v>
      </c>
      <c r="E6" s="122">
        <f ca="1">IF(OR(INDIRECT("'"&amp;$A$1&amp;"'!"&amp;$B$1&amp;"23")="",INDIRECT("'"&amp;$A$1&amp;"'!"&amp;$D$1&amp;"23")=""),"",INDIRECT("'"&amp;$A$1&amp;"'!"&amp;$B$1&amp;"23"))</f>
        <v>1</v>
      </c>
      <c r="F6" s="51" t="s">
        <v>75</v>
      </c>
      <c r="G6" s="111">
        <f ca="1">IF(OR(INDIRECT("'"&amp;$A$1&amp;"'!"&amp;$B$1&amp;"23")="",INDIRECT("'"&amp;$A$1&amp;"'!"&amp;$D$1&amp;"23")=""),"",INDIRECT("'"&amp;$A$1&amp;"'!"&amp;$D$1&amp;"23"))</f>
        <v>0</v>
      </c>
      <c r="H6" s="51">
        <f t="shared" ca="1" si="0"/>
        <v>3</v>
      </c>
      <c r="I6" s="51">
        <f t="shared" ca="1" si="1"/>
        <v>0</v>
      </c>
      <c r="K6" s="51"/>
      <c r="L6" s="111"/>
      <c r="M6" s="111">
        <f t="shared" ca="1" si="2"/>
        <v>1</v>
      </c>
      <c r="N6" s="51" t="s">
        <v>68</v>
      </c>
      <c r="O6" t="str">
        <f ca="1">Mann3</f>
        <v>Wales</v>
      </c>
      <c r="P6" s="51">
        <f ca="1">SUMIF(MschnLinks,O6,PkteLinks)+SUMIF(MschnRechts,O6,PkteRechts)</f>
        <v>0</v>
      </c>
      <c r="Q6" s="51">
        <f ca="1">R6-S6</f>
        <v>-4</v>
      </c>
      <c r="R6" s="51">
        <f ca="1">SUMIF(MschnLinks,$O6,ToreLinks)+SUMIF(MschnRechts,$O6,ToreRechts)</f>
        <v>0</v>
      </c>
      <c r="S6" s="51">
        <f ca="1">SUMIF(MschnLinks,$O6,ToreRechts)+SUMIF(MschnRechts,$O6,ToreLinks)</f>
        <v>4</v>
      </c>
      <c r="T6" s="131">
        <f ca="1">$P6*FaktorPkte+Y6+Z6+AA6+$Q6*FaktorTDiff+$R6*FaktorTErz+V6+U6+W6*FaktorFairPlay+X6*FaktorRngLi</f>
        <v>-399.90093999999999</v>
      </c>
      <c r="U6">
        <f ca="1">IF(AND($X$12&gt;0,OR(AND($B$8=O6,$J$8&gt;$L$8),AND($D$8=O6,$J$8&lt;$L$8))),FaktorElfm,0)</f>
        <v>0</v>
      </c>
      <c r="V6" s="148">
        <f ca="1">IF(AND($X$11&gt;0,OR(AND(LetzteBegLinks=O6,ElfmLinks&gt;ElfmRechts),AND(LetzteBegRechts=O6,ElfmLinks&lt;ElfmRechts))),FaktorElfm,0)</f>
        <v>0</v>
      </c>
      <c r="W6" s="148">
        <f ca="1">99-SUMIFS(FairPlayPkte1,FairPlayMn1,O6)-SUMIFS(FairPlayPkte2,FairPlayMn2,O6)</f>
        <v>99</v>
      </c>
      <c r="X6" s="148">
        <f ca="1">25-INDEX(RngLiRang,MATCH(GrpA!O6,RngLiLand,0))</f>
        <v>6</v>
      </c>
      <c r="Y6" s="126">
        <f ca="1">SUMIFS(DirVergleich3,DirVglMschn,O6)</f>
        <v>0</v>
      </c>
      <c r="Z6" s="126">
        <f ca="1">L19*FaktordirV2</f>
        <v>0</v>
      </c>
      <c r="AA6" s="126">
        <f ca="1">SUMIFS(DirVergleich4,DirVglMschn,O6)</f>
        <v>0</v>
      </c>
      <c r="AC6" s="150">
        <f ca="1">$P6*FaktorPkte+$Q6*FaktorTDiff+$R6*FaktorTErz</f>
        <v>-400</v>
      </c>
    </row>
    <row r="7" spans="1:34">
      <c r="B7" s="122" t="str">
        <f ca="1">INDIRECT("'"&amp;$A$1&amp;"'!"&amp;$B$1&amp;"27")</f>
        <v>Italië</v>
      </c>
      <c r="C7" s="51" t="s">
        <v>76</v>
      </c>
      <c r="D7" t="str">
        <f ca="1">INDIRECT("'"&amp;$A$1&amp;"'!"&amp;$D$1&amp;"27")</f>
        <v>Zwitserland</v>
      </c>
      <c r="E7" s="122">
        <f ca="1">IF(OR(INDIRECT("'"&amp;$A$1&amp;"'!"&amp;$B$1&amp;"28")="",INDIRECT("'"&amp;$A$1&amp;"'!"&amp;$D$1&amp;"28")=""),"",INDIRECT("'"&amp;$A$1&amp;"'!"&amp;$B$1&amp;"28"))</f>
        <v>2</v>
      </c>
      <c r="F7" s="51" t="s">
        <v>75</v>
      </c>
      <c r="G7" s="111">
        <f ca="1">IF(OR(INDIRECT("'"&amp;$A$1&amp;"'!"&amp;$B$1&amp;"28")="",INDIRECT("'"&amp;$A$1&amp;"'!"&amp;$D$1&amp;"28")=""),"",INDIRECT("'"&amp;$A$1&amp;"'!"&amp;$D$1&amp;"28"))</f>
        <v>1</v>
      </c>
      <c r="H7" s="51">
        <f t="shared" ca="1" si="0"/>
        <v>3</v>
      </c>
      <c r="I7" s="51">
        <f t="shared" ca="1" si="1"/>
        <v>0</v>
      </c>
      <c r="K7" s="51"/>
      <c r="L7" s="111"/>
      <c r="M7" s="111">
        <f t="shared" ca="1" si="2"/>
        <v>1</v>
      </c>
      <c r="N7" s="51" t="s">
        <v>69</v>
      </c>
      <c r="O7" t="str">
        <f ca="1">Mann4</f>
        <v>Zwitserland</v>
      </c>
      <c r="P7" s="51">
        <f ca="1">SUMIF(MschnLinks,O7,PkteLinks)+SUMIF(MschnRechts,O7,PkteRechts)</f>
        <v>4</v>
      </c>
      <c r="Q7" s="51">
        <f ca="1">R7-S7</f>
        <v>1</v>
      </c>
      <c r="R7" s="51">
        <f ca="1">SUMIF(MschnLinks,$O7,ToreLinks)+SUMIF(MschnRechts,$O7,ToreRechts)</f>
        <v>5</v>
      </c>
      <c r="S7" s="51">
        <f ca="1">SUMIF(MschnLinks,$O7,ToreRechts)+SUMIF(MschnRechts,$O7,ToreLinks)</f>
        <v>4</v>
      </c>
      <c r="T7" s="131">
        <f ca="1">$P7*FaktorPkte+Y7+Z7+AA7+$Q7*FaktorTDiff+$R7*FaktorTErz+V7+U7+W7*FaktorFairPlay+X7*FaktorRngLi</f>
        <v>4000105.0991599998</v>
      </c>
      <c r="U7">
        <f ca="1">IF(AND($X$12&gt;0,OR(AND($B$8=O7,$J$8&gt;$L$8),AND($D$8=O7,$J$8&lt;$L$8))),FaktorElfm,0)</f>
        <v>0</v>
      </c>
      <c r="V7" s="148">
        <f ca="1">IF(AND($X$11&gt;0,OR(AND(LetzteBegLinks=O7,ElfmLinks&gt;ElfmRechts),AND(LetzteBegRechts=O7,ElfmLinks&lt;ElfmRechts))),FaktorElfm,0)</f>
        <v>0</v>
      </c>
      <c r="W7" s="148">
        <f ca="1">99-SUMIFS(FairPlayPkte1,FairPlayMn1,O7)-SUMIFS(FairPlayPkte2,FairPlayMn2,O7)</f>
        <v>99</v>
      </c>
      <c r="X7" s="148">
        <f ca="1">25-INDEX(RngLiRang,MATCH(GrpA!O7,RngLiLand,0))</f>
        <v>16</v>
      </c>
      <c r="Y7" s="126">
        <f ca="1">SUMIFS(DirVergleich3,DirVglMschn,O7)</f>
        <v>0</v>
      </c>
      <c r="Z7" s="126">
        <f ca="1">L20*FaktordirV2</f>
        <v>0</v>
      </c>
      <c r="AA7" s="126">
        <f ca="1">SUMIFS(DirVergleich4,DirVglMschn,O7)</f>
        <v>0</v>
      </c>
      <c r="AC7" s="150">
        <f ca="1">$P7*FaktorPkte+$Q7*FaktorTDiff+$R7*FaktorTErz</f>
        <v>4000105</v>
      </c>
    </row>
    <row r="8" spans="1:34">
      <c r="B8" s="122" t="str">
        <f ca="1">INDIRECT("'"&amp;$A$1&amp;"'!"&amp;$B$1&amp;"32")</f>
        <v>Zwitserland</v>
      </c>
      <c r="C8" s="51" t="s">
        <v>76</v>
      </c>
      <c r="D8" t="str">
        <f ca="1">INDIRECT("'"&amp;$A$1&amp;"'!"&amp;$D$1&amp;"32")</f>
        <v>Turkije</v>
      </c>
      <c r="E8" s="122">
        <f ca="1">IF(OR(INDIRECT("'"&amp;$A$1&amp;"'!"&amp;$B$1&amp;"33")="",INDIRECT("'"&amp;$A$1&amp;"'!"&amp;$D$1&amp;"33")=""),"",INDIRECT("'"&amp;$A$1&amp;"'!"&amp;$B$1&amp;"33"))</f>
        <v>2</v>
      </c>
      <c r="F8" s="51" t="s">
        <v>75</v>
      </c>
      <c r="G8" s="111">
        <f ca="1">IF(OR(INDIRECT("'"&amp;$A$1&amp;"'!"&amp;$B$1&amp;"33")="",INDIRECT("'"&amp;$A$1&amp;"'!"&amp;$D$1&amp;"33")=""),"",INDIRECT("'"&amp;$A$1&amp;"'!"&amp;$D$1&amp;"33"))</f>
        <v>2</v>
      </c>
      <c r="H8" s="51">
        <f t="shared" ca="1" si="0"/>
        <v>1</v>
      </c>
      <c r="I8" s="51">
        <f t="shared" ca="1" si="1"/>
        <v>1</v>
      </c>
      <c r="J8" s="122" t="str">
        <f ca="1">IF(OR(INDIRECT("'"&amp;$A$1&amp;"'!"&amp;$B$1&amp;"35")="",INDIRECT("'"&amp;$A$1&amp;"'!"&amp;$D$1&amp;"35")=""),"",INDIRECT("'"&amp;$A$1&amp;"'!"&amp;$B$1&amp;"35"))</f>
        <v/>
      </c>
      <c r="K8" s="51" t="s">
        <v>75</v>
      </c>
      <c r="L8" s="111" t="str">
        <f ca="1">IF(OR(INDIRECT("'"&amp;$A$1&amp;"'!"&amp;$B$1&amp;"35")="",INDIRECT("'"&amp;$A$1&amp;"'!"&amp;$D$1&amp;"35")=""),"",INDIRECT("'"&amp;$A$1&amp;"'!"&amp;$D$1&amp;"35"))</f>
        <v/>
      </c>
      <c r="M8" s="111">
        <f t="shared" ca="1" si="2"/>
        <v>1</v>
      </c>
    </row>
    <row r="9" spans="1:34">
      <c r="B9" s="122" t="str">
        <f ca="1">INDIRECT("'"&amp;$A$1&amp;"'!"&amp;$B$1&amp;"39")</f>
        <v>Italië</v>
      </c>
      <c r="C9" s="51" t="s">
        <v>76</v>
      </c>
      <c r="D9" t="str">
        <f ca="1">INDIRECT("'"&amp;$A$1&amp;"'!"&amp;$D$1&amp;"39")</f>
        <v>Wales</v>
      </c>
      <c r="E9" s="122">
        <f ca="1">IF(OR(INDIRECT("'"&amp;$A$1&amp;"'!"&amp;$B$1&amp;"40")="",INDIRECT("'"&amp;$A$1&amp;"'!"&amp;$D$1&amp;"40")=""),"",INDIRECT("'"&amp;$A$1&amp;"'!"&amp;$B$1&amp;"40"))</f>
        <v>1</v>
      </c>
      <c r="F9" s="51" t="s">
        <v>75</v>
      </c>
      <c r="G9" s="111">
        <f ca="1">IF(OR(INDIRECT("'"&amp;$A$1&amp;"'!"&amp;$B$1&amp;"40")="",INDIRECT("'"&amp;$A$1&amp;"'!"&amp;$D$1&amp;"40")=""),"",INDIRECT("'"&amp;$A$1&amp;"'!"&amp;$D$1&amp;"40"))</f>
        <v>0</v>
      </c>
      <c r="H9" s="51">
        <f t="shared" ca="1" si="0"/>
        <v>3</v>
      </c>
      <c r="I9" s="51">
        <f t="shared" ca="1" si="1"/>
        <v>0</v>
      </c>
      <c r="J9" s="122" t="str">
        <f ca="1">IF(OR(INDIRECT("'"&amp;$A$1&amp;"'!"&amp;$B$1&amp;"42")="",INDIRECT("'"&amp;$A$1&amp;"'!"&amp;$D$1&amp;"42")=""),"",INDIRECT("'"&amp;$A$1&amp;"'!"&amp;$B$1&amp;"42"))</f>
        <v/>
      </c>
      <c r="K9" s="51" t="s">
        <v>75</v>
      </c>
      <c r="L9" s="111" t="str">
        <f ca="1">IF(OR(INDIRECT("'"&amp;$A$1&amp;"'!"&amp;$B$1&amp;"42")="",INDIRECT("'"&amp;$A$1&amp;"'!"&amp;$D$1&amp;"42")=""),"",INDIRECT("'"&amp;$A$1&amp;"'!"&amp;$D$1&amp;"42"))</f>
        <v/>
      </c>
      <c r="M9" s="111">
        <f t="shared" ca="1" si="2"/>
        <v>1</v>
      </c>
    </row>
    <row r="10" spans="1:34" ht="15" thickBot="1">
      <c r="M10" s="186"/>
      <c r="V10" s="149" t="s">
        <v>122</v>
      </c>
      <c r="X10" s="149" t="s">
        <v>85</v>
      </c>
      <c r="Y10" s="51"/>
      <c r="Z10" s="149" t="s">
        <v>119</v>
      </c>
      <c r="AA10" s="51"/>
    </row>
    <row r="11" spans="1:34" ht="15" thickTop="1">
      <c r="N11" s="121" t="s">
        <v>66</v>
      </c>
      <c r="O11" s="120" t="str">
        <f t="shared" ref="O11:S14" ca="1" si="3">INDEX(O$4:O$7,MATCH($T11,$T$4:$T$7,0))</f>
        <v>Italië</v>
      </c>
      <c r="P11" s="119">
        <f t="shared" ca="1" si="3"/>
        <v>9</v>
      </c>
      <c r="Q11" s="119">
        <f t="shared" ca="1" si="3"/>
        <v>4</v>
      </c>
      <c r="R11" s="119">
        <f t="shared" ca="1" si="3"/>
        <v>6</v>
      </c>
      <c r="S11" s="119">
        <f t="shared" ca="1" si="3"/>
        <v>2</v>
      </c>
      <c r="T11" s="132">
        <f ca="1">LARGE($T$4:$T$7,ROW($T4)-3)</f>
        <v>9000406.0992299989</v>
      </c>
      <c r="V11" s="179">
        <f ca="1">IF(AND(OR(TRUNC($T$11,1)=TRUNC($T$12,1),TRUNC($T$11,1)=TRUNC($T$13,1),TRUNC($T$11,1)=TRUNC($T$14,1),TRUNC($T$12,1)=TRUNC($T$13,1),TRUNC($T$12,1)=TRUNC($T$14,1),TRUNC($T$13,1)=TRUNC($T$14,1)),$Z$11&gt;0),1,0)</f>
        <v>0</v>
      </c>
      <c r="W11" s="226" t="s">
        <v>286</v>
      </c>
      <c r="X11" s="51">
        <f ca="1">IF(AND(VLOOKUP($B$9,$O$4:$AC$7,15,0)=VLOOKUP($D$9,$O$4:$AC$7,15,0),$E$9=$G$9,COUNTIF($P$4:$P$7,VLOOKUP($B$9,$O$4:$P$7,2,0))=2,$M$9&gt;0),1,0)</f>
        <v>0</v>
      </c>
      <c r="Y11" s="51"/>
      <c r="Z11" s="185">
        <f ca="1">SUM($M$4:$M$9)</f>
        <v>6</v>
      </c>
      <c r="AA11" s="51"/>
      <c r="AE11" s="163">
        <f ca="1">P11</f>
        <v>9</v>
      </c>
      <c r="AF11" s="162">
        <f ca="1">R11</f>
        <v>6</v>
      </c>
      <c r="AG11" s="160" t="s">
        <v>75</v>
      </c>
      <c r="AH11" s="161">
        <f ca="1">S11</f>
        <v>2</v>
      </c>
    </row>
    <row r="12" spans="1:34">
      <c r="D12" s="51"/>
      <c r="N12" s="118" t="s">
        <v>67</v>
      </c>
      <c r="O12" s="60" t="str">
        <f t="shared" ca="1" si="3"/>
        <v>Zwitserland</v>
      </c>
      <c r="P12" s="117">
        <f t="shared" ca="1" si="3"/>
        <v>4</v>
      </c>
      <c r="Q12" s="117">
        <f t="shared" ca="1" si="3"/>
        <v>1</v>
      </c>
      <c r="R12" s="117">
        <f t="shared" ca="1" si="3"/>
        <v>5</v>
      </c>
      <c r="S12" s="117">
        <f t="shared" ca="1" si="3"/>
        <v>4</v>
      </c>
      <c r="T12" s="133">
        <f ca="1">LARGE($T$4:$T$7,ROW($T5)-3)</f>
        <v>4000105.0991599998</v>
      </c>
      <c r="W12" s="226" t="s">
        <v>285</v>
      </c>
      <c r="X12" s="51">
        <f ca="1">IF(AND(VLOOKUP($B$8,$O$4:$AC$7,15,0)=VLOOKUP($D$8,$O$4:$AC$7,15,0),$E$8=$G$8,COUNTIF($P$4:$P$7,VLOOKUP($B$8,$O$4:$P$7,2,0))=2,$M$8&gt;0),1,0)</f>
        <v>0</v>
      </c>
      <c r="AE12" s="163">
        <f t="shared" ref="AE12:AE14" ca="1" si="4">P12</f>
        <v>4</v>
      </c>
      <c r="AF12" s="162">
        <f t="shared" ref="AF12:AF14" ca="1" si="5">R12</f>
        <v>5</v>
      </c>
      <c r="AG12" s="160" t="s">
        <v>75</v>
      </c>
      <c r="AH12" s="161">
        <f t="shared" ref="AH12:AH14" ca="1" si="6">S12</f>
        <v>4</v>
      </c>
    </row>
    <row r="13" spans="1:34">
      <c r="D13" s="183"/>
      <c r="N13" s="118" t="s">
        <v>68</v>
      </c>
      <c r="O13" s="60" t="str">
        <f t="shared" ca="1" si="3"/>
        <v>Turkije</v>
      </c>
      <c r="P13" s="117">
        <f t="shared" ca="1" si="3"/>
        <v>4</v>
      </c>
      <c r="Q13" s="117">
        <f t="shared" ca="1" si="3"/>
        <v>-1</v>
      </c>
      <c r="R13" s="117">
        <f t="shared" ca="1" si="3"/>
        <v>4</v>
      </c>
      <c r="S13" s="117">
        <f t="shared" ca="1" si="3"/>
        <v>5</v>
      </c>
      <c r="T13" s="133">
        <f ca="1">LARGE($T$4:$T$7,ROW($T6)-3)</f>
        <v>3999904.0991099998</v>
      </c>
      <c r="AE13" s="163">
        <f t="shared" ca="1" si="4"/>
        <v>4</v>
      </c>
      <c r="AF13" s="162">
        <f t="shared" ca="1" si="5"/>
        <v>4</v>
      </c>
      <c r="AG13" s="160" t="s">
        <v>75</v>
      </c>
      <c r="AH13" s="161">
        <f t="shared" ca="1" si="6"/>
        <v>5</v>
      </c>
    </row>
    <row r="14" spans="1:34" ht="15" thickBot="1">
      <c r="D14" s="50"/>
      <c r="F14" s="51"/>
      <c r="G14" s="111"/>
      <c r="N14" s="116" t="s">
        <v>69</v>
      </c>
      <c r="O14" s="115" t="str">
        <f t="shared" ca="1" si="3"/>
        <v>Wales</v>
      </c>
      <c r="P14" s="114">
        <f t="shared" ca="1" si="3"/>
        <v>0</v>
      </c>
      <c r="Q14" s="114">
        <f t="shared" ca="1" si="3"/>
        <v>-4</v>
      </c>
      <c r="R14" s="114">
        <f t="shared" ca="1" si="3"/>
        <v>0</v>
      </c>
      <c r="S14" s="114">
        <f t="shared" ca="1" si="3"/>
        <v>4</v>
      </c>
      <c r="T14" s="134">
        <f ca="1">LARGE($T$4:$T$7,ROW($T7)-3)</f>
        <v>-399.90093999999999</v>
      </c>
      <c r="AE14" s="163">
        <f t="shared" ca="1" si="4"/>
        <v>0</v>
      </c>
      <c r="AF14" s="162">
        <f t="shared" ca="1" si="5"/>
        <v>0</v>
      </c>
      <c r="AG14" s="160" t="s">
        <v>75</v>
      </c>
      <c r="AH14" s="161">
        <f t="shared" ca="1" si="6"/>
        <v>4</v>
      </c>
    </row>
    <row r="15" spans="1:34" ht="15" thickTop="1">
      <c r="D15" s="141" t="s">
        <v>93</v>
      </c>
      <c r="F15" s="51"/>
      <c r="G15" s="111"/>
    </row>
    <row r="16" spans="1:34" ht="15" thickBot="1">
      <c r="D16" s="142" t="s">
        <v>91</v>
      </c>
      <c r="E16" s="357" t="s">
        <v>92</v>
      </c>
      <c r="F16" s="357"/>
      <c r="G16" s="357"/>
      <c r="H16" s="357"/>
      <c r="I16" s="357"/>
      <c r="J16" s="357"/>
      <c r="K16" s="127"/>
      <c r="L16" s="149" t="s">
        <v>95</v>
      </c>
      <c r="X16" s="113" t="s">
        <v>94</v>
      </c>
      <c r="Y16" s="356" t="s">
        <v>97</v>
      </c>
      <c r="Z16" s="356"/>
      <c r="AA16" s="356"/>
      <c r="AC16" s="149" t="s">
        <v>98</v>
      </c>
    </row>
    <row r="17" spans="2:29">
      <c r="D17" t="str">
        <f ca="1">Mann1</f>
        <v>Turkije</v>
      </c>
      <c r="E17" s="51">
        <f ca="1">Y17</f>
        <v>1</v>
      </c>
      <c r="F17" s="51">
        <f ca="1">Z17</f>
        <v>1</v>
      </c>
      <c r="G17" s="51">
        <f ca="1">Z22</f>
        <v>2</v>
      </c>
      <c r="H17" s="51"/>
      <c r="I17" s="51"/>
      <c r="J17" s="51"/>
      <c r="L17" s="112">
        <f ca="1">IF(AND(Pkte1=Pkte2,Pkte1&lt;&gt;Pkte3,Pkte1&lt;&gt;Pkte4,E17&gt;E18),1,0)+IF(AND(Pkte1=Pkte3,Pkte1&lt;&gt;Pkte2,Pkte1&lt;&gt;Pkte4,F17&gt;F19),1,0)+IF(AND(Pkte1=Pkte4,Pkte1&lt;&gt;Pkte2,Pkte1&lt;&gt;Pkte3,G17&gt;G20),1,0)</f>
        <v>0</v>
      </c>
      <c r="N17" s="51" t="s">
        <v>66</v>
      </c>
      <c r="O17" t="str">
        <f ca="1">Mann1</f>
        <v>Turkije</v>
      </c>
      <c r="P17" s="51">
        <f t="array" aca="1" ref="P17" ca="1">SUM(IF((MschnLinks=$O17)*(MschnRechts&lt;&gt;$O$20),PkteLinks,0))+SUM(IF((MschnLinks&lt;&gt;$O$20)*(MschnRechts=$O17),PkteRechts,0))</f>
        <v>3</v>
      </c>
      <c r="Q17" s="51">
        <f ca="1">R17-S17</f>
        <v>-1</v>
      </c>
      <c r="R17" s="51">
        <f t="array" aca="1" ref="R17" ca="1">SUM(IF((MschnLinks=$O17)*(MschnRechts&lt;&gt;$O$20),ToreLinks,0))+SUM(IF((MschnLinks&lt;&gt;$O$20)*(MschnRechts=$O17),ToreRechts,0))</f>
        <v>2</v>
      </c>
      <c r="S17" s="51">
        <f t="array" aca="1" ref="S17" ca="1">SUM(IF((MschnLinks=$O17)*(MschnRechts&lt;&gt;$O$20),ToreRechts,0))+SUM(IF((MschnLinks&lt;&gt;$O$20)*(MschnRechts=$O17),ToreLinks,0))</f>
        <v>3</v>
      </c>
      <c r="T17">
        <f ca="1">P17*FaktorPkte+Q17*FaktorTDiff+R17*FaktorTErz</f>
        <v>2999902</v>
      </c>
      <c r="U17" s="51">
        <f ca="1">RANK(T17,T$17:T$19,1)</f>
        <v>2</v>
      </c>
      <c r="V17" s="51">
        <f ca="1">IF(AND(Pkte1=Pkte2,Pkte1=Pkte3,Pkte1&lt;&gt;Pkte4),U17,0)</f>
        <v>0</v>
      </c>
      <c r="W17" s="51">
        <f ca="1">IF(AND(T17=T18,T17&lt;&gt;T19,Y17&gt;Y18),1,0)+IF(AND(T17=T19,T17&lt;&gt;T18,Z17&gt;Z19),1,0)</f>
        <v>0</v>
      </c>
      <c r="X17" s="112">
        <f ca="1">IF(V17&gt;0,V17*FaktordirV3+W17*FaktordirV2,0)</f>
        <v>0</v>
      </c>
      <c r="Y17" s="151">
        <f ca="1">SUMIFS(ToreLinks,MschnLinks,$O17,MschnRechts,$O18)+SUMIFS(ToreRechts,MschnLinks,$O18,MschnRechts,$O17)</f>
        <v>1</v>
      </c>
      <c r="Z17" s="152">
        <f ca="1">SUMIFS(ToreLinks,MschnLinks,$O17,MschnRechts,$O19)+SUMIFS(ToreRechts,MschnLinks,$O19,MschnRechts,$O17)</f>
        <v>1</v>
      </c>
      <c r="AA17" s="153"/>
      <c r="AB17" s="110">
        <f ca="1">IF(AND(Pkte1=Pkte2,Pkte1=Pkte3,Pkte1=Pkte4,GanzKoeff1=GanzKoeff2,GanzKoeff1=GanzKoeff3,GanzKoeff1&lt;&gt;GanzKoeff4),U17,0)</f>
        <v>0</v>
      </c>
      <c r="AC17" s="112">
        <f ca="1">IF(AB17&gt;0,AB17*FaktordirV3+W17*FaktordirV2,0)</f>
        <v>0</v>
      </c>
    </row>
    <row r="18" spans="2:29">
      <c r="D18" t="str">
        <f ca="1">Mann2</f>
        <v>Italië</v>
      </c>
      <c r="E18" s="51">
        <f ca="1">Y18</f>
        <v>3</v>
      </c>
      <c r="F18" s="51"/>
      <c r="G18" s="51"/>
      <c r="H18" s="51">
        <f ca="1">AA18</f>
        <v>1</v>
      </c>
      <c r="I18" s="51">
        <f ca="1">AA23</f>
        <v>2</v>
      </c>
      <c r="J18" s="51"/>
      <c r="L18" s="110">
        <f ca="1">IF(AND(Pkte2=Pkte1,Pkte2&lt;&gt;Pkte3,Pkte2&lt;&gt;Pkte4,E18&gt;E17),1,0)+IF(AND(Pkte2=Pkte3,Pkte2&lt;&gt;Pkte1,Pkte2&lt;&gt;Pkte4,H18&gt;H19),1,0)+IF(AND(Pkte2=Pkte4,Pkte2&lt;&gt;Pkte1,Pkte2&lt;&gt;Pkte3,I18&gt;I20),1,0)</f>
        <v>0</v>
      </c>
      <c r="N18" s="51" t="s">
        <v>67</v>
      </c>
      <c r="O18" t="str">
        <f ca="1">Mann2</f>
        <v>Italië</v>
      </c>
      <c r="P18" s="51">
        <f t="array" aca="1" ref="P18" ca="1">SUM(IF((MschnLinks=$O18)*(MschnRechts&lt;&gt;$O$20),PkteLinks,0))+SUM(IF((MschnLinks&lt;&gt;$O$20)*(MschnRechts=$O18),PkteRechts,0))</f>
        <v>6</v>
      </c>
      <c r="Q18" s="51">
        <f ca="1">R18-S18</f>
        <v>3</v>
      </c>
      <c r="R18" s="51">
        <f t="array" aca="1" ref="R18" ca="1">SUM(IF((MschnLinks=$O18)*(MschnRechts&lt;&gt;$O$20),ToreLinks,0))+SUM(IF((MschnLinks&lt;&gt;$O$20)*(MschnRechts=$O18),ToreRechts,0))</f>
        <v>4</v>
      </c>
      <c r="S18" s="51">
        <f t="array" aca="1" ref="S18" ca="1">SUM(IF((MschnLinks=$O18)*(MschnRechts&lt;&gt;$O$20),ToreRechts,0))+SUM(IF((MschnLinks&lt;&gt;$O$20)*(MschnRechts=$O18),ToreLinks,0))</f>
        <v>1</v>
      </c>
      <c r="T18">
        <f ca="1">P18*FaktorPkte+Q18*FaktorTDiff+R18*FaktorTErz</f>
        <v>6000304</v>
      </c>
      <c r="U18" s="51">
        <f ca="1">RANK(T18,T$17:T$19,1)</f>
        <v>3</v>
      </c>
      <c r="V18" s="51">
        <f ca="1">IF(AND(Pkte1=Pkte2,Pkte1=Pkte3,Pkte1&lt;&gt;Pkte4),U18,0)</f>
        <v>0</v>
      </c>
      <c r="W18" s="51">
        <f ca="1">IF(AND(T18=T17,T18&lt;&gt;T19,Y18&gt;Y17),1,0)+IF(AND(T18=T19,T18&lt;&gt;T17,AA18&gt;AA19),1,0)</f>
        <v>0</v>
      </c>
      <c r="X18" s="110">
        <f ca="1">IF(V18&gt;0,V18*FaktordirV3+W18*FaktordirV2,0)</f>
        <v>0</v>
      </c>
      <c r="Y18" s="154">
        <f ca="1">SUMIFS(ToreLinks,MschnLinks,$O18,MschnRechts,$O17)+SUMIFS(ToreRechts,MschnLinks,$O17,MschnRechts,$O18)</f>
        <v>3</v>
      </c>
      <c r="Z18" s="117"/>
      <c r="AA18" s="155">
        <f ca="1">SUMIFS(ToreLinks,MschnLinks,$O18,MschnRechts,$O19)+SUMIFS(ToreRechts,MschnLinks,$O19,MschnRechts,$O18)</f>
        <v>1</v>
      </c>
      <c r="AB18" s="110">
        <f ca="1">IF(AND(Pkte1=Pkte2,Pkte1=Pkte3,Pkte1=Pkte4,GanzKoeff1=GanzKoeff2,GanzKoeff1=GanzKoeff3,GanzKoeff1&lt;&gt;GanzKoeff4),U18,0)</f>
        <v>0</v>
      </c>
      <c r="AC18" s="110">
        <f ca="1">IF(AB18&gt;0,AB18*FaktordirV3+W18*FaktordirV2,0)</f>
        <v>0</v>
      </c>
    </row>
    <row r="19" spans="2:29">
      <c r="D19" t="str">
        <f ca="1">Mann3</f>
        <v>Wales</v>
      </c>
      <c r="E19" s="51"/>
      <c r="F19" s="51">
        <f ca="1">Z19</f>
        <v>0</v>
      </c>
      <c r="G19" s="51"/>
      <c r="H19" s="51">
        <f ca="1">AA19</f>
        <v>0</v>
      </c>
      <c r="I19" s="51"/>
      <c r="J19" s="51">
        <f ca="1">AA28</f>
        <v>0</v>
      </c>
      <c r="L19" s="110">
        <f ca="1">IF(AND(Pkte3=Pkte1,Pkte3&lt;&gt;Pkte2,Pkte3&lt;&gt;Pkte4,F19&gt;F17),1,0)+IF(AND(Pkte3=Pkte2,Pkte3&lt;&gt;Pkte1,Pkte3&lt;&gt;Pkte4,H19&gt;H18),1,0)+IF(AND(Pkte3=Pkte4,Pkte3&lt;&gt;Pkte1,Pkte3&lt;&gt;Pkte2,J19&gt;J20),1,0)</f>
        <v>0</v>
      </c>
      <c r="N19" s="51" t="s">
        <v>68</v>
      </c>
      <c r="O19" t="str">
        <f ca="1">Mann3</f>
        <v>Wales</v>
      </c>
      <c r="P19" s="51">
        <f t="array" aca="1" ref="P19" ca="1">SUM(IF((MschnLinks=$O19)*(MschnRechts&lt;&gt;$O$20),PkteLinks,0))+SUM(IF((MschnLinks&lt;&gt;$O$20)*(MschnRechts=$O19),PkteRechts,0))</f>
        <v>0</v>
      </c>
      <c r="Q19" s="51">
        <f ca="1">R19-S19</f>
        <v>-2</v>
      </c>
      <c r="R19" s="51">
        <f t="array" aca="1" ref="R19" ca="1">SUM(IF((MschnLinks=$O19)*(MschnRechts&lt;&gt;$O$20),ToreLinks,0))+SUM(IF((MschnLinks&lt;&gt;$O$20)*(MschnRechts=$O19),ToreRechts,0))</f>
        <v>0</v>
      </c>
      <c r="S19" s="51">
        <f t="array" aca="1" ref="S19" ca="1">SUM(IF((MschnLinks=$O19)*(MschnRechts&lt;&gt;$O$20),ToreRechts,0))+SUM(IF((MschnLinks&lt;&gt;$O$20)*(MschnRechts=$O19),ToreLinks,0))</f>
        <v>2</v>
      </c>
      <c r="T19">
        <f ca="1">P19*FaktorPkte+Q19*FaktorTDiff+R19*FaktorTErz</f>
        <v>-200</v>
      </c>
      <c r="U19" s="51">
        <f ca="1">RANK(T19,T$17:T$19,1)</f>
        <v>1</v>
      </c>
      <c r="V19" s="51">
        <f ca="1">IF(AND(Pkte1=Pkte2,Pkte1=Pkte3,Pkte1&lt;&gt;Pkte4),U19,0)</f>
        <v>0</v>
      </c>
      <c r="W19" s="51">
        <f ca="1">IF(AND(T19=T17,T19&lt;&gt;T18,Z19&gt;Z17),1,0)+IF(AND(T19=T18,T19&lt;&gt;T17,AA19&gt;AA18),1,0)</f>
        <v>0</v>
      </c>
      <c r="X19" s="110">
        <f ca="1">IF(V19&gt;0,V19*FaktordirV3+W19*FaktordirV2,0)</f>
        <v>0</v>
      </c>
      <c r="Y19" s="154"/>
      <c r="Z19" s="117">
        <f ca="1">SUMIFS(ToreLinks,MschnLinks,$O19,MschnRechts,$O17)+SUMIFS(ToreRechts,MschnLinks,$O17,MschnRechts,$O19)</f>
        <v>0</v>
      </c>
      <c r="AA19" s="155">
        <f ca="1">SUMIFS(ToreLinks,MschnLinks,$O19,MschnRechts,$O18)+SUMIFS(ToreRechts,MschnLinks,$O18,MschnRechts,$O19)</f>
        <v>0</v>
      </c>
      <c r="AB19" s="110">
        <f ca="1">IF(AND(Pkte1=Pkte2,Pkte1=Pkte3,Pkte1=Pkte4,GanzKoeff1=GanzKoeff2,GanzKoeff1=GanzKoeff3,GanzKoeff1&lt;&gt;GanzKoeff4),U19,0)</f>
        <v>0</v>
      </c>
      <c r="AC19" s="110">
        <f ca="1">IF(AB19&gt;0,AB19*FaktordirV3+W19*FaktordirV2,0)</f>
        <v>0</v>
      </c>
    </row>
    <row r="20" spans="2:29" ht="15" thickBot="1">
      <c r="D20" t="str">
        <f ca="1">Mann4</f>
        <v>Zwitserland</v>
      </c>
      <c r="E20" s="51"/>
      <c r="F20" s="51"/>
      <c r="G20" s="51">
        <f ca="1">Z24</f>
        <v>2</v>
      </c>
      <c r="H20" s="51"/>
      <c r="I20" s="51">
        <f ca="1">AA24</f>
        <v>1</v>
      </c>
      <c r="J20" s="51">
        <f ca="1">AA29</f>
        <v>2</v>
      </c>
      <c r="L20" s="109">
        <f ca="1">IF(AND(Pkte4=Pkte1,Pkte4&lt;&gt;Pkte2,Pkte4&lt;&gt;Pkte3,G20&gt;G17),1,0)+IF(AND(Pkte4=Pkte2,Pkte4&lt;&gt;Pkte1,Pkte4&lt;&gt;Pkte3,I20&gt;I18),1,0)+IF(AND(Pkte4=Pkte3,Pkte4&lt;&gt;Pkte1,Pkte4&lt;&gt;Pkte2,J20&gt;J19),1,0)</f>
        <v>0</v>
      </c>
      <c r="O20" s="108" t="str">
        <f ca="1">Mann4</f>
        <v>Zwitserland</v>
      </c>
      <c r="P20" s="51"/>
      <c r="Q20" s="51"/>
      <c r="R20" s="51"/>
      <c r="S20" s="51"/>
      <c r="V20" s="51"/>
      <c r="W20" s="51"/>
      <c r="X20" s="110"/>
      <c r="Y20" s="154"/>
      <c r="Z20" s="117"/>
      <c r="AA20" s="155"/>
      <c r="AB20" s="159"/>
      <c r="AC20" s="159"/>
    </row>
    <row r="21" spans="2:29">
      <c r="B21" s="137"/>
      <c r="C21" s="138"/>
      <c r="D21" s="139"/>
      <c r="F21" s="51"/>
      <c r="G21" s="111"/>
      <c r="V21" s="51"/>
      <c r="W21" s="51"/>
      <c r="X21" s="110"/>
      <c r="Y21" s="154"/>
      <c r="Z21" s="117"/>
      <c r="AA21" s="155"/>
      <c r="AB21" s="159"/>
      <c r="AC21" s="159"/>
    </row>
    <row r="22" spans="2:29">
      <c r="B22" s="137"/>
      <c r="C22" s="138"/>
      <c r="D22" s="139"/>
      <c r="F22" s="51"/>
      <c r="G22" s="111"/>
      <c r="N22" s="51" t="s">
        <v>66</v>
      </c>
      <c r="O22" t="str">
        <f ca="1">Mann1</f>
        <v>Turkije</v>
      </c>
      <c r="P22" s="51">
        <f t="array" aca="1" ref="P22" ca="1">SUM(IF((MschnLinks=$O22)*(MschnRechts&lt;&gt;$O$25),PkteLinks,0))+SUM(IF((MschnLinks&lt;&gt;$O$25)*(MschnRechts=$O22),PkteRechts,0))</f>
        <v>1</v>
      </c>
      <c r="Q22" s="51">
        <f ca="1">R22-S22</f>
        <v>-2</v>
      </c>
      <c r="R22" s="51">
        <f t="array" aca="1" ref="R22" ca="1">SUM(IF((MschnLinks=$O22)*(MschnRechts&lt;&gt;$O$25),ToreLinks,0))+SUM(IF((MschnLinks&lt;&gt;$O$25)*(MschnRechts=$O22),ToreRechts,0))</f>
        <v>3</v>
      </c>
      <c r="S22" s="51">
        <f t="array" aca="1" ref="S22" ca="1">SUM(IF((MschnLinks=$O22)*(MschnRechts&lt;&gt;$O$25),ToreRechts,0))+SUM(IF((MschnLinks&lt;&gt;$O$25)*(MschnRechts=$O22),ToreLinks,0))</f>
        <v>5</v>
      </c>
      <c r="T22">
        <f ca="1">P22*FaktorPkte+Q22*FaktorTDiff+R22*FaktorTErz</f>
        <v>999803</v>
      </c>
      <c r="U22" s="51">
        <f ca="1">RANK(T22,T$22:T$24,1)</f>
        <v>1</v>
      </c>
      <c r="V22" s="51">
        <f ca="1">IF(AND(Pkte1=Pkte2,Pkte1=Pkte4,Pkte1&lt;&gt;Pkte3),U22,0)</f>
        <v>0</v>
      </c>
      <c r="W22" s="51">
        <f ca="1">IF(AND(T22=T23,T22&lt;&gt;T24,Y22&gt;Y23),1,0)+IF(AND(T22=T24,T22&lt;&gt;T23,Z22&gt;Z24),1,0)</f>
        <v>0</v>
      </c>
      <c r="X22" s="110">
        <f ca="1">IF(V22&gt;0,V22*FaktordirV3+W22*FaktordirV2,0)</f>
        <v>0</v>
      </c>
      <c r="Y22" s="154">
        <f ca="1">SUMIFS(ToreLinks,MschnLinks,$O22,MschnRechts,$O23)+SUMIFS(ToreRechts,MschnLinks,$O23,MschnRechts,$O22)</f>
        <v>1</v>
      </c>
      <c r="Z22" s="117">
        <f ca="1">SUMIFS(ToreLinks,MschnLinks,$O22,MschnRechts,$O24)+SUMIFS(ToreRechts,MschnLinks,$O24,MschnRechts,$O22)</f>
        <v>2</v>
      </c>
      <c r="AA22" s="155"/>
      <c r="AB22" s="110">
        <f ca="1">IF(AND(Pkte1=Pkte2,Pkte1=Pkte3,Pkte1=Pkte4,GanzKoeff1=GanzKoeff2,GanzKoeff1=GanzKoeff4,GanzKoeff1&lt;&gt;GanzKoeff3),U22,0)</f>
        <v>0</v>
      </c>
      <c r="AC22" s="110">
        <f ca="1">IF(AB22&gt;0,AB22*FaktordirV3+W22*FaktordirV2,0)</f>
        <v>0</v>
      </c>
    </row>
    <row r="23" spans="2:29">
      <c r="B23" s="122"/>
      <c r="C23" s="51"/>
      <c r="F23" s="51"/>
      <c r="G23" s="111"/>
      <c r="N23" s="51" t="s">
        <v>67</v>
      </c>
      <c r="O23" t="str">
        <f ca="1">Mann2</f>
        <v>Italië</v>
      </c>
      <c r="P23" s="51">
        <f t="array" aca="1" ref="P23" ca="1">SUM(IF((MschnLinks=$O23)*(MschnRechts&lt;&gt;$O$25),PkteLinks,0))+SUM(IF((MschnLinks&lt;&gt;$O$25)*(MschnRechts=$O23),PkteRechts,0))</f>
        <v>6</v>
      </c>
      <c r="Q23" s="51">
        <f ca="1">R23-S23</f>
        <v>3</v>
      </c>
      <c r="R23" s="51">
        <f t="array" aca="1" ref="R23" ca="1">SUM(IF((MschnLinks=$O23)*(MschnRechts&lt;&gt;$O$25),ToreLinks,0))+SUM(IF((MschnLinks&lt;&gt;$O$25)*(MschnRechts=$O23),ToreRechts,0))</f>
        <v>5</v>
      </c>
      <c r="S23" s="51">
        <f t="array" aca="1" ref="S23" ca="1">SUM(IF((MschnLinks=$O23)*(MschnRechts&lt;&gt;$O$25),ToreRechts,0))+SUM(IF((MschnLinks&lt;&gt;$O$25)*(MschnRechts=$O23),ToreLinks,0))</f>
        <v>2</v>
      </c>
      <c r="T23">
        <f ca="1">P23*FaktorPkte+Q23*FaktorTDiff+R23*FaktorTErz</f>
        <v>6000305</v>
      </c>
      <c r="U23" s="51">
        <f ca="1">RANK(T23,T$22:T$24,1)</f>
        <v>3</v>
      </c>
      <c r="V23" s="51">
        <f ca="1">IF(AND(Pkte1=Pkte2,Pkte1=Pkte4,Pkte1&lt;&gt;Pkte3),U23,0)</f>
        <v>0</v>
      </c>
      <c r="W23" s="51">
        <f ca="1">IF(AND(T23=T22,T23&lt;&gt;T24,Y23&gt;Y22),1,0)+IF(AND(T23=T24,T23&lt;&gt;T22,AA23&gt;AA24),1,0)</f>
        <v>0</v>
      </c>
      <c r="X23" s="110">
        <f ca="1">IF(V23&gt;0,V23*FaktordirV3+W23*FaktordirV2,0)</f>
        <v>0</v>
      </c>
      <c r="Y23" s="154">
        <f ca="1">SUMIFS(ToreLinks,MschnLinks,$O23,MschnRechts,$O22)+SUMIFS(ToreRechts,MschnLinks,$O22,MschnRechts,$O23)</f>
        <v>3</v>
      </c>
      <c r="Z23" s="117"/>
      <c r="AA23" s="155">
        <f ca="1">SUMIFS(ToreLinks,MschnLinks,$O23,MschnRechts,$O24)+SUMIFS(ToreRechts,MschnLinks,$O24,MschnRechts,$O23)</f>
        <v>2</v>
      </c>
      <c r="AB23" s="110">
        <f ca="1">IF(AND(Pkte1=Pkte2,Pkte1=Pkte3,Pkte1=Pkte4,GanzKoeff1=GanzKoeff2,GanzKoeff1=GanzKoeff4,GanzKoeff1&lt;&gt;GanzKoeff3),U23,0)</f>
        <v>0</v>
      </c>
      <c r="AC23" s="110">
        <f ca="1">IF(AB23&gt;0,AB23*FaktordirV3+W23*FaktordirV2,0)</f>
        <v>0</v>
      </c>
    </row>
    <row r="24" spans="2:29">
      <c r="B24" s="122"/>
      <c r="C24" s="51"/>
      <c r="F24" s="51"/>
      <c r="G24" s="111"/>
      <c r="N24" s="51" t="s">
        <v>68</v>
      </c>
      <c r="O24" t="str">
        <f ca="1">Mann4</f>
        <v>Zwitserland</v>
      </c>
      <c r="P24" s="51">
        <f t="array" aca="1" ref="P24" ca="1">SUM(IF((MschnLinks=$O24)*(MschnRechts&lt;&gt;$O$25),PkteLinks,0))+SUM(IF((MschnLinks&lt;&gt;$O$25)*(MschnRechts=$O24),PkteRechts,0))</f>
        <v>1</v>
      </c>
      <c r="Q24" s="51">
        <f ca="1">R24-S24</f>
        <v>-1</v>
      </c>
      <c r="R24" s="51">
        <f t="array" aca="1" ref="R24" ca="1">SUM(IF((MschnLinks=$O24)*(MschnRechts&lt;&gt;$O$25),ToreLinks,0))+SUM(IF((MschnLinks&lt;&gt;$O$25)*(MschnRechts=$O24),ToreRechts,0))</f>
        <v>3</v>
      </c>
      <c r="S24" s="51">
        <f t="array" aca="1" ref="S24" ca="1">SUM(IF((MschnLinks=$O24)*(MschnRechts&lt;&gt;$O$25),ToreRechts,0))+SUM(IF((MschnLinks&lt;&gt;$O$25)*(MschnRechts=$O24),ToreLinks,0))</f>
        <v>4</v>
      </c>
      <c r="T24">
        <f ca="1">P24*FaktorPkte+Q24*FaktorTDiff+R24*FaktorTErz</f>
        <v>999903</v>
      </c>
      <c r="U24" s="51">
        <f ca="1">RANK(T24,T$22:T$24,1)</f>
        <v>2</v>
      </c>
      <c r="V24" s="51">
        <f ca="1">IF(AND(Pkte1=Pkte2,Pkte1=Pkte4,Pkte1&lt;&gt;Pkte3),U24,0)</f>
        <v>0</v>
      </c>
      <c r="W24" s="51">
        <f ca="1">IF(AND(T24=T22,T24&lt;&gt;T23,Z24&gt;Z22),1,0)+IF(AND(T24=T23,T24&lt;&gt;T22,AA24&gt;AA23),1,0)</f>
        <v>0</v>
      </c>
      <c r="X24" s="110">
        <f ca="1">IF(V24&gt;0,V24*FaktordirV3+W24*FaktordirV2,0)</f>
        <v>0</v>
      </c>
      <c r="Y24" s="154"/>
      <c r="Z24" s="117">
        <f ca="1">SUMIFS(ToreLinks,MschnLinks,$O24,MschnRechts,$O22)+SUMIFS(ToreRechts,MschnLinks,$O22,MschnRechts,$O24)</f>
        <v>2</v>
      </c>
      <c r="AA24" s="155">
        <f ca="1">SUMIFS(ToreLinks,MschnLinks,$O24,MschnRechts,$O23)+SUMIFS(ToreRechts,MschnLinks,$O23,MschnRechts,$O24)</f>
        <v>1</v>
      </c>
      <c r="AB24" s="110">
        <f ca="1">IF(AND(Pkte1=Pkte2,Pkte1=Pkte3,Pkte1=Pkte4,GanzKoeff1=GanzKoeff2,GanzKoeff1=GanzKoeff4,GanzKoeff1&lt;&gt;GanzKoeff3),U24,0)</f>
        <v>0</v>
      </c>
      <c r="AC24" s="110">
        <f ca="1">IF(AB24&gt;0,AB24*FaktordirV3+W24*FaktordirV2,0)</f>
        <v>0</v>
      </c>
    </row>
    <row r="25" spans="2:29">
      <c r="B25" s="122"/>
      <c r="C25" s="51"/>
      <c r="F25" s="51"/>
      <c r="G25" s="111"/>
      <c r="O25" s="108" t="str">
        <f ca="1">Mann3</f>
        <v>Wales</v>
      </c>
      <c r="P25" s="51"/>
      <c r="Q25" s="51"/>
      <c r="R25" s="51"/>
      <c r="S25" s="51"/>
      <c r="V25" s="51"/>
      <c r="W25" s="51"/>
      <c r="X25" s="110"/>
      <c r="Y25" s="154"/>
      <c r="Z25" s="117"/>
      <c r="AA25" s="155"/>
      <c r="AB25" s="159"/>
      <c r="AC25" s="159"/>
    </row>
    <row r="26" spans="2:29">
      <c r="B26" s="122"/>
      <c r="C26" s="51"/>
      <c r="F26" s="51"/>
      <c r="G26" s="111"/>
      <c r="V26" s="51"/>
      <c r="W26" s="51"/>
      <c r="X26" s="110"/>
      <c r="Y26" s="154"/>
      <c r="Z26" s="117"/>
      <c r="AA26" s="155"/>
      <c r="AB26" s="159"/>
      <c r="AC26" s="159"/>
    </row>
    <row r="27" spans="2:29">
      <c r="N27" s="51" t="s">
        <v>66</v>
      </c>
      <c r="O27" t="str">
        <f ca="1">Mann1</f>
        <v>Turkije</v>
      </c>
      <c r="P27" s="51">
        <f t="array" aca="1" ref="P27" ca="1">SUM(IF((MschnLinks=$O27)*(MschnRechts&lt;&gt;$O$30),PkteLinks,0))+SUM(IF((MschnLinks&lt;&gt;$O$30)*(MschnRechts=$O27),PkteRechts,0))</f>
        <v>4</v>
      </c>
      <c r="Q27" s="51">
        <f ca="1">R27-S27</f>
        <v>1</v>
      </c>
      <c r="R27" s="51">
        <f t="array" aca="1" ref="R27" ca="1">SUM(IF((MschnLinks=$O27)*(MschnRechts&lt;&gt;$O$30),ToreLinks,0))+SUM(IF((MschnLinks&lt;&gt;$O$30)*(MschnRechts=$O27),ToreRechts,0))</f>
        <v>3</v>
      </c>
      <c r="S27" s="51">
        <f t="array" aca="1" ref="S27" ca="1">SUM(IF((MschnLinks=$O27)*(MschnRechts&lt;&gt;$O$30),ToreRechts,0))+SUM(IF((MschnLinks&lt;&gt;$O$30)*(MschnRechts=$O27),ToreLinks,0))</f>
        <v>2</v>
      </c>
      <c r="T27">
        <f ca="1">P27*FaktorPkte+Q27*FaktorTDiff+R27*FaktorTErz</f>
        <v>4000103</v>
      </c>
      <c r="U27" s="51">
        <f ca="1">RANK(T27,T$27:T$29,1)</f>
        <v>2</v>
      </c>
      <c r="V27" s="51">
        <f ca="1">IF(AND(Pkte1=Pkte3,Pkte1=Pkte4,Pkte1&lt;&gt;Pkte2),U27,0)</f>
        <v>0</v>
      </c>
      <c r="W27" s="51">
        <f ca="1">IF(AND(T27=T28,T27&lt;&gt;T29,Y27&gt;Y28),1,0)+IF(AND(T27=T29,T27&lt;&gt;T28,Z27&gt;Z29),1,0)</f>
        <v>0</v>
      </c>
      <c r="X27" s="110">
        <f ca="1">IF(V27&gt;0,V27*FaktordirV3+W27*FaktordirV2,0)</f>
        <v>0</v>
      </c>
      <c r="Y27" s="154">
        <f ca="1">SUMIFS(ToreLinks,MschnLinks,$O27,MschnRechts,$O28)+SUMIFS(ToreRechts,MschnLinks,$O28,MschnRechts,$O27)</f>
        <v>1</v>
      </c>
      <c r="Z27" s="117">
        <f ca="1">SUMIFS(ToreLinks,MschnLinks,$O27,MschnRechts,$O29)+SUMIFS(ToreRechts,MschnLinks,$O29,MschnRechts,$O27)</f>
        <v>2</v>
      </c>
      <c r="AA27" s="155"/>
      <c r="AB27" s="110">
        <f ca="1">IF(AND(Pkte1=Pkte2,Pkte1=Pkte3,Pkte1=Pkte4,GanzKoeff1=GanzKoeff3,GanzKoeff1=GanzKoeff4,GanzKoeff1&lt;&gt;GanzKoeff2),U27,0)</f>
        <v>0</v>
      </c>
      <c r="AC27" s="110">
        <f ca="1">IF(AB27&gt;0,AB27*FaktordirV3+W27*FaktordirV2,0)</f>
        <v>0</v>
      </c>
    </row>
    <row r="28" spans="2:29">
      <c r="N28" s="51" t="s">
        <v>67</v>
      </c>
      <c r="O28" t="str">
        <f ca="1">Mann3</f>
        <v>Wales</v>
      </c>
      <c r="P28" s="51">
        <f t="array" aca="1" ref="P28" ca="1">SUM(IF((MschnLinks=$O28)*(MschnRechts&lt;&gt;$O$30),PkteLinks,0))+SUM(IF((MschnLinks&lt;&gt;$O$30)*(MschnRechts=$O28),PkteRechts,0))</f>
        <v>0</v>
      </c>
      <c r="Q28" s="51">
        <f ca="1">R28-S28</f>
        <v>-3</v>
      </c>
      <c r="R28" s="51">
        <f t="array" aca="1" ref="R28" ca="1">SUM(IF((MschnLinks=$O28)*(MschnRechts&lt;&gt;$O$30),ToreLinks,0))+SUM(IF((MschnLinks&lt;&gt;$O$30)*(MschnRechts=$O28),ToreRechts,0))</f>
        <v>0</v>
      </c>
      <c r="S28" s="51">
        <f t="array" aca="1" ref="S28" ca="1">SUM(IF((MschnLinks=$O28)*(MschnRechts&lt;&gt;$O$30),ToreRechts,0))+SUM(IF((MschnLinks&lt;&gt;$O$30)*(MschnRechts=$O28),ToreLinks,0))</f>
        <v>3</v>
      </c>
      <c r="T28">
        <f ca="1">P28*FaktorPkte+Q28*FaktorTDiff+R28*FaktorTErz</f>
        <v>-300</v>
      </c>
      <c r="U28" s="51">
        <f ca="1">RANK(T28,T$27:T$29,1)</f>
        <v>1</v>
      </c>
      <c r="V28" s="51">
        <f ca="1">IF(AND(Pkte1=Pkte3,Pkte1=Pkte4,Pkte1&lt;&gt;Pkte2),U28,0)</f>
        <v>0</v>
      </c>
      <c r="W28" s="51">
        <f ca="1">IF(AND(T28=T27,T28&lt;&gt;T29,Y28&gt;Y27),1,0)+IF(AND(T28=T29,T28&lt;&gt;T27,AA28&gt;AA29),1,0)</f>
        <v>0</v>
      </c>
      <c r="X28" s="110">
        <f ca="1">IF(V28&gt;0,V28*FaktordirV3+W28*FaktordirV2,0)</f>
        <v>0</v>
      </c>
      <c r="Y28" s="154">
        <f ca="1">SUMIFS(ToreLinks,MschnLinks,$O28,MschnRechts,$O27)+SUMIFS(ToreRechts,MschnLinks,$O27,MschnRechts,$O28)</f>
        <v>0</v>
      </c>
      <c r="Z28" s="117"/>
      <c r="AA28" s="155">
        <f ca="1">SUMIFS(ToreLinks,MschnLinks,$O28,MschnRechts,$O29)+SUMIFS(ToreRechts,MschnLinks,$O29,MschnRechts,$O28)</f>
        <v>0</v>
      </c>
      <c r="AB28" s="110">
        <f ca="1">IF(AND(Pkte1=Pkte2,Pkte1=Pkte3,Pkte1=Pkte4,GanzKoeff1=GanzKoeff3,GanzKoeff1=GanzKoeff4,GanzKoeff1&lt;&gt;GanzKoeff2),U28,0)</f>
        <v>0</v>
      </c>
      <c r="AC28" s="110">
        <f ca="1">IF(AB28&gt;0,AB28*FaktordirV3+W28*FaktordirV2,0)</f>
        <v>0</v>
      </c>
    </row>
    <row r="29" spans="2:29">
      <c r="N29" s="51" t="s">
        <v>68</v>
      </c>
      <c r="O29" t="str">
        <f ca="1">Mann4</f>
        <v>Zwitserland</v>
      </c>
      <c r="P29" s="51">
        <f t="array" aca="1" ref="P29" ca="1">SUM(IF((MschnLinks=$O29)*(MschnRechts&lt;&gt;$O$30),PkteLinks,0))+SUM(IF((MschnLinks&lt;&gt;$O$30)*(MschnRechts=$O29),PkteRechts,0))</f>
        <v>4</v>
      </c>
      <c r="Q29" s="51">
        <f ca="1">R29-S29</f>
        <v>2</v>
      </c>
      <c r="R29" s="51">
        <f t="array" aca="1" ref="R29" ca="1">SUM(IF((MschnLinks=$O29)*(MschnRechts&lt;&gt;$O$30),ToreLinks,0))+SUM(IF((MschnLinks&lt;&gt;$O$30)*(MschnRechts=$O29),ToreRechts,0))</f>
        <v>4</v>
      </c>
      <c r="S29" s="51">
        <f t="array" aca="1" ref="S29" ca="1">SUM(IF((MschnLinks=$O29)*(MschnRechts&lt;&gt;$O$30),ToreRechts,0))+SUM(IF((MschnLinks&lt;&gt;$O$30)*(MschnRechts=$O29),ToreLinks,0))</f>
        <v>2</v>
      </c>
      <c r="T29">
        <f ca="1">P29*FaktorPkte+Q29*FaktorTDiff+R29*FaktorTErz</f>
        <v>4000204</v>
      </c>
      <c r="U29" s="51">
        <f ca="1">RANK(T29,T$27:T$29,1)</f>
        <v>3</v>
      </c>
      <c r="V29" s="51">
        <f ca="1">IF(AND(Pkte1=Pkte3,Pkte1=Pkte4,Pkte1&lt;&gt;Pkte2),U29,0)</f>
        <v>0</v>
      </c>
      <c r="W29" s="51">
        <f ca="1">IF(AND(T29=T27,T29&lt;&gt;T28,Z29&gt;Z27),1,0)+IF(AND(T29=T28,T29&lt;&gt;T27,AA29&gt;AA28),1,0)</f>
        <v>0</v>
      </c>
      <c r="X29" s="110">
        <f ca="1">IF(V29&gt;0,V29*FaktordirV3+W29*FaktordirV2,0)</f>
        <v>0</v>
      </c>
      <c r="Y29" s="154"/>
      <c r="Z29" s="117">
        <f ca="1">SUMIFS(ToreLinks,MschnLinks,$O29,MschnRechts,$O27)+SUMIFS(ToreRechts,MschnLinks,$O27,MschnRechts,$O29)</f>
        <v>2</v>
      </c>
      <c r="AA29" s="155">
        <f ca="1">SUMIFS(ToreLinks,MschnLinks,$O29,MschnRechts,$O28)+SUMIFS(ToreRechts,MschnLinks,$O28,MschnRechts,$O29)</f>
        <v>2</v>
      </c>
      <c r="AB29" s="110">
        <f ca="1">IF(AND(Pkte1=Pkte2,Pkte1=Pkte3,Pkte1=Pkte4,GanzKoeff1=GanzKoeff3,GanzKoeff1=GanzKoeff4,GanzKoeff1&lt;&gt;GanzKoeff2),U29,0)</f>
        <v>0</v>
      </c>
      <c r="AC29" s="110">
        <f ca="1">IF(AB29&gt;0,AB29*FaktordirV3+W29*FaktordirV2,0)</f>
        <v>0</v>
      </c>
    </row>
    <row r="30" spans="2:29">
      <c r="O30" s="108" t="str">
        <f ca="1">Mann2</f>
        <v>Italië</v>
      </c>
      <c r="P30" s="51"/>
      <c r="Q30" s="51"/>
      <c r="R30" s="51"/>
      <c r="S30" s="51"/>
      <c r="V30" s="51"/>
      <c r="W30" s="51"/>
      <c r="X30" s="110"/>
      <c r="Y30" s="154"/>
      <c r="Z30" s="117"/>
      <c r="AA30" s="155"/>
      <c r="AB30" s="159"/>
      <c r="AC30" s="159"/>
    </row>
    <row r="31" spans="2:29">
      <c r="V31" s="51"/>
      <c r="W31" s="51"/>
      <c r="X31" s="110"/>
      <c r="Y31" s="154"/>
      <c r="Z31" s="117"/>
      <c r="AA31" s="155"/>
      <c r="AB31" s="159"/>
      <c r="AC31" s="159"/>
    </row>
    <row r="32" spans="2:29">
      <c r="N32" s="51" t="s">
        <v>66</v>
      </c>
      <c r="O32" t="str">
        <f ca="1">Mann2</f>
        <v>Italië</v>
      </c>
      <c r="P32" s="51">
        <f t="array" aca="1" ref="P32" ca="1">SUM(IF((MschnLinks=$O32)*(MschnRechts&lt;&gt;$O$35),PkteLinks,0))+SUM(IF((MschnLinks&lt;&gt;$O$35)*(MschnRechts=$O32),PkteRechts,0))</f>
        <v>6</v>
      </c>
      <c r="Q32" s="51">
        <f ca="1">R32-S32</f>
        <v>2</v>
      </c>
      <c r="R32" s="51">
        <f t="array" aca="1" ref="R32" ca="1">SUM(IF((MschnLinks=$O32)*(MschnRechts&lt;&gt;$O$35),ToreLinks,0))+SUM(IF((MschnLinks&lt;&gt;$O$35)*(MschnRechts=$O32),ToreRechts,0))</f>
        <v>3</v>
      </c>
      <c r="S32" s="51">
        <f t="array" aca="1" ref="S32" ca="1">SUM(IF((MschnLinks=$O32)*(MschnRechts&lt;&gt;$O$35),ToreRechts,0))+SUM(IF((MschnLinks&lt;&gt;$O$35)*(MschnRechts=$O32),ToreLinks,0))</f>
        <v>1</v>
      </c>
      <c r="T32">
        <f ca="1">P32*FaktorPkte+Q32*FaktorTDiff+R32*FaktorTErz</f>
        <v>6000203</v>
      </c>
      <c r="U32" s="51">
        <f ca="1">RANK(T32,T$32:T$34,1)</f>
        <v>3</v>
      </c>
      <c r="V32" s="51">
        <f ca="1">IF(AND(Pkte2=Pkte3,Pkte2=Pkte4,Pkte2&lt;&gt;Pkte1),U32,0)</f>
        <v>0</v>
      </c>
      <c r="W32" s="51">
        <f ca="1">IF(AND(T32=T33,T32&lt;&gt;T34,Y32&gt;Y33),1,0)+IF(AND(T32=T34,T32&lt;&gt;T33,Z32&gt;Z34),1,0)</f>
        <v>0</v>
      </c>
      <c r="X32" s="110">
        <f ca="1">IF(V32&gt;0,V32*FaktordirV3+W32*FaktordirV2,0)</f>
        <v>0</v>
      </c>
      <c r="Y32" s="154">
        <f ca="1">SUMIFS(ToreLinks,MschnLinks,$O32,MschnRechts,$O33)+SUMIFS(ToreRechts,MschnLinks,$O33,MschnRechts,$O32)</f>
        <v>1</v>
      </c>
      <c r="Z32" s="117">
        <f ca="1">SUMIFS(ToreLinks,MschnLinks,$O32,MschnRechts,$O34)+SUMIFS(ToreRechts,MschnLinks,$O34,MschnRechts,$O32)</f>
        <v>2</v>
      </c>
      <c r="AA32" s="155"/>
      <c r="AB32" s="110">
        <f ca="1">IF(AND(Pkte1=Pkte2,Pkte1=Pkte3,Pkte1=Pkte4,GanzKoeff2=GanzKoeff3,GanzKoeff2=GanzKoeff4,GanzKoeff2&lt;&gt;GanzKoeff1),U32,0)</f>
        <v>0</v>
      </c>
      <c r="AC32" s="110">
        <f ca="1">IF(AB32&gt;0,AB32*FaktordirV3+W32*FaktordirV2,0)</f>
        <v>0</v>
      </c>
    </row>
    <row r="33" spans="14:29">
      <c r="N33" s="51" t="s">
        <v>67</v>
      </c>
      <c r="O33" t="str">
        <f ca="1">Mann3</f>
        <v>Wales</v>
      </c>
      <c r="P33" s="51">
        <f t="array" aca="1" ref="P33" ca="1">SUM(IF((MschnLinks=$O33)*(MschnRechts&lt;&gt;$O$35),PkteLinks,0))+SUM(IF((MschnLinks&lt;&gt;$O$35)*(MschnRechts=$O33),PkteRechts,0))</f>
        <v>0</v>
      </c>
      <c r="Q33" s="51">
        <f ca="1">R33-S33</f>
        <v>-3</v>
      </c>
      <c r="R33" s="51">
        <f t="array" aca="1" ref="R33" ca="1">SUM(IF((MschnLinks=$O33)*(MschnRechts&lt;&gt;$O$35),ToreLinks,0))+SUM(IF((MschnLinks&lt;&gt;$O$35)*(MschnRechts=$O33),ToreRechts,0))</f>
        <v>0</v>
      </c>
      <c r="S33" s="51">
        <f t="array" aca="1" ref="S33" ca="1">SUM(IF((MschnLinks=$O33)*(MschnRechts&lt;&gt;$O$35),ToreRechts,0))+SUM(IF((MschnLinks&lt;&gt;$O$35)*(MschnRechts=$O33),ToreLinks,0))</f>
        <v>3</v>
      </c>
      <c r="T33">
        <f ca="1">P33*FaktorPkte+Q33*FaktorTDiff+R33*FaktorTErz</f>
        <v>-300</v>
      </c>
      <c r="U33" s="51">
        <f ca="1">RANK(T33,T$32:T$34,1)</f>
        <v>1</v>
      </c>
      <c r="V33" s="51">
        <f ca="1">IF(AND(Pkte2=Pkte3,Pkte2=Pkte4,Pkte2&lt;&gt;Pkte1),U33,0)</f>
        <v>0</v>
      </c>
      <c r="W33" s="51">
        <f ca="1">IF(AND(T33=T32,T33&lt;&gt;T34,Y33&gt;Y32),1,0)+IF(AND(T33=T34,T33&lt;&gt;T32,AA33&gt;AA34),1,0)</f>
        <v>0</v>
      </c>
      <c r="X33" s="110">
        <f ca="1">IF(V33&gt;0,V33*FaktordirV3+W33*FaktordirV2,0)</f>
        <v>0</v>
      </c>
      <c r="Y33" s="154">
        <f ca="1">SUMIFS(ToreLinks,MschnLinks,$O33,MschnRechts,$O32)+SUMIFS(ToreRechts,MschnLinks,$O32,MschnRechts,$O33)</f>
        <v>0</v>
      </c>
      <c r="Z33" s="117"/>
      <c r="AA33" s="155">
        <f ca="1">SUMIFS(ToreLinks,MschnLinks,$O33,MschnRechts,$O34)+SUMIFS(ToreRechts,MschnLinks,$O34,MschnRechts,$O33)</f>
        <v>0</v>
      </c>
      <c r="AB33" s="110">
        <f ca="1">IF(AND(Pkte1=Pkte2,Pkte1=Pkte3,Pkte1=Pkte4,GanzKoeff2=GanzKoeff3,GanzKoeff2=GanzKoeff4,GanzKoeff2&lt;&gt;GanzKoeff1),U33,0)</f>
        <v>0</v>
      </c>
      <c r="AC33" s="110">
        <f ca="1">IF(AB33&gt;0,AB33*FaktordirV3+W33*FaktordirV2,0)</f>
        <v>0</v>
      </c>
    </row>
    <row r="34" spans="14:29" ht="15" thickBot="1">
      <c r="N34" s="51" t="s">
        <v>68</v>
      </c>
      <c r="O34" t="str">
        <f ca="1">Mann4</f>
        <v>Zwitserland</v>
      </c>
      <c r="P34" s="51">
        <f t="array" aca="1" ref="P34" ca="1">SUM(IF((MschnLinks=$O34)*(MschnRechts&lt;&gt;$O$35),PkteLinks,0))+SUM(IF((MschnLinks&lt;&gt;$O$35)*(MschnRechts=$O34),PkteRechts,0))</f>
        <v>3</v>
      </c>
      <c r="Q34" s="51">
        <f ca="1">R34-S34</f>
        <v>1</v>
      </c>
      <c r="R34" s="51">
        <f t="array" aca="1" ref="R34" ca="1">SUM(IF((MschnLinks=$O34)*(MschnRechts&lt;&gt;$O$35),ToreLinks,0))+SUM(IF((MschnLinks&lt;&gt;$O$35)*(MschnRechts=$O34),ToreRechts,0))</f>
        <v>3</v>
      </c>
      <c r="S34" s="51">
        <f t="array" aca="1" ref="S34" ca="1">SUM(IF((MschnLinks=$O34)*(MschnRechts&lt;&gt;$O$35),ToreRechts,0))+SUM(IF((MschnLinks&lt;&gt;$O$35)*(MschnRechts=$O34),ToreLinks,0))</f>
        <v>2</v>
      </c>
      <c r="T34">
        <f ca="1">P34*FaktorPkte+Q34*FaktorTDiff+R34*FaktorTErz</f>
        <v>3000103</v>
      </c>
      <c r="U34" s="51">
        <f ca="1">RANK(T34,T$32:T$34,1)</f>
        <v>2</v>
      </c>
      <c r="V34" s="51">
        <f ca="1">IF(AND(Pkte2=Pkte3,Pkte2=Pkte4,Pkte2&lt;&gt;Pkte1),U34,0)</f>
        <v>0</v>
      </c>
      <c r="W34" s="51">
        <f ca="1">IF(AND(T34=T32,T34&lt;&gt;T33,Z34&gt;Z32),1,0)+IF(AND(T34=T33,T34&lt;&gt;T32,AA34&gt;AA33),1,0)</f>
        <v>0</v>
      </c>
      <c r="X34" s="109">
        <f ca="1">IF(V34&gt;0,V34*FaktordirV3+W34*FaktordirV2,0)</f>
        <v>0</v>
      </c>
      <c r="Y34" s="156"/>
      <c r="Z34" s="157">
        <f ca="1">SUMIFS(ToreLinks,MschnLinks,$O34,MschnRechts,$O32)+SUMIFS(ToreRechts,MschnLinks,$O32,MschnRechts,$O34)</f>
        <v>1</v>
      </c>
      <c r="AA34" s="158">
        <f ca="1">SUMIFS(ToreLinks,MschnLinks,$O34,MschnRechts,$O33)+SUMIFS(ToreRechts,MschnLinks,$O33,MschnRechts,$O34)</f>
        <v>2</v>
      </c>
      <c r="AB34" s="110">
        <f ca="1">IF(AND(Pkte1=Pkte2,Pkte1=Pkte3,Pkte1=Pkte4,GanzKoeff2=GanzKoeff3,GanzKoeff2=GanzKoeff4,GanzKoeff2&lt;&gt;GanzKoeff1),U34,0)</f>
        <v>0</v>
      </c>
      <c r="AC34" s="109">
        <f ca="1">IF(AB34&gt;0,AB34*FaktordirV3+W34*FaktordirV2,0)</f>
        <v>0</v>
      </c>
    </row>
    <row r="35" spans="14:29">
      <c r="O35" s="108" t="str">
        <f ca="1">Mann1</f>
        <v>Turkije</v>
      </c>
      <c r="P35" s="51"/>
      <c r="Q35" s="51"/>
      <c r="R35" s="51"/>
      <c r="S35" s="51"/>
    </row>
  </sheetData>
  <mergeCells count="6">
    <mergeCell ref="Y16:AA16"/>
    <mergeCell ref="B3:D3"/>
    <mergeCell ref="E3:G3"/>
    <mergeCell ref="H3:I3"/>
    <mergeCell ref="J3:L3"/>
    <mergeCell ref="E16:J16"/>
  </mergeCells>
  <dataValidations disablePrompts="1" count="1">
    <dataValidation type="custom" showInputMessage="1" showErrorMessage="1" error="hbFehler" sqref="D13" xr:uid="{124A232A-2E7E-47F7-9081-A1319C45BB3C}">
      <formula1>D12=2</formula1>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011E2-22C9-4566-82DF-19CCE707C855}">
  <sheetPr codeName="Tabelle7"/>
  <dimension ref="A1:AH35"/>
  <sheetViews>
    <sheetView workbookViewId="0">
      <selection activeCell="A3" sqref="A3"/>
    </sheetView>
  </sheetViews>
  <sheetFormatPr defaultColWidth="10.88671875" defaultRowHeight="14.4"/>
  <cols>
    <col min="1" max="1" width="9.4414062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3.21875" customWidth="1"/>
    <col min="12" max="12" width="5" customWidth="1"/>
    <col min="13" max="13" width="7.77734375" customWidth="1"/>
    <col min="14" max="14" width="4.44140625" style="51" customWidth="1"/>
    <col min="15" max="15" width="14" customWidth="1"/>
    <col min="20" max="20" width="14.21875" customWidth="1"/>
    <col min="22" max="22" width="10.77734375" customWidth="1"/>
    <col min="25" max="25" width="12.21875" customWidth="1"/>
    <col min="27" max="27" width="12.77734375" customWidth="1"/>
    <col min="28" max="28" width="9" customWidth="1"/>
    <col min="31" max="31" width="3.21875" customWidth="1"/>
    <col min="32" max="32" width="4.5546875" customWidth="1"/>
    <col min="33" max="33" width="0.77734375" customWidth="1"/>
    <col min="34" max="34" width="3.5546875" customWidth="1"/>
  </cols>
  <sheetData>
    <row r="1" spans="1:34" ht="23.4">
      <c r="A1" s="136" t="s">
        <v>211</v>
      </c>
      <c r="B1" s="135" t="s">
        <v>61</v>
      </c>
      <c r="D1" s="135" t="s">
        <v>62</v>
      </c>
      <c r="O1" s="130" t="s">
        <v>1</v>
      </c>
    </row>
    <row r="2" spans="1:34" ht="8.25" customHeight="1"/>
    <row r="3" spans="1:34">
      <c r="B3" s="357" t="s">
        <v>89</v>
      </c>
      <c r="C3" s="357"/>
      <c r="D3" s="357"/>
      <c r="E3" s="357" t="s">
        <v>88</v>
      </c>
      <c r="F3" s="357"/>
      <c r="G3" s="357"/>
      <c r="H3" s="357" t="s">
        <v>73</v>
      </c>
      <c r="I3" s="357"/>
      <c r="J3" s="357" t="s">
        <v>85</v>
      </c>
      <c r="K3" s="357"/>
      <c r="L3" s="357"/>
      <c r="M3" s="232" t="s">
        <v>118</v>
      </c>
      <c r="N3" s="128"/>
      <c r="O3" s="127"/>
      <c r="P3" s="129" t="s">
        <v>73</v>
      </c>
      <c r="Q3" s="129" t="s">
        <v>84</v>
      </c>
      <c r="R3" s="129" t="s">
        <v>83</v>
      </c>
      <c r="S3" s="129" t="s">
        <v>82</v>
      </c>
      <c r="T3" s="129" t="s">
        <v>81</v>
      </c>
      <c r="U3" s="140" t="s">
        <v>287</v>
      </c>
      <c r="V3" s="140" t="s">
        <v>288</v>
      </c>
      <c r="W3" s="140" t="s">
        <v>87</v>
      </c>
      <c r="X3" s="140" t="s">
        <v>80</v>
      </c>
      <c r="Y3" s="140" t="s">
        <v>94</v>
      </c>
      <c r="Z3" s="140" t="s">
        <v>95</v>
      </c>
      <c r="AA3" s="140" t="s">
        <v>98</v>
      </c>
      <c r="AC3" s="140" t="s">
        <v>96</v>
      </c>
    </row>
    <row r="4" spans="1:34">
      <c r="B4" s="124" t="str">
        <f ca="1">INDIRECT("'"&amp;$A$1&amp;"'!"&amp;$B$1&amp;"12")</f>
        <v>Denemarken</v>
      </c>
      <c r="C4" s="51" t="s">
        <v>76</v>
      </c>
      <c r="D4" s="123" t="str">
        <f ca="1">INDIRECT("'"&amp;$A$1&amp;"'!"&amp;$D$1&amp;"12")</f>
        <v>Finland</v>
      </c>
      <c r="E4" s="122">
        <f ca="1">IF(OR(INDIRECT("'"&amp;$A$1&amp;"'!"&amp;$B$1&amp;"13")="",INDIRECT("'"&amp;$A$1&amp;"'!"&amp;$D$1&amp;"13")=""),"",INDIRECT("'"&amp;$A$1&amp;"'!"&amp;$B$1&amp;"13"))</f>
        <v>2</v>
      </c>
      <c r="F4" s="51" t="s">
        <v>75</v>
      </c>
      <c r="G4" s="111">
        <f ca="1">IF(OR(INDIRECT("'"&amp;$A$1&amp;"'!"&amp;$B$1&amp;"13")="",INDIRECT("'"&amp;$A$1&amp;"'!"&amp;$D$1&amp;"13")=""),"",INDIRECT("'"&amp;$A$1&amp;"'!"&amp;$D$1&amp;"13"))</f>
        <v>0</v>
      </c>
      <c r="H4" s="51">
        <f ca="1">IF($M4&gt;0,IF($E4&gt;$G4,3,IF($E4=$G4,1,0)),0)</f>
        <v>3</v>
      </c>
      <c r="I4" s="51">
        <f ca="1">IF($M4&gt;0,IF($E4&lt;$G4,3,IF($E4=$G4,1,0)),0)</f>
        <v>0</v>
      </c>
      <c r="K4" s="51"/>
      <c r="L4" s="111"/>
      <c r="M4" s="111">
        <f ca="1">IF(AND($E4&lt;&gt;"",$G4&lt;&gt;""),1,0)</f>
        <v>1</v>
      </c>
      <c r="N4" s="51" t="s">
        <v>66</v>
      </c>
      <c r="O4" t="str">
        <f ca="1">Mann1</f>
        <v>Denemarken</v>
      </c>
      <c r="P4" s="51">
        <f ca="1">SUMIF(MschnLinks,O4,PkteLinks)+SUMIF(MschnRechts,O4,PkteRechts)</f>
        <v>4</v>
      </c>
      <c r="Q4" s="51">
        <f ca="1">R4-S4</f>
        <v>1</v>
      </c>
      <c r="R4" s="51">
        <f ca="1">SUMIF(MschnLinks,$O4,ToreLinks)+SUMIF(MschnRechts,$O4,ToreRechts)</f>
        <v>3</v>
      </c>
      <c r="S4" s="51">
        <f ca="1">SUMIF(MschnLinks,$O4,ToreRechts)+SUMIF(MschnRechts,$O4,ToreLinks)</f>
        <v>2</v>
      </c>
      <c r="T4" s="131">
        <f ca="1">$P4*FaktorPkte+Y4+Z4+AA4+$Q4*FaktorTDiff+$R4*FaktorTErz+V4+U4+W4*FaktorFairPlay+X4*FaktorRngLi</f>
        <v>4000103.0991099998</v>
      </c>
      <c r="U4">
        <f ca="1">IF(AND($X$12&gt;0,OR(AND($B$8=O4,$J$8&gt;$L$8),AND($D$8=O4,$J$8&lt;$L$8))),FaktorElfm,0)</f>
        <v>0</v>
      </c>
      <c r="V4" s="148">
        <f ca="1">IF(AND($X$11&gt;0,OR(AND(LetzteBegLinks=O4,ElfmLinks&gt;ElfmRechts),AND(LetzteBegRechts=O4,ElfmLinks&lt;ElfmRechts))),FaktorElfm,0)</f>
        <v>0</v>
      </c>
      <c r="W4" s="148">
        <f ca="1">99-SUMIFS(FairPlayPkte1,FairPlayMn1,O4)-SUMIFS(FairPlayPkte2,FairPlayMn2,O4)</f>
        <v>99</v>
      </c>
      <c r="X4" s="148">
        <f ca="1">25-INDEX(RngLiRang,MATCH(GrpA!O4,RngLiLand,0))</f>
        <v>11</v>
      </c>
      <c r="Y4" s="126">
        <f ca="1">SUMIFS(DirVergleich3,DirVglMschn,O4)</f>
        <v>0</v>
      </c>
      <c r="Z4" s="126">
        <f ca="1">L17*FaktordirV2</f>
        <v>0</v>
      </c>
      <c r="AA4" s="126">
        <f ca="1">SUMIFS(DirVergleich4,DirVglMschn,O4)</f>
        <v>0</v>
      </c>
      <c r="AC4" s="150">
        <f ca="1">$P4*FaktorPkte+$Q4*FaktorTDiff+$R4*FaktorTErz</f>
        <v>4000103</v>
      </c>
    </row>
    <row r="5" spans="1:34">
      <c r="B5" s="124" t="str">
        <f ca="1">INDIRECT("'"&amp;$A$1&amp;"'!"&amp;$B$1&amp;"17")</f>
        <v>België</v>
      </c>
      <c r="C5" s="51" t="s">
        <v>76</v>
      </c>
      <c r="D5" s="123" t="str">
        <f ca="1">INDIRECT("'"&amp;$A$1&amp;"'!"&amp;$D$1&amp;"17")</f>
        <v>Rusland</v>
      </c>
      <c r="E5" s="122">
        <f ca="1">IF(OR(INDIRECT("'"&amp;$A$1&amp;"'!"&amp;$B$1&amp;"18")="",INDIRECT("'"&amp;$A$1&amp;"'!"&amp;$D$1&amp;"18")=""),"",INDIRECT("'"&amp;$A$1&amp;"'!"&amp;$B$1&amp;"18"))</f>
        <v>2</v>
      </c>
      <c r="F5" s="51" t="s">
        <v>75</v>
      </c>
      <c r="G5" s="111">
        <f ca="1">IF(OR(INDIRECT("'"&amp;$A$1&amp;"'!"&amp;$B$1&amp;"18")="",INDIRECT("'"&amp;$A$1&amp;"'!"&amp;$D$1&amp;"18")=""),"",INDIRECT("'"&amp;$A$1&amp;"'!"&amp;$D$1&amp;"18"))</f>
        <v>1</v>
      </c>
      <c r="H5" s="51">
        <f t="shared" ref="H5:H9" ca="1" si="0">IF($M5&gt;0,IF($E5&gt;$G5,3,IF($E5=$G5,1,0)),0)</f>
        <v>3</v>
      </c>
      <c r="I5" s="51">
        <f t="shared" ref="I5:I9" ca="1" si="1">IF($M5&gt;0,IF($E5&lt;$G5,3,IF($E5=$G5,1,0)),0)</f>
        <v>0</v>
      </c>
      <c r="K5" s="51"/>
      <c r="L5" s="111"/>
      <c r="M5" s="111">
        <f t="shared" ref="M5:M9" ca="1" si="2">IF(AND($E5&lt;&gt;"",$G5&lt;&gt;""),1,0)</f>
        <v>1</v>
      </c>
      <c r="N5" s="51" t="s">
        <v>67</v>
      </c>
      <c r="O5" t="str">
        <f ca="1">Mann2</f>
        <v>Finland</v>
      </c>
      <c r="P5" s="51">
        <f ca="1">SUMIF(MschnLinks,O5,PkteLinks)+SUMIF(MschnRechts,O5,PkteRechts)</f>
        <v>0</v>
      </c>
      <c r="Q5" s="51">
        <f ca="1">R5-S5</f>
        <v>-7</v>
      </c>
      <c r="R5" s="51">
        <f ca="1">SUMIF(MschnLinks,$O5,ToreLinks)+SUMIF(MschnRechts,$O5,ToreRechts)</f>
        <v>1</v>
      </c>
      <c r="S5" s="51">
        <f ca="1">SUMIF(MschnLinks,$O5,ToreRechts)+SUMIF(MschnRechts,$O5,ToreLinks)</f>
        <v>8</v>
      </c>
      <c r="T5" s="131">
        <f ca="1">$P5*FaktorPkte+Y5+Z5+AA5+$Q5*FaktorTDiff+$R5*FaktorTErz+V5+U5+W5*FaktorFairPlay+X5*FaktorRngLi</f>
        <v>-698.90076999999997</v>
      </c>
      <c r="U5">
        <f ca="1">IF(AND($X$12&gt;0,OR(AND($B$8=O5,$J$8&gt;$L$8),AND($D$8=O5,$J$8&lt;$L$8))),FaktorElfm,0)</f>
        <v>0</v>
      </c>
      <c r="V5" s="148">
        <f ca="1">IF(AND($X$11&gt;0,OR(AND(LetzteBegLinks=O5,ElfmLinks&gt;ElfmRechts),AND(LetzteBegRechts=O5,ElfmLinks&lt;ElfmRechts))),FaktorElfm,0)</f>
        <v>0</v>
      </c>
      <c r="W5" s="148">
        <f ca="1">99-SUMIFS(FairPlayPkte1,FairPlayMn1,O5)-SUMIFS(FairPlayPkte2,FairPlayMn2,O5)</f>
        <v>99</v>
      </c>
      <c r="X5" s="148">
        <f ca="1">25-INDEX(RngLiRang,MATCH(GrpA!O5,RngLiLand,0))</f>
        <v>23</v>
      </c>
      <c r="Y5" s="126">
        <f ca="1">SUMIFS(DirVergleich3,DirVglMschn,O5)</f>
        <v>0</v>
      </c>
      <c r="Z5" s="126">
        <f ca="1">L18*FaktordirV2</f>
        <v>0</v>
      </c>
      <c r="AA5" s="126">
        <f ca="1">SUMIFS(DirVergleich4,DirVglMschn,O5)</f>
        <v>0</v>
      </c>
      <c r="AC5" s="150">
        <f ca="1">$P5*FaktorPkte+$Q5*FaktorTDiff+$R5*FaktorTErz</f>
        <v>-699</v>
      </c>
    </row>
    <row r="6" spans="1:34">
      <c r="B6" s="122" t="str">
        <f ca="1">INDIRECT("'"&amp;$A$1&amp;"'!"&amp;$B$1&amp;"22")</f>
        <v>Finland</v>
      </c>
      <c r="C6" s="51" t="s">
        <v>76</v>
      </c>
      <c r="D6" t="str">
        <f ca="1">INDIRECT("'"&amp;$A$1&amp;"'!"&amp;$D$1&amp;"22")</f>
        <v>Rusland</v>
      </c>
      <c r="E6" s="122">
        <f ca="1">IF(OR(INDIRECT("'"&amp;$A$1&amp;"'!"&amp;$B$1&amp;"23")="",INDIRECT("'"&amp;$A$1&amp;"'!"&amp;$D$1&amp;"23")=""),"",INDIRECT("'"&amp;$A$1&amp;"'!"&amp;$B$1&amp;"23"))</f>
        <v>1</v>
      </c>
      <c r="F6" s="51" t="s">
        <v>75</v>
      </c>
      <c r="G6" s="111">
        <f ca="1">IF(OR(INDIRECT("'"&amp;$A$1&amp;"'!"&amp;$B$1&amp;"23")="",INDIRECT("'"&amp;$A$1&amp;"'!"&amp;$D$1&amp;"23")=""),"",INDIRECT("'"&amp;$A$1&amp;"'!"&amp;$D$1&amp;"23"))</f>
        <v>3</v>
      </c>
      <c r="H6" s="51">
        <f t="shared" ca="1" si="0"/>
        <v>0</v>
      </c>
      <c r="I6" s="51">
        <f t="shared" ca="1" si="1"/>
        <v>3</v>
      </c>
      <c r="K6" s="51"/>
      <c r="L6" s="111"/>
      <c r="M6" s="111">
        <f t="shared" ca="1" si="2"/>
        <v>1</v>
      </c>
      <c r="N6" s="51" t="s">
        <v>68</v>
      </c>
      <c r="O6" t="str">
        <f ca="1">Mann3</f>
        <v>België</v>
      </c>
      <c r="P6" s="51">
        <f ca="1">SUMIF(MschnLinks,O6,PkteLinks)+SUMIF(MschnRechts,O6,PkteRechts)</f>
        <v>9</v>
      </c>
      <c r="Q6" s="51">
        <f ca="1">R6-S6</f>
        <v>5</v>
      </c>
      <c r="R6" s="51">
        <f ca="1">SUMIF(MschnLinks,$O6,ToreLinks)+SUMIF(MschnRechts,$O6,ToreRechts)</f>
        <v>6</v>
      </c>
      <c r="S6" s="51">
        <f ca="1">SUMIF(MschnLinks,$O6,ToreRechts)+SUMIF(MschnRechts,$O6,ToreLinks)</f>
        <v>1</v>
      </c>
      <c r="T6" s="131">
        <f ca="1">$P6*FaktorPkte+Y6+Z6+AA6+$Q6*FaktorTDiff+$R6*FaktorTErz+V6+U6+W6*FaktorFairPlay+X6*FaktorRngLi</f>
        <v>9000506.099059999</v>
      </c>
      <c r="U6">
        <f ca="1">IF(AND($X$12&gt;0,OR(AND($B$8=O6,$J$8&gt;$L$8),AND($D$8=O6,$J$8&lt;$L$8))),FaktorElfm,0)</f>
        <v>0</v>
      </c>
      <c r="V6" s="148">
        <f ca="1">IF(AND($X$11&gt;0,OR(AND(LetzteBegLinks=O6,ElfmLinks&gt;ElfmRechts),AND(LetzteBegRechts=O6,ElfmLinks&lt;ElfmRechts))),FaktorElfm,0)</f>
        <v>0</v>
      </c>
      <c r="W6" s="148">
        <f ca="1">99-SUMIFS(FairPlayPkte1,FairPlayMn1,O6)-SUMIFS(FairPlayPkte2,FairPlayMn2,O6)</f>
        <v>99</v>
      </c>
      <c r="X6" s="148">
        <f ca="1">25-INDEX(RngLiRang,MATCH(GrpA!O6,RngLiLand,0))</f>
        <v>6</v>
      </c>
      <c r="Y6" s="126">
        <f ca="1">SUMIFS(DirVergleich3,DirVglMschn,O6)</f>
        <v>0</v>
      </c>
      <c r="Z6" s="126">
        <f ca="1">L19*FaktordirV2</f>
        <v>0</v>
      </c>
      <c r="AA6" s="126">
        <f ca="1">SUMIFS(DirVergleich4,DirVglMschn,O6)</f>
        <v>0</v>
      </c>
      <c r="AC6" s="150">
        <f ca="1">$P6*FaktorPkte+$Q6*FaktorTDiff+$R6*FaktorTErz</f>
        <v>9000506</v>
      </c>
    </row>
    <row r="7" spans="1:34">
      <c r="B7" s="122" t="str">
        <f ca="1">INDIRECT("'"&amp;$A$1&amp;"'!"&amp;$B$1&amp;"27")</f>
        <v>Denemarken</v>
      </c>
      <c r="C7" s="51" t="s">
        <v>76</v>
      </c>
      <c r="D7" t="str">
        <f ca="1">INDIRECT("'"&amp;$A$1&amp;"'!"&amp;$D$1&amp;"27")</f>
        <v>België</v>
      </c>
      <c r="E7" s="122">
        <f ca="1">IF(OR(INDIRECT("'"&amp;$A$1&amp;"'!"&amp;$B$1&amp;"28")="",INDIRECT("'"&amp;$A$1&amp;"'!"&amp;$D$1&amp;"28")=""),"",INDIRECT("'"&amp;$A$1&amp;"'!"&amp;$B$1&amp;"28"))</f>
        <v>0</v>
      </c>
      <c r="F7" s="51" t="s">
        <v>75</v>
      </c>
      <c r="G7" s="111">
        <f ca="1">IF(OR(INDIRECT("'"&amp;$A$1&amp;"'!"&amp;$B$1&amp;"28")="",INDIRECT("'"&amp;$A$1&amp;"'!"&amp;$D$1&amp;"28")=""),"",INDIRECT("'"&amp;$A$1&amp;"'!"&amp;$D$1&amp;"28"))</f>
        <v>1</v>
      </c>
      <c r="H7" s="51">
        <f t="shared" ca="1" si="0"/>
        <v>0</v>
      </c>
      <c r="I7" s="51">
        <f t="shared" ca="1" si="1"/>
        <v>3</v>
      </c>
      <c r="K7" s="51"/>
      <c r="L7" s="111"/>
      <c r="M7" s="111">
        <f t="shared" ca="1" si="2"/>
        <v>1</v>
      </c>
      <c r="N7" s="51" t="s">
        <v>69</v>
      </c>
      <c r="O7" t="str">
        <f ca="1">Mann4</f>
        <v>Rusland</v>
      </c>
      <c r="P7" s="51">
        <f ca="1">SUMIF(MschnLinks,O7,PkteLinks)+SUMIF(MschnRechts,O7,PkteRechts)</f>
        <v>4</v>
      </c>
      <c r="Q7" s="51">
        <f ca="1">R7-S7</f>
        <v>1</v>
      </c>
      <c r="R7" s="51">
        <f ca="1">SUMIF(MschnLinks,$O7,ToreLinks)+SUMIF(MschnRechts,$O7,ToreRechts)</f>
        <v>5</v>
      </c>
      <c r="S7" s="51">
        <f ca="1">SUMIF(MschnLinks,$O7,ToreRechts)+SUMIF(MschnRechts,$O7,ToreLinks)</f>
        <v>4</v>
      </c>
      <c r="T7" s="131">
        <f ca="1">$P7*FaktorPkte+Y7+Z7+AA7+$Q7*FaktorTDiff+$R7*FaktorTErz+V7+U7+W7*FaktorFairPlay+X7*FaktorRngLi</f>
        <v>4000105.0991599998</v>
      </c>
      <c r="U7">
        <f ca="1">IF(AND($X$12&gt;0,OR(AND($B$8=O7,$J$8&gt;$L$8),AND($D$8=O7,$J$8&lt;$L$8))),FaktorElfm,0)</f>
        <v>0</v>
      </c>
      <c r="V7" s="148">
        <f ca="1">IF(AND($X$11&gt;0,OR(AND(LetzteBegLinks=O7,ElfmLinks&gt;ElfmRechts),AND(LetzteBegRechts=O7,ElfmLinks&lt;ElfmRechts))),FaktorElfm,0)</f>
        <v>0</v>
      </c>
      <c r="W7" s="148">
        <f ca="1">99-SUMIFS(FairPlayPkte1,FairPlayMn1,O7)-SUMIFS(FairPlayPkte2,FairPlayMn2,O7)</f>
        <v>99</v>
      </c>
      <c r="X7" s="148">
        <f ca="1">25-INDEX(RngLiRang,MATCH(GrpA!O7,RngLiLand,0))</f>
        <v>16</v>
      </c>
      <c r="Y7" s="126">
        <f ca="1">SUMIFS(DirVergleich3,DirVglMschn,O7)</f>
        <v>0</v>
      </c>
      <c r="Z7" s="126">
        <f ca="1">L20*FaktordirV2</f>
        <v>0</v>
      </c>
      <c r="AA7" s="126">
        <f ca="1">SUMIFS(DirVergleich4,DirVglMschn,O7)</f>
        <v>0</v>
      </c>
      <c r="AC7" s="150">
        <f ca="1">$P7*FaktorPkte+$Q7*FaktorTDiff+$R7*FaktorTErz</f>
        <v>4000105</v>
      </c>
    </row>
    <row r="8" spans="1:34">
      <c r="B8" s="122" t="str">
        <f ca="1">INDIRECT("'"&amp;$A$1&amp;"'!"&amp;$B$1&amp;"32")</f>
        <v>Rusland</v>
      </c>
      <c r="C8" s="51" t="s">
        <v>76</v>
      </c>
      <c r="D8" t="str">
        <f ca="1">INDIRECT("'"&amp;$A$1&amp;"'!"&amp;$D$1&amp;"32")</f>
        <v>Denemarken</v>
      </c>
      <c r="E8" s="122">
        <f ca="1">IF(OR(INDIRECT("'"&amp;$A$1&amp;"'!"&amp;$B$1&amp;"33")="",INDIRECT("'"&amp;$A$1&amp;"'!"&amp;$D$1&amp;"33")=""),"",INDIRECT("'"&amp;$A$1&amp;"'!"&amp;$B$1&amp;"33"))</f>
        <v>1</v>
      </c>
      <c r="F8" s="51" t="s">
        <v>75</v>
      </c>
      <c r="G8" s="111">
        <f ca="1">IF(OR(INDIRECT("'"&amp;$A$1&amp;"'!"&amp;$B$1&amp;"33")="",INDIRECT("'"&amp;$A$1&amp;"'!"&amp;$D$1&amp;"33")=""),"",INDIRECT("'"&amp;$A$1&amp;"'!"&amp;$D$1&amp;"33"))</f>
        <v>1</v>
      </c>
      <c r="H8" s="51">
        <f t="shared" ca="1" si="0"/>
        <v>1</v>
      </c>
      <c r="I8" s="51">
        <f t="shared" ca="1" si="1"/>
        <v>1</v>
      </c>
      <c r="J8" s="122" t="str">
        <f ca="1">IF(OR(INDIRECT("'"&amp;$A$1&amp;"'!"&amp;$B$1&amp;"35")="",INDIRECT("'"&amp;$A$1&amp;"'!"&amp;$D$1&amp;"35")=""),"",INDIRECT("'"&amp;$A$1&amp;"'!"&amp;$B$1&amp;"35"))</f>
        <v/>
      </c>
      <c r="K8" s="51" t="s">
        <v>75</v>
      </c>
      <c r="L8" s="111" t="str">
        <f ca="1">IF(OR(INDIRECT("'"&amp;$A$1&amp;"'!"&amp;$B$1&amp;"35")="",INDIRECT("'"&amp;$A$1&amp;"'!"&amp;$D$1&amp;"35")=""),"",INDIRECT("'"&amp;$A$1&amp;"'!"&amp;$D$1&amp;"35"))</f>
        <v/>
      </c>
      <c r="M8" s="111">
        <f t="shared" ca="1" si="2"/>
        <v>1</v>
      </c>
    </row>
    <row r="9" spans="1:34">
      <c r="B9" s="122" t="str">
        <f ca="1">INDIRECT("'"&amp;$A$1&amp;"'!"&amp;$B$1&amp;"39")</f>
        <v>Finland</v>
      </c>
      <c r="C9" s="51" t="s">
        <v>76</v>
      </c>
      <c r="D9" t="str">
        <f ca="1">INDIRECT("'"&amp;$A$1&amp;"'!"&amp;$D$1&amp;"39")</f>
        <v>België</v>
      </c>
      <c r="E9" s="122">
        <f ca="1">IF(OR(INDIRECT("'"&amp;$A$1&amp;"'!"&amp;$B$1&amp;"40")="",INDIRECT("'"&amp;$A$1&amp;"'!"&amp;$D$1&amp;"40")=""),"",INDIRECT("'"&amp;$A$1&amp;"'!"&amp;$B$1&amp;"40"))</f>
        <v>0</v>
      </c>
      <c r="F9" s="51" t="s">
        <v>75</v>
      </c>
      <c r="G9" s="111">
        <f ca="1">IF(OR(INDIRECT("'"&amp;$A$1&amp;"'!"&amp;$B$1&amp;"40")="",INDIRECT("'"&amp;$A$1&amp;"'!"&amp;$D$1&amp;"40")=""),"",INDIRECT("'"&amp;$A$1&amp;"'!"&amp;$D$1&amp;"40"))</f>
        <v>3</v>
      </c>
      <c r="H9" s="51">
        <f t="shared" ca="1" si="0"/>
        <v>0</v>
      </c>
      <c r="I9" s="51">
        <f t="shared" ca="1" si="1"/>
        <v>3</v>
      </c>
      <c r="J9" s="122" t="str">
        <f ca="1">IF(OR(INDIRECT("'"&amp;$A$1&amp;"'!"&amp;$B$1&amp;"42")="",INDIRECT("'"&amp;$A$1&amp;"'!"&amp;$D$1&amp;"42")=""),"",INDIRECT("'"&amp;$A$1&amp;"'!"&amp;$B$1&amp;"42"))</f>
        <v/>
      </c>
      <c r="K9" s="51" t="s">
        <v>75</v>
      </c>
      <c r="L9" s="111" t="str">
        <f ca="1">IF(OR(INDIRECT("'"&amp;$A$1&amp;"'!"&amp;$B$1&amp;"42")="",INDIRECT("'"&amp;$A$1&amp;"'!"&amp;$D$1&amp;"42")=""),"",INDIRECT("'"&amp;$A$1&amp;"'!"&amp;$D$1&amp;"42"))</f>
        <v/>
      </c>
      <c r="M9" s="111">
        <f t="shared" ca="1" si="2"/>
        <v>1</v>
      </c>
    </row>
    <row r="10" spans="1:34" ht="15" thickBot="1">
      <c r="M10" s="186"/>
      <c r="V10" s="149" t="s">
        <v>122</v>
      </c>
      <c r="X10" s="149" t="s">
        <v>85</v>
      </c>
      <c r="Y10" s="51"/>
      <c r="Z10" s="149" t="s">
        <v>119</v>
      </c>
      <c r="AA10" s="51"/>
    </row>
    <row r="11" spans="1:34" ht="15" thickTop="1">
      <c r="N11" s="121" t="s">
        <v>66</v>
      </c>
      <c r="O11" s="120" t="str">
        <f t="shared" ref="O11:S14" ca="1" si="3">INDEX(O$4:O$7,MATCH($T11,$T$4:$T$7,0))</f>
        <v>België</v>
      </c>
      <c r="P11" s="119">
        <f t="shared" ca="1" si="3"/>
        <v>9</v>
      </c>
      <c r="Q11" s="119">
        <f t="shared" ca="1" si="3"/>
        <v>5</v>
      </c>
      <c r="R11" s="119">
        <f t="shared" ca="1" si="3"/>
        <v>6</v>
      </c>
      <c r="S11" s="119">
        <f t="shared" ca="1" si="3"/>
        <v>1</v>
      </c>
      <c r="T11" s="132">
        <f ca="1">LARGE($T$4:$T$7,ROW($T4)-3)</f>
        <v>9000506.099059999</v>
      </c>
      <c r="V11" s="179">
        <f ca="1">IF(AND(OR(TRUNC($T$11,1)=TRUNC($T$12,1),TRUNC($T$11,1)=TRUNC($T$13,1),TRUNC($T$11,1)=TRUNC($T$14,1),TRUNC($T$12,1)=TRUNC($T$13,1),TRUNC($T$12,1)=TRUNC($T$14,1),TRUNC($T$13,1)=TRUNC($T$14,1)),$Z$11&gt;0),1,0)</f>
        <v>0</v>
      </c>
      <c r="W11" s="226" t="s">
        <v>286</v>
      </c>
      <c r="X11" s="51">
        <f ca="1">IF(AND(VLOOKUP($B$9,$O$4:$AC$7,15,0)=VLOOKUP($D$9,$O$4:$AC$7,15,0),$E$9=$G$9,COUNTIF($P$4:$P$7,VLOOKUP($B$9,$O$4:$P$7,2,0))=2,$M$9&gt;0),1,0)</f>
        <v>0</v>
      </c>
      <c r="Y11" s="51"/>
      <c r="Z11" s="185">
        <f ca="1">SUM($M$4:$M$9)</f>
        <v>6</v>
      </c>
      <c r="AA11" s="51"/>
      <c r="AE11" s="163">
        <f ca="1">P11</f>
        <v>9</v>
      </c>
      <c r="AF11" s="162">
        <f ca="1">R11</f>
        <v>6</v>
      </c>
      <c r="AG11" s="160" t="s">
        <v>75</v>
      </c>
      <c r="AH11" s="161">
        <f ca="1">S11</f>
        <v>1</v>
      </c>
    </row>
    <row r="12" spans="1:34">
      <c r="D12" s="51"/>
      <c r="N12" s="118" t="s">
        <v>67</v>
      </c>
      <c r="O12" s="60" t="str">
        <f t="shared" ca="1" si="3"/>
        <v>Rusland</v>
      </c>
      <c r="P12" s="231">
        <f t="shared" ca="1" si="3"/>
        <v>4</v>
      </c>
      <c r="Q12" s="231">
        <f t="shared" ca="1" si="3"/>
        <v>1</v>
      </c>
      <c r="R12" s="231">
        <f t="shared" ca="1" si="3"/>
        <v>5</v>
      </c>
      <c r="S12" s="231">
        <f t="shared" ca="1" si="3"/>
        <v>4</v>
      </c>
      <c r="T12" s="133">
        <f ca="1">LARGE($T$4:$T$7,ROW($T5)-3)</f>
        <v>4000105.0991599998</v>
      </c>
      <c r="W12" s="226" t="s">
        <v>285</v>
      </c>
      <c r="X12" s="51">
        <f ca="1">IF(AND(VLOOKUP($B$8,$O$4:$AC$7,15,0)=VLOOKUP($D$8,$O$4:$AC$7,15,0),$E$8=$G$8,COUNTIF($P$4:$P$7,VLOOKUP($B$8,$O$4:$P$7,2,0))=2,$M$8&gt;0),1,0)</f>
        <v>0</v>
      </c>
      <c r="AE12" s="163">
        <f t="shared" ref="AE12:AE14" ca="1" si="4">P12</f>
        <v>4</v>
      </c>
      <c r="AF12" s="162">
        <f t="shared" ref="AF12:AF14" ca="1" si="5">R12</f>
        <v>5</v>
      </c>
      <c r="AG12" s="160" t="s">
        <v>75</v>
      </c>
      <c r="AH12" s="161">
        <f t="shared" ref="AH12:AH14" ca="1" si="6">S12</f>
        <v>4</v>
      </c>
    </row>
    <row r="13" spans="1:34">
      <c r="D13" s="183"/>
      <c r="N13" s="118" t="s">
        <v>68</v>
      </c>
      <c r="O13" s="60" t="str">
        <f t="shared" ca="1" si="3"/>
        <v>Denemarken</v>
      </c>
      <c r="P13" s="231">
        <f t="shared" ca="1" si="3"/>
        <v>4</v>
      </c>
      <c r="Q13" s="231">
        <f t="shared" ca="1" si="3"/>
        <v>1</v>
      </c>
      <c r="R13" s="231">
        <f t="shared" ca="1" si="3"/>
        <v>3</v>
      </c>
      <c r="S13" s="231">
        <f t="shared" ca="1" si="3"/>
        <v>2</v>
      </c>
      <c r="T13" s="133">
        <f ca="1">LARGE($T$4:$T$7,ROW($T6)-3)</f>
        <v>4000103.0991099998</v>
      </c>
      <c r="AE13" s="163">
        <f t="shared" ca="1" si="4"/>
        <v>4</v>
      </c>
      <c r="AF13" s="162">
        <f t="shared" ca="1" si="5"/>
        <v>3</v>
      </c>
      <c r="AG13" s="160" t="s">
        <v>75</v>
      </c>
      <c r="AH13" s="161">
        <f t="shared" ca="1" si="6"/>
        <v>2</v>
      </c>
    </row>
    <row r="14" spans="1:34" ht="15" thickBot="1">
      <c r="D14" s="50"/>
      <c r="F14" s="51"/>
      <c r="G14" s="111"/>
      <c r="N14" s="116" t="s">
        <v>69</v>
      </c>
      <c r="O14" s="115" t="str">
        <f t="shared" ca="1" si="3"/>
        <v>Finland</v>
      </c>
      <c r="P14" s="114">
        <f t="shared" ca="1" si="3"/>
        <v>0</v>
      </c>
      <c r="Q14" s="114">
        <f t="shared" ca="1" si="3"/>
        <v>-7</v>
      </c>
      <c r="R14" s="114">
        <f t="shared" ca="1" si="3"/>
        <v>1</v>
      </c>
      <c r="S14" s="114">
        <f t="shared" ca="1" si="3"/>
        <v>8</v>
      </c>
      <c r="T14" s="134">
        <f ca="1">LARGE($T$4:$T$7,ROW($T7)-3)</f>
        <v>-698.90076999999997</v>
      </c>
      <c r="AE14" s="163">
        <f t="shared" ca="1" si="4"/>
        <v>0</v>
      </c>
      <c r="AF14" s="162">
        <f t="shared" ca="1" si="5"/>
        <v>1</v>
      </c>
      <c r="AG14" s="160" t="s">
        <v>75</v>
      </c>
      <c r="AH14" s="161">
        <f t="shared" ca="1" si="6"/>
        <v>8</v>
      </c>
    </row>
    <row r="15" spans="1:34" ht="15" thickTop="1">
      <c r="D15" s="141" t="s">
        <v>93</v>
      </c>
      <c r="F15" s="51"/>
      <c r="G15" s="111"/>
    </row>
    <row r="16" spans="1:34" ht="15" thickBot="1">
      <c r="D16" s="142" t="s">
        <v>91</v>
      </c>
      <c r="E16" s="357" t="s">
        <v>92</v>
      </c>
      <c r="F16" s="357"/>
      <c r="G16" s="357"/>
      <c r="H16" s="357"/>
      <c r="I16" s="357"/>
      <c r="J16" s="357"/>
      <c r="K16" s="127"/>
      <c r="L16" s="149" t="s">
        <v>95</v>
      </c>
      <c r="X16" s="113" t="s">
        <v>94</v>
      </c>
      <c r="Y16" s="356" t="s">
        <v>97</v>
      </c>
      <c r="Z16" s="356"/>
      <c r="AA16" s="356"/>
      <c r="AC16" s="149" t="s">
        <v>98</v>
      </c>
    </row>
    <row r="17" spans="2:29">
      <c r="D17" t="str">
        <f ca="1">Mann1</f>
        <v>Denemarken</v>
      </c>
      <c r="E17" s="51">
        <f ca="1">Y17</f>
        <v>2</v>
      </c>
      <c r="F17" s="51">
        <f ca="1">Z17</f>
        <v>0</v>
      </c>
      <c r="G17" s="51">
        <f ca="1">Z22</f>
        <v>1</v>
      </c>
      <c r="H17" s="51"/>
      <c r="I17" s="51"/>
      <c r="J17" s="51"/>
      <c r="L17" s="112">
        <f ca="1">IF(AND(Pkte1=Pkte2,Pkte1&lt;&gt;Pkte3,Pkte1&lt;&gt;Pkte4,E17&gt;E18),1,0)+IF(AND(Pkte1=Pkte3,Pkte1&lt;&gt;Pkte2,Pkte1&lt;&gt;Pkte4,F17&gt;F19),1,0)+IF(AND(Pkte1=Pkte4,Pkte1&lt;&gt;Pkte2,Pkte1&lt;&gt;Pkte3,G17&gt;G20),1,0)</f>
        <v>0</v>
      </c>
      <c r="N17" s="51" t="s">
        <v>66</v>
      </c>
      <c r="O17" t="str">
        <f ca="1">Mann1</f>
        <v>Denemarken</v>
      </c>
      <c r="P17" s="51">
        <f t="array" aca="1" ref="P17" ca="1">SUM(IF((MschnLinks=$O17)*(MschnRechts&lt;&gt;$O$20),PkteLinks,0))+SUM(IF((MschnLinks&lt;&gt;$O$20)*(MschnRechts=$O17),PkteRechts,0))</f>
        <v>3</v>
      </c>
      <c r="Q17" s="51">
        <f ca="1">R17-S17</f>
        <v>1</v>
      </c>
      <c r="R17" s="51">
        <f t="array" aca="1" ref="R17" ca="1">SUM(IF((MschnLinks=$O17)*(MschnRechts&lt;&gt;$O$20),ToreLinks,0))+SUM(IF((MschnLinks&lt;&gt;$O$20)*(MschnRechts=$O17),ToreRechts,0))</f>
        <v>2</v>
      </c>
      <c r="S17" s="51">
        <f t="array" aca="1" ref="S17" ca="1">SUM(IF((MschnLinks=$O17)*(MschnRechts&lt;&gt;$O$20),ToreRechts,0))+SUM(IF((MschnLinks&lt;&gt;$O$20)*(MschnRechts=$O17),ToreLinks,0))</f>
        <v>1</v>
      </c>
      <c r="T17">
        <f ca="1">P17*FaktorPkte+Q17*FaktorTDiff+R17*FaktorTErz</f>
        <v>3000102</v>
      </c>
      <c r="U17" s="51">
        <f ca="1">RANK(T17,T$17:T$19,1)</f>
        <v>2</v>
      </c>
      <c r="V17" s="51">
        <f ca="1">IF(AND(Pkte1=Pkte2,Pkte1=Pkte3,Pkte1&lt;&gt;Pkte4),U17,0)</f>
        <v>0</v>
      </c>
      <c r="W17" s="51">
        <f ca="1">IF(AND(T17=T18,T17&lt;&gt;T19,Y17&gt;Y18),1,0)+IF(AND(T17=T19,T17&lt;&gt;T18,Z17&gt;Z19),1,0)</f>
        <v>0</v>
      </c>
      <c r="X17" s="112">
        <f ca="1">IF(V17&gt;0,V17*FaktordirV3+W17*FaktordirV2,0)</f>
        <v>0</v>
      </c>
      <c r="Y17" s="151">
        <f ca="1">SUMIFS(ToreLinks,MschnLinks,$O17,MschnRechts,$O18)+SUMIFS(ToreRechts,MschnLinks,$O18,MschnRechts,$O17)</f>
        <v>2</v>
      </c>
      <c r="Z17" s="152">
        <f ca="1">SUMIFS(ToreLinks,MschnLinks,$O17,MschnRechts,$O19)+SUMIFS(ToreRechts,MschnLinks,$O19,MschnRechts,$O17)</f>
        <v>0</v>
      </c>
      <c r="AA17" s="153"/>
      <c r="AB17" s="110">
        <f ca="1">IF(AND(Pkte1=Pkte2,Pkte1=Pkte3,Pkte1=Pkte4,GanzKoeff1=GanzKoeff2,GanzKoeff1=GanzKoeff3,GanzKoeff1&lt;&gt;GanzKoeff4),U17,0)</f>
        <v>0</v>
      </c>
      <c r="AC17" s="112">
        <f ca="1">IF(AB17&gt;0,AB17*FaktordirV3+W17*FaktordirV2,0)</f>
        <v>0</v>
      </c>
    </row>
    <row r="18" spans="2:29">
      <c r="D18" t="str">
        <f ca="1">Mann2</f>
        <v>Finland</v>
      </c>
      <c r="E18" s="51">
        <f ca="1">Y18</f>
        <v>0</v>
      </c>
      <c r="F18" s="51"/>
      <c r="G18" s="51"/>
      <c r="H18" s="51">
        <f ca="1">AA18</f>
        <v>0</v>
      </c>
      <c r="I18" s="51">
        <f ca="1">AA23</f>
        <v>1</v>
      </c>
      <c r="J18" s="51"/>
      <c r="L18" s="110">
        <f ca="1">IF(AND(Pkte2=Pkte1,Pkte2&lt;&gt;Pkte3,Pkte2&lt;&gt;Pkte4,E18&gt;E17),1,0)+IF(AND(Pkte2=Pkte3,Pkte2&lt;&gt;Pkte1,Pkte2&lt;&gt;Pkte4,H18&gt;H19),1,0)+IF(AND(Pkte2=Pkte4,Pkte2&lt;&gt;Pkte1,Pkte2&lt;&gt;Pkte3,I18&gt;I20),1,0)</f>
        <v>0</v>
      </c>
      <c r="N18" s="51" t="s">
        <v>67</v>
      </c>
      <c r="O18" t="str">
        <f ca="1">Mann2</f>
        <v>Finland</v>
      </c>
      <c r="P18" s="51">
        <f t="array" aca="1" ref="P18" ca="1">SUM(IF((MschnLinks=$O18)*(MschnRechts&lt;&gt;$O$20),PkteLinks,0))+SUM(IF((MschnLinks&lt;&gt;$O$20)*(MschnRechts=$O18),PkteRechts,0))</f>
        <v>0</v>
      </c>
      <c r="Q18" s="51">
        <f ca="1">R18-S18</f>
        <v>-5</v>
      </c>
      <c r="R18" s="51">
        <f t="array" aca="1" ref="R18" ca="1">SUM(IF((MschnLinks=$O18)*(MschnRechts&lt;&gt;$O$20),ToreLinks,0))+SUM(IF((MschnLinks&lt;&gt;$O$20)*(MschnRechts=$O18),ToreRechts,0))</f>
        <v>0</v>
      </c>
      <c r="S18" s="51">
        <f t="array" aca="1" ref="S18" ca="1">SUM(IF((MschnLinks=$O18)*(MschnRechts&lt;&gt;$O$20),ToreRechts,0))+SUM(IF((MschnLinks&lt;&gt;$O$20)*(MschnRechts=$O18),ToreLinks,0))</f>
        <v>5</v>
      </c>
      <c r="T18">
        <f ca="1">P18*FaktorPkte+Q18*FaktorTDiff+R18*FaktorTErz</f>
        <v>-500</v>
      </c>
      <c r="U18" s="51">
        <f ca="1">RANK(T18,T$17:T$19,1)</f>
        <v>1</v>
      </c>
      <c r="V18" s="51">
        <f ca="1">IF(AND(Pkte1=Pkte2,Pkte1=Pkte3,Pkte1&lt;&gt;Pkte4),U18,0)</f>
        <v>0</v>
      </c>
      <c r="W18" s="51">
        <f ca="1">IF(AND(T18=T17,T18&lt;&gt;T19,Y18&gt;Y17),1,0)+IF(AND(T18=T19,T18&lt;&gt;T17,AA18&gt;AA19),1,0)</f>
        <v>0</v>
      </c>
      <c r="X18" s="110">
        <f ca="1">IF(V18&gt;0,V18*FaktordirV3+W18*FaktordirV2,0)</f>
        <v>0</v>
      </c>
      <c r="Y18" s="154">
        <f ca="1">SUMIFS(ToreLinks,MschnLinks,$O18,MschnRechts,$O17)+SUMIFS(ToreRechts,MschnLinks,$O17,MschnRechts,$O18)</f>
        <v>0</v>
      </c>
      <c r="Z18" s="231"/>
      <c r="AA18" s="155">
        <f ca="1">SUMIFS(ToreLinks,MschnLinks,$O18,MschnRechts,$O19)+SUMIFS(ToreRechts,MschnLinks,$O19,MschnRechts,$O18)</f>
        <v>0</v>
      </c>
      <c r="AB18" s="110">
        <f ca="1">IF(AND(Pkte1=Pkte2,Pkte1=Pkte3,Pkte1=Pkte4,GanzKoeff1=GanzKoeff2,GanzKoeff1=GanzKoeff3,GanzKoeff1&lt;&gt;GanzKoeff4),U18,0)</f>
        <v>0</v>
      </c>
      <c r="AC18" s="110">
        <f ca="1">IF(AB18&gt;0,AB18*FaktordirV3+W18*FaktordirV2,0)</f>
        <v>0</v>
      </c>
    </row>
    <row r="19" spans="2:29">
      <c r="D19" t="str">
        <f ca="1">Mann3</f>
        <v>België</v>
      </c>
      <c r="E19" s="51"/>
      <c r="F19" s="51">
        <f ca="1">Z19</f>
        <v>1</v>
      </c>
      <c r="G19" s="51"/>
      <c r="H19" s="51">
        <f ca="1">AA19</f>
        <v>3</v>
      </c>
      <c r="I19" s="51"/>
      <c r="J19" s="51">
        <f ca="1">AA28</f>
        <v>2</v>
      </c>
      <c r="L19" s="110">
        <f ca="1">IF(AND(Pkte3=Pkte1,Pkte3&lt;&gt;Pkte2,Pkte3&lt;&gt;Pkte4,F19&gt;F17),1,0)+IF(AND(Pkte3=Pkte2,Pkte3&lt;&gt;Pkte1,Pkte3&lt;&gt;Pkte4,H19&gt;H18),1,0)+IF(AND(Pkte3=Pkte4,Pkte3&lt;&gt;Pkte1,Pkte3&lt;&gt;Pkte2,J19&gt;J20),1,0)</f>
        <v>0</v>
      </c>
      <c r="N19" s="51" t="s">
        <v>68</v>
      </c>
      <c r="O19" t="str">
        <f ca="1">Mann3</f>
        <v>België</v>
      </c>
      <c r="P19" s="51">
        <f t="array" aca="1" ref="P19" ca="1">SUM(IF((MschnLinks=$O19)*(MschnRechts&lt;&gt;$O$20),PkteLinks,0))+SUM(IF((MschnLinks&lt;&gt;$O$20)*(MschnRechts=$O19),PkteRechts,0))</f>
        <v>6</v>
      </c>
      <c r="Q19" s="51">
        <f ca="1">R19-S19</f>
        <v>4</v>
      </c>
      <c r="R19" s="51">
        <f t="array" aca="1" ref="R19" ca="1">SUM(IF((MschnLinks=$O19)*(MschnRechts&lt;&gt;$O$20),ToreLinks,0))+SUM(IF((MschnLinks&lt;&gt;$O$20)*(MschnRechts=$O19),ToreRechts,0))</f>
        <v>4</v>
      </c>
      <c r="S19" s="51">
        <f t="array" aca="1" ref="S19" ca="1">SUM(IF((MschnLinks=$O19)*(MschnRechts&lt;&gt;$O$20),ToreRechts,0))+SUM(IF((MschnLinks&lt;&gt;$O$20)*(MschnRechts=$O19),ToreLinks,0))</f>
        <v>0</v>
      </c>
      <c r="T19">
        <f ca="1">P19*FaktorPkte+Q19*FaktorTDiff+R19*FaktorTErz</f>
        <v>6000404</v>
      </c>
      <c r="U19" s="51">
        <f ca="1">RANK(T19,T$17:T$19,1)</f>
        <v>3</v>
      </c>
      <c r="V19" s="51">
        <f ca="1">IF(AND(Pkte1=Pkte2,Pkte1=Pkte3,Pkte1&lt;&gt;Pkte4),U19,0)</f>
        <v>0</v>
      </c>
      <c r="W19" s="51">
        <f ca="1">IF(AND(T19=T17,T19&lt;&gt;T18,Z19&gt;Z17),1,0)+IF(AND(T19=T18,T19&lt;&gt;T17,AA19&gt;AA18),1,0)</f>
        <v>0</v>
      </c>
      <c r="X19" s="110">
        <f ca="1">IF(V19&gt;0,V19*FaktordirV3+W19*FaktordirV2,0)</f>
        <v>0</v>
      </c>
      <c r="Y19" s="154"/>
      <c r="Z19" s="231">
        <f ca="1">SUMIFS(ToreLinks,MschnLinks,$O19,MschnRechts,$O17)+SUMIFS(ToreRechts,MschnLinks,$O17,MschnRechts,$O19)</f>
        <v>1</v>
      </c>
      <c r="AA19" s="155">
        <f ca="1">SUMIFS(ToreLinks,MschnLinks,$O19,MschnRechts,$O18)+SUMIFS(ToreRechts,MschnLinks,$O18,MschnRechts,$O19)</f>
        <v>3</v>
      </c>
      <c r="AB19" s="110">
        <f ca="1">IF(AND(Pkte1=Pkte2,Pkte1=Pkte3,Pkte1=Pkte4,GanzKoeff1=GanzKoeff2,GanzKoeff1=GanzKoeff3,GanzKoeff1&lt;&gt;GanzKoeff4),U19,0)</f>
        <v>0</v>
      </c>
      <c r="AC19" s="110">
        <f ca="1">IF(AB19&gt;0,AB19*FaktordirV3+W19*FaktordirV2,0)</f>
        <v>0</v>
      </c>
    </row>
    <row r="20" spans="2:29" ht="15" thickBot="1">
      <c r="D20" t="str">
        <f ca="1">Mann4</f>
        <v>Rusland</v>
      </c>
      <c r="E20" s="51"/>
      <c r="F20" s="51"/>
      <c r="G20" s="51">
        <f ca="1">Z24</f>
        <v>1</v>
      </c>
      <c r="H20" s="51"/>
      <c r="I20" s="51">
        <f ca="1">AA24</f>
        <v>3</v>
      </c>
      <c r="J20" s="51">
        <f ca="1">AA29</f>
        <v>1</v>
      </c>
      <c r="L20" s="109">
        <f ca="1">IF(AND(Pkte4=Pkte1,Pkte4&lt;&gt;Pkte2,Pkte4&lt;&gt;Pkte3,G20&gt;G17),1,0)+IF(AND(Pkte4=Pkte2,Pkte4&lt;&gt;Pkte1,Pkte4&lt;&gt;Pkte3,I20&gt;I18),1,0)+IF(AND(Pkte4=Pkte3,Pkte4&lt;&gt;Pkte1,Pkte4&lt;&gt;Pkte2,J20&gt;J19),1,0)</f>
        <v>0</v>
      </c>
      <c r="O20" s="108" t="str">
        <f ca="1">Mann4</f>
        <v>Rusland</v>
      </c>
      <c r="P20" s="51"/>
      <c r="Q20" s="51"/>
      <c r="R20" s="51"/>
      <c r="S20" s="51"/>
      <c r="V20" s="51"/>
      <c r="W20" s="51"/>
      <c r="X20" s="110"/>
      <c r="Y20" s="154"/>
      <c r="Z20" s="231"/>
      <c r="AA20" s="155"/>
      <c r="AB20" s="159"/>
      <c r="AC20" s="159"/>
    </row>
    <row r="21" spans="2:29">
      <c r="B21" s="137"/>
      <c r="C21" s="138"/>
      <c r="D21" s="139"/>
      <c r="F21" s="51"/>
      <c r="G21" s="111"/>
      <c r="V21" s="51"/>
      <c r="W21" s="51"/>
      <c r="X21" s="110"/>
      <c r="Y21" s="154"/>
      <c r="Z21" s="231"/>
      <c r="AA21" s="155"/>
      <c r="AB21" s="159"/>
      <c r="AC21" s="159"/>
    </row>
    <row r="22" spans="2:29">
      <c r="B22" s="137"/>
      <c r="C22" s="138"/>
      <c r="D22" s="139"/>
      <c r="F22" s="51"/>
      <c r="G22" s="111"/>
      <c r="N22" s="51" t="s">
        <v>66</v>
      </c>
      <c r="O22" t="str">
        <f ca="1">Mann1</f>
        <v>Denemarken</v>
      </c>
      <c r="P22" s="51">
        <f t="array" aca="1" ref="P22" ca="1">SUM(IF((MschnLinks=$O22)*(MschnRechts&lt;&gt;$O$25),PkteLinks,0))+SUM(IF((MschnLinks&lt;&gt;$O$25)*(MschnRechts=$O22),PkteRechts,0))</f>
        <v>4</v>
      </c>
      <c r="Q22" s="51">
        <f ca="1">R22-S22</f>
        <v>2</v>
      </c>
      <c r="R22" s="51">
        <f t="array" aca="1" ref="R22" ca="1">SUM(IF((MschnLinks=$O22)*(MschnRechts&lt;&gt;$O$25),ToreLinks,0))+SUM(IF((MschnLinks&lt;&gt;$O$25)*(MschnRechts=$O22),ToreRechts,0))</f>
        <v>3</v>
      </c>
      <c r="S22" s="51">
        <f t="array" aca="1" ref="S22" ca="1">SUM(IF((MschnLinks=$O22)*(MschnRechts&lt;&gt;$O$25),ToreRechts,0))+SUM(IF((MschnLinks&lt;&gt;$O$25)*(MschnRechts=$O22),ToreLinks,0))</f>
        <v>1</v>
      </c>
      <c r="T22">
        <f ca="1">P22*FaktorPkte+Q22*FaktorTDiff+R22*FaktorTErz</f>
        <v>4000203</v>
      </c>
      <c r="U22" s="51">
        <f ca="1">RANK(T22,T$22:T$24,1)</f>
        <v>2</v>
      </c>
      <c r="V22" s="51">
        <f ca="1">IF(AND(Pkte1=Pkte2,Pkte1=Pkte4,Pkte1&lt;&gt;Pkte3),U22,0)</f>
        <v>0</v>
      </c>
      <c r="W22" s="51">
        <f ca="1">IF(AND(T22=T23,T22&lt;&gt;T24,Y22&gt;Y23),1,0)+IF(AND(T22=T24,T22&lt;&gt;T23,Z22&gt;Z24),1,0)</f>
        <v>0</v>
      </c>
      <c r="X22" s="110">
        <f ca="1">IF(V22&gt;0,V22*FaktordirV3+W22*FaktordirV2,0)</f>
        <v>0</v>
      </c>
      <c r="Y22" s="154">
        <f ca="1">SUMIFS(ToreLinks,MschnLinks,$O22,MschnRechts,$O23)+SUMIFS(ToreRechts,MschnLinks,$O23,MschnRechts,$O22)</f>
        <v>2</v>
      </c>
      <c r="Z22" s="231">
        <f ca="1">SUMIFS(ToreLinks,MschnLinks,$O22,MschnRechts,$O24)+SUMIFS(ToreRechts,MschnLinks,$O24,MschnRechts,$O22)</f>
        <v>1</v>
      </c>
      <c r="AA22" s="155"/>
      <c r="AB22" s="110">
        <f ca="1">IF(AND(Pkte1=Pkte2,Pkte1=Pkte3,Pkte1=Pkte4,GanzKoeff1=GanzKoeff2,GanzKoeff1=GanzKoeff4,GanzKoeff1&lt;&gt;GanzKoeff3),U22,0)</f>
        <v>0</v>
      </c>
      <c r="AC22" s="110">
        <f ca="1">IF(AB22&gt;0,AB22*FaktordirV3+W22*FaktordirV2,0)</f>
        <v>0</v>
      </c>
    </row>
    <row r="23" spans="2:29">
      <c r="B23" s="122"/>
      <c r="C23" s="51"/>
      <c r="F23" s="51"/>
      <c r="G23" s="111"/>
      <c r="N23" s="51" t="s">
        <v>67</v>
      </c>
      <c r="O23" t="str">
        <f ca="1">Mann2</f>
        <v>Finland</v>
      </c>
      <c r="P23" s="51">
        <f t="array" aca="1" ref="P23" ca="1">SUM(IF((MschnLinks=$O23)*(MschnRechts&lt;&gt;$O$25),PkteLinks,0))+SUM(IF((MschnLinks&lt;&gt;$O$25)*(MschnRechts=$O23),PkteRechts,0))</f>
        <v>0</v>
      </c>
      <c r="Q23" s="51">
        <f ca="1">R23-S23</f>
        <v>-4</v>
      </c>
      <c r="R23" s="51">
        <f t="array" aca="1" ref="R23" ca="1">SUM(IF((MschnLinks=$O23)*(MschnRechts&lt;&gt;$O$25),ToreLinks,0))+SUM(IF((MschnLinks&lt;&gt;$O$25)*(MschnRechts=$O23),ToreRechts,0))</f>
        <v>1</v>
      </c>
      <c r="S23" s="51">
        <f t="array" aca="1" ref="S23" ca="1">SUM(IF((MschnLinks=$O23)*(MschnRechts&lt;&gt;$O$25),ToreRechts,0))+SUM(IF((MschnLinks&lt;&gt;$O$25)*(MschnRechts=$O23),ToreLinks,0))</f>
        <v>5</v>
      </c>
      <c r="T23">
        <f ca="1">P23*FaktorPkte+Q23*FaktorTDiff+R23*FaktorTErz</f>
        <v>-399</v>
      </c>
      <c r="U23" s="51">
        <f ca="1">RANK(T23,T$22:T$24,1)</f>
        <v>1</v>
      </c>
      <c r="V23" s="51">
        <f ca="1">IF(AND(Pkte1=Pkte2,Pkte1=Pkte4,Pkte1&lt;&gt;Pkte3),U23,0)</f>
        <v>0</v>
      </c>
      <c r="W23" s="51">
        <f ca="1">IF(AND(T23=T22,T23&lt;&gt;T24,Y23&gt;Y22),1,0)+IF(AND(T23=T24,T23&lt;&gt;T22,AA23&gt;AA24),1,0)</f>
        <v>0</v>
      </c>
      <c r="X23" s="110">
        <f ca="1">IF(V23&gt;0,V23*FaktordirV3+W23*FaktordirV2,0)</f>
        <v>0</v>
      </c>
      <c r="Y23" s="154">
        <f ca="1">SUMIFS(ToreLinks,MschnLinks,$O23,MschnRechts,$O22)+SUMIFS(ToreRechts,MschnLinks,$O22,MschnRechts,$O23)</f>
        <v>0</v>
      </c>
      <c r="Z23" s="231"/>
      <c r="AA23" s="155">
        <f ca="1">SUMIFS(ToreLinks,MschnLinks,$O23,MschnRechts,$O24)+SUMIFS(ToreRechts,MschnLinks,$O24,MschnRechts,$O23)</f>
        <v>1</v>
      </c>
      <c r="AB23" s="110">
        <f ca="1">IF(AND(Pkte1=Pkte2,Pkte1=Pkte3,Pkte1=Pkte4,GanzKoeff1=GanzKoeff2,GanzKoeff1=GanzKoeff4,GanzKoeff1&lt;&gt;GanzKoeff3),U23,0)</f>
        <v>0</v>
      </c>
      <c r="AC23" s="110">
        <f ca="1">IF(AB23&gt;0,AB23*FaktordirV3+W23*FaktordirV2,0)</f>
        <v>0</v>
      </c>
    </row>
    <row r="24" spans="2:29">
      <c r="B24" s="122"/>
      <c r="C24" s="51"/>
      <c r="F24" s="51"/>
      <c r="G24" s="111"/>
      <c r="N24" s="51" t="s">
        <v>68</v>
      </c>
      <c r="O24" t="str">
        <f ca="1">Mann4</f>
        <v>Rusland</v>
      </c>
      <c r="P24" s="51">
        <f t="array" aca="1" ref="P24" ca="1">SUM(IF((MschnLinks=$O24)*(MschnRechts&lt;&gt;$O$25),PkteLinks,0))+SUM(IF((MschnLinks&lt;&gt;$O$25)*(MschnRechts=$O24),PkteRechts,0))</f>
        <v>4</v>
      </c>
      <c r="Q24" s="51">
        <f ca="1">R24-S24</f>
        <v>2</v>
      </c>
      <c r="R24" s="51">
        <f t="array" aca="1" ref="R24" ca="1">SUM(IF((MschnLinks=$O24)*(MschnRechts&lt;&gt;$O$25),ToreLinks,0))+SUM(IF((MschnLinks&lt;&gt;$O$25)*(MschnRechts=$O24),ToreRechts,0))</f>
        <v>4</v>
      </c>
      <c r="S24" s="51">
        <f t="array" aca="1" ref="S24" ca="1">SUM(IF((MschnLinks=$O24)*(MschnRechts&lt;&gt;$O$25),ToreRechts,0))+SUM(IF((MschnLinks&lt;&gt;$O$25)*(MschnRechts=$O24),ToreLinks,0))</f>
        <v>2</v>
      </c>
      <c r="T24">
        <f ca="1">P24*FaktorPkte+Q24*FaktorTDiff+R24*FaktorTErz</f>
        <v>4000204</v>
      </c>
      <c r="U24" s="51">
        <f ca="1">RANK(T24,T$22:T$24,1)</f>
        <v>3</v>
      </c>
      <c r="V24" s="51">
        <f ca="1">IF(AND(Pkte1=Pkte2,Pkte1=Pkte4,Pkte1&lt;&gt;Pkte3),U24,0)</f>
        <v>0</v>
      </c>
      <c r="W24" s="51">
        <f ca="1">IF(AND(T24=T22,T24&lt;&gt;T23,Z24&gt;Z22),1,0)+IF(AND(T24=T23,T24&lt;&gt;T22,AA24&gt;AA23),1,0)</f>
        <v>0</v>
      </c>
      <c r="X24" s="110">
        <f ca="1">IF(V24&gt;0,V24*FaktordirV3+W24*FaktordirV2,0)</f>
        <v>0</v>
      </c>
      <c r="Y24" s="154"/>
      <c r="Z24" s="231">
        <f ca="1">SUMIFS(ToreLinks,MschnLinks,$O24,MschnRechts,$O22)+SUMIFS(ToreRechts,MschnLinks,$O22,MschnRechts,$O24)</f>
        <v>1</v>
      </c>
      <c r="AA24" s="155">
        <f ca="1">SUMIFS(ToreLinks,MschnLinks,$O24,MschnRechts,$O23)+SUMIFS(ToreRechts,MschnLinks,$O23,MschnRechts,$O24)</f>
        <v>3</v>
      </c>
      <c r="AB24" s="110">
        <f ca="1">IF(AND(Pkte1=Pkte2,Pkte1=Pkte3,Pkte1=Pkte4,GanzKoeff1=GanzKoeff2,GanzKoeff1=GanzKoeff4,GanzKoeff1&lt;&gt;GanzKoeff3),U24,0)</f>
        <v>0</v>
      </c>
      <c r="AC24" s="110">
        <f ca="1">IF(AB24&gt;0,AB24*FaktordirV3+W24*FaktordirV2,0)</f>
        <v>0</v>
      </c>
    </row>
    <row r="25" spans="2:29">
      <c r="B25" s="122"/>
      <c r="C25" s="51"/>
      <c r="F25" s="51"/>
      <c r="G25" s="111"/>
      <c r="O25" s="108" t="str">
        <f ca="1">Mann3</f>
        <v>België</v>
      </c>
      <c r="P25" s="51"/>
      <c r="Q25" s="51"/>
      <c r="R25" s="51"/>
      <c r="S25" s="51"/>
      <c r="V25" s="51"/>
      <c r="W25" s="51"/>
      <c r="X25" s="110"/>
      <c r="Y25" s="154"/>
      <c r="Z25" s="231"/>
      <c r="AA25" s="155"/>
      <c r="AB25" s="159"/>
      <c r="AC25" s="159"/>
    </row>
    <row r="26" spans="2:29">
      <c r="B26" s="122"/>
      <c r="C26" s="51"/>
      <c r="F26" s="51"/>
      <c r="G26" s="111"/>
      <c r="V26" s="51"/>
      <c r="W26" s="51"/>
      <c r="X26" s="110"/>
      <c r="Y26" s="154"/>
      <c r="Z26" s="231"/>
      <c r="AA26" s="155"/>
      <c r="AB26" s="159"/>
      <c r="AC26" s="159"/>
    </row>
    <row r="27" spans="2:29">
      <c r="N27" s="51" t="s">
        <v>66</v>
      </c>
      <c r="O27" t="str">
        <f ca="1">Mann1</f>
        <v>Denemarken</v>
      </c>
      <c r="P27" s="51">
        <f t="array" aca="1" ref="P27" ca="1">SUM(IF((MschnLinks=$O27)*(MschnRechts&lt;&gt;$O$30),PkteLinks,0))+SUM(IF((MschnLinks&lt;&gt;$O$30)*(MschnRechts=$O27),PkteRechts,0))</f>
        <v>1</v>
      </c>
      <c r="Q27" s="51">
        <f ca="1">R27-S27</f>
        <v>-1</v>
      </c>
      <c r="R27" s="51">
        <f t="array" aca="1" ref="R27" ca="1">SUM(IF((MschnLinks=$O27)*(MschnRechts&lt;&gt;$O$30),ToreLinks,0))+SUM(IF((MschnLinks&lt;&gt;$O$30)*(MschnRechts=$O27),ToreRechts,0))</f>
        <v>1</v>
      </c>
      <c r="S27" s="51">
        <f t="array" aca="1" ref="S27" ca="1">SUM(IF((MschnLinks=$O27)*(MschnRechts&lt;&gt;$O$30),ToreRechts,0))+SUM(IF((MschnLinks&lt;&gt;$O$30)*(MschnRechts=$O27),ToreLinks,0))</f>
        <v>2</v>
      </c>
      <c r="T27">
        <f ca="1">P27*FaktorPkte+Q27*FaktorTDiff+R27*FaktorTErz</f>
        <v>999901</v>
      </c>
      <c r="U27" s="51">
        <f ca="1">RANK(T27,T$27:T$29,1)</f>
        <v>1</v>
      </c>
      <c r="V27" s="51">
        <f ca="1">IF(AND(Pkte1=Pkte3,Pkte1=Pkte4,Pkte1&lt;&gt;Pkte2),U27,0)</f>
        <v>0</v>
      </c>
      <c r="W27" s="51">
        <f ca="1">IF(AND(T27=T28,T27&lt;&gt;T29,Y27&gt;Y28),1,0)+IF(AND(T27=T29,T27&lt;&gt;T28,Z27&gt;Z29),1,0)</f>
        <v>0</v>
      </c>
      <c r="X27" s="110">
        <f ca="1">IF(V27&gt;0,V27*FaktordirV3+W27*FaktordirV2,0)</f>
        <v>0</v>
      </c>
      <c r="Y27" s="154">
        <f ca="1">SUMIFS(ToreLinks,MschnLinks,$O27,MschnRechts,$O28)+SUMIFS(ToreRechts,MschnLinks,$O28,MschnRechts,$O27)</f>
        <v>0</v>
      </c>
      <c r="Z27" s="231">
        <f ca="1">SUMIFS(ToreLinks,MschnLinks,$O27,MschnRechts,$O29)+SUMIFS(ToreRechts,MschnLinks,$O29,MschnRechts,$O27)</f>
        <v>1</v>
      </c>
      <c r="AA27" s="155"/>
      <c r="AB27" s="110">
        <f ca="1">IF(AND(Pkte1=Pkte2,Pkte1=Pkte3,Pkte1=Pkte4,GanzKoeff1=GanzKoeff3,GanzKoeff1=GanzKoeff4,GanzKoeff1&lt;&gt;GanzKoeff2),U27,0)</f>
        <v>0</v>
      </c>
      <c r="AC27" s="110">
        <f ca="1">IF(AB27&gt;0,AB27*FaktordirV3+W27*FaktordirV2,0)</f>
        <v>0</v>
      </c>
    </row>
    <row r="28" spans="2:29">
      <c r="N28" s="51" t="s">
        <v>67</v>
      </c>
      <c r="O28" t="str">
        <f ca="1">Mann3</f>
        <v>België</v>
      </c>
      <c r="P28" s="51">
        <f t="array" aca="1" ref="P28" ca="1">SUM(IF((MschnLinks=$O28)*(MschnRechts&lt;&gt;$O$30),PkteLinks,0))+SUM(IF((MschnLinks&lt;&gt;$O$30)*(MschnRechts=$O28),PkteRechts,0))</f>
        <v>6</v>
      </c>
      <c r="Q28" s="51">
        <f ca="1">R28-S28</f>
        <v>2</v>
      </c>
      <c r="R28" s="51">
        <f t="array" aca="1" ref="R28" ca="1">SUM(IF((MschnLinks=$O28)*(MschnRechts&lt;&gt;$O$30),ToreLinks,0))+SUM(IF((MschnLinks&lt;&gt;$O$30)*(MschnRechts=$O28),ToreRechts,0))</f>
        <v>3</v>
      </c>
      <c r="S28" s="51">
        <f t="array" aca="1" ref="S28" ca="1">SUM(IF((MschnLinks=$O28)*(MschnRechts&lt;&gt;$O$30),ToreRechts,0))+SUM(IF((MschnLinks&lt;&gt;$O$30)*(MschnRechts=$O28),ToreLinks,0))</f>
        <v>1</v>
      </c>
      <c r="T28">
        <f ca="1">P28*FaktorPkte+Q28*FaktorTDiff+R28*FaktorTErz</f>
        <v>6000203</v>
      </c>
      <c r="U28" s="51">
        <f ca="1">RANK(T28,T$27:T$29,1)</f>
        <v>3</v>
      </c>
      <c r="V28" s="51">
        <f ca="1">IF(AND(Pkte1=Pkte3,Pkte1=Pkte4,Pkte1&lt;&gt;Pkte2),U28,0)</f>
        <v>0</v>
      </c>
      <c r="W28" s="51">
        <f ca="1">IF(AND(T28=T27,T28&lt;&gt;T29,Y28&gt;Y27),1,0)+IF(AND(T28=T29,T28&lt;&gt;T27,AA28&gt;AA29),1,0)</f>
        <v>0</v>
      </c>
      <c r="X28" s="110">
        <f ca="1">IF(V28&gt;0,V28*FaktordirV3+W28*FaktordirV2,0)</f>
        <v>0</v>
      </c>
      <c r="Y28" s="154">
        <f ca="1">SUMIFS(ToreLinks,MschnLinks,$O28,MschnRechts,$O27)+SUMIFS(ToreRechts,MschnLinks,$O27,MschnRechts,$O28)</f>
        <v>1</v>
      </c>
      <c r="Z28" s="231"/>
      <c r="AA28" s="155">
        <f ca="1">SUMIFS(ToreLinks,MschnLinks,$O28,MschnRechts,$O29)+SUMIFS(ToreRechts,MschnLinks,$O29,MschnRechts,$O28)</f>
        <v>2</v>
      </c>
      <c r="AB28" s="110">
        <f ca="1">IF(AND(Pkte1=Pkte2,Pkte1=Pkte3,Pkte1=Pkte4,GanzKoeff1=GanzKoeff3,GanzKoeff1=GanzKoeff4,GanzKoeff1&lt;&gt;GanzKoeff2),U28,0)</f>
        <v>0</v>
      </c>
      <c r="AC28" s="110">
        <f ca="1">IF(AB28&gt;0,AB28*FaktordirV3+W28*FaktordirV2,0)</f>
        <v>0</v>
      </c>
    </row>
    <row r="29" spans="2:29">
      <c r="N29" s="51" t="s">
        <v>68</v>
      </c>
      <c r="O29" t="str">
        <f ca="1">Mann4</f>
        <v>Rusland</v>
      </c>
      <c r="P29" s="51">
        <f t="array" aca="1" ref="P29" ca="1">SUM(IF((MschnLinks=$O29)*(MschnRechts&lt;&gt;$O$30),PkteLinks,0))+SUM(IF((MschnLinks&lt;&gt;$O$30)*(MschnRechts=$O29),PkteRechts,0))</f>
        <v>1</v>
      </c>
      <c r="Q29" s="51">
        <f ca="1">R29-S29</f>
        <v>-1</v>
      </c>
      <c r="R29" s="51">
        <f t="array" aca="1" ref="R29" ca="1">SUM(IF((MschnLinks=$O29)*(MschnRechts&lt;&gt;$O$30),ToreLinks,0))+SUM(IF((MschnLinks&lt;&gt;$O$30)*(MschnRechts=$O29),ToreRechts,0))</f>
        <v>2</v>
      </c>
      <c r="S29" s="51">
        <f t="array" aca="1" ref="S29" ca="1">SUM(IF((MschnLinks=$O29)*(MschnRechts&lt;&gt;$O$30),ToreRechts,0))+SUM(IF((MschnLinks&lt;&gt;$O$30)*(MschnRechts=$O29),ToreLinks,0))</f>
        <v>3</v>
      </c>
      <c r="T29">
        <f ca="1">P29*FaktorPkte+Q29*FaktorTDiff+R29*FaktorTErz</f>
        <v>999902</v>
      </c>
      <c r="U29" s="51">
        <f ca="1">RANK(T29,T$27:T$29,1)</f>
        <v>2</v>
      </c>
      <c r="V29" s="51">
        <f ca="1">IF(AND(Pkte1=Pkte3,Pkte1=Pkte4,Pkte1&lt;&gt;Pkte2),U29,0)</f>
        <v>0</v>
      </c>
      <c r="W29" s="51">
        <f ca="1">IF(AND(T29=T27,T29&lt;&gt;T28,Z29&gt;Z27),1,0)+IF(AND(T29=T28,T29&lt;&gt;T27,AA29&gt;AA28),1,0)</f>
        <v>0</v>
      </c>
      <c r="X29" s="110">
        <f ca="1">IF(V29&gt;0,V29*FaktordirV3+W29*FaktordirV2,0)</f>
        <v>0</v>
      </c>
      <c r="Y29" s="154"/>
      <c r="Z29" s="231">
        <f ca="1">SUMIFS(ToreLinks,MschnLinks,$O29,MschnRechts,$O27)+SUMIFS(ToreRechts,MschnLinks,$O27,MschnRechts,$O29)</f>
        <v>1</v>
      </c>
      <c r="AA29" s="155">
        <f ca="1">SUMIFS(ToreLinks,MschnLinks,$O29,MschnRechts,$O28)+SUMIFS(ToreRechts,MschnLinks,$O28,MschnRechts,$O29)</f>
        <v>1</v>
      </c>
      <c r="AB29" s="110">
        <f ca="1">IF(AND(Pkte1=Pkte2,Pkte1=Pkte3,Pkte1=Pkte4,GanzKoeff1=GanzKoeff3,GanzKoeff1=GanzKoeff4,GanzKoeff1&lt;&gt;GanzKoeff2),U29,0)</f>
        <v>0</v>
      </c>
      <c r="AC29" s="110">
        <f ca="1">IF(AB29&gt;0,AB29*FaktordirV3+W29*FaktordirV2,0)</f>
        <v>0</v>
      </c>
    </row>
    <row r="30" spans="2:29">
      <c r="O30" s="108" t="str">
        <f ca="1">Mann2</f>
        <v>Finland</v>
      </c>
      <c r="P30" s="51"/>
      <c r="Q30" s="51"/>
      <c r="R30" s="51"/>
      <c r="S30" s="51"/>
      <c r="V30" s="51"/>
      <c r="W30" s="51"/>
      <c r="X30" s="110"/>
      <c r="Y30" s="154"/>
      <c r="Z30" s="231"/>
      <c r="AA30" s="155"/>
      <c r="AB30" s="159"/>
      <c r="AC30" s="159"/>
    </row>
    <row r="31" spans="2:29">
      <c r="V31" s="51"/>
      <c r="W31" s="51"/>
      <c r="X31" s="110"/>
      <c r="Y31" s="154"/>
      <c r="Z31" s="231"/>
      <c r="AA31" s="155"/>
      <c r="AB31" s="159"/>
      <c r="AC31" s="159"/>
    </row>
    <row r="32" spans="2:29">
      <c r="N32" s="51" t="s">
        <v>66</v>
      </c>
      <c r="O32" t="str">
        <f ca="1">Mann2</f>
        <v>Finland</v>
      </c>
      <c r="P32" s="51">
        <f t="array" aca="1" ref="P32" ca="1">SUM(IF((MschnLinks=$O32)*(MschnRechts&lt;&gt;$O$35),PkteLinks,0))+SUM(IF((MschnLinks&lt;&gt;$O$35)*(MschnRechts=$O32),PkteRechts,0))</f>
        <v>0</v>
      </c>
      <c r="Q32" s="51">
        <f ca="1">R32-S32</f>
        <v>-5</v>
      </c>
      <c r="R32" s="51">
        <f t="array" aca="1" ref="R32" ca="1">SUM(IF((MschnLinks=$O32)*(MschnRechts&lt;&gt;$O$35),ToreLinks,0))+SUM(IF((MschnLinks&lt;&gt;$O$35)*(MschnRechts=$O32),ToreRechts,0))</f>
        <v>1</v>
      </c>
      <c r="S32" s="51">
        <f t="array" aca="1" ref="S32" ca="1">SUM(IF((MschnLinks=$O32)*(MschnRechts&lt;&gt;$O$35),ToreRechts,0))+SUM(IF((MschnLinks&lt;&gt;$O$35)*(MschnRechts=$O32),ToreLinks,0))</f>
        <v>6</v>
      </c>
      <c r="T32">
        <f ca="1">P32*FaktorPkte+Q32*FaktorTDiff+R32*FaktorTErz</f>
        <v>-499</v>
      </c>
      <c r="U32" s="51">
        <f ca="1">RANK(T32,T$32:T$34,1)</f>
        <v>1</v>
      </c>
      <c r="V32" s="51">
        <f ca="1">IF(AND(Pkte2=Pkte3,Pkte2=Pkte4,Pkte2&lt;&gt;Pkte1),U32,0)</f>
        <v>0</v>
      </c>
      <c r="W32" s="51">
        <f ca="1">IF(AND(T32=T33,T32&lt;&gt;T34,Y32&gt;Y33),1,0)+IF(AND(T32=T34,T32&lt;&gt;T33,Z32&gt;Z34),1,0)</f>
        <v>0</v>
      </c>
      <c r="X32" s="110">
        <f ca="1">IF(V32&gt;0,V32*FaktordirV3+W32*FaktordirV2,0)</f>
        <v>0</v>
      </c>
      <c r="Y32" s="154">
        <f ca="1">SUMIFS(ToreLinks,MschnLinks,$O32,MschnRechts,$O33)+SUMIFS(ToreRechts,MschnLinks,$O33,MschnRechts,$O32)</f>
        <v>0</v>
      </c>
      <c r="Z32" s="231">
        <f ca="1">SUMIFS(ToreLinks,MschnLinks,$O32,MschnRechts,$O34)+SUMIFS(ToreRechts,MschnLinks,$O34,MschnRechts,$O32)</f>
        <v>1</v>
      </c>
      <c r="AA32" s="155"/>
      <c r="AB32" s="110">
        <f ca="1">IF(AND(Pkte1=Pkte2,Pkte1=Pkte3,Pkte1=Pkte4,GanzKoeff2=GanzKoeff3,GanzKoeff2=GanzKoeff4,GanzKoeff2&lt;&gt;GanzKoeff1),U32,0)</f>
        <v>0</v>
      </c>
      <c r="AC32" s="110">
        <f ca="1">IF(AB32&gt;0,AB32*FaktordirV3+W32*FaktordirV2,0)</f>
        <v>0</v>
      </c>
    </row>
    <row r="33" spans="14:29">
      <c r="N33" s="51" t="s">
        <v>67</v>
      </c>
      <c r="O33" t="str">
        <f ca="1">Mann3</f>
        <v>België</v>
      </c>
      <c r="P33" s="51">
        <f t="array" aca="1" ref="P33" ca="1">SUM(IF((MschnLinks=$O33)*(MschnRechts&lt;&gt;$O$35),PkteLinks,0))+SUM(IF((MschnLinks&lt;&gt;$O$35)*(MschnRechts=$O33),PkteRechts,0))</f>
        <v>6</v>
      </c>
      <c r="Q33" s="51">
        <f ca="1">R33-S33</f>
        <v>4</v>
      </c>
      <c r="R33" s="51">
        <f t="array" aca="1" ref="R33" ca="1">SUM(IF((MschnLinks=$O33)*(MschnRechts&lt;&gt;$O$35),ToreLinks,0))+SUM(IF((MschnLinks&lt;&gt;$O$35)*(MschnRechts=$O33),ToreRechts,0))</f>
        <v>5</v>
      </c>
      <c r="S33" s="51">
        <f t="array" aca="1" ref="S33" ca="1">SUM(IF((MschnLinks=$O33)*(MschnRechts&lt;&gt;$O$35),ToreRechts,0))+SUM(IF((MschnLinks&lt;&gt;$O$35)*(MschnRechts=$O33),ToreLinks,0))</f>
        <v>1</v>
      </c>
      <c r="T33">
        <f ca="1">P33*FaktorPkte+Q33*FaktorTDiff+R33*FaktorTErz</f>
        <v>6000405</v>
      </c>
      <c r="U33" s="51">
        <f ca="1">RANK(T33,T$32:T$34,1)</f>
        <v>3</v>
      </c>
      <c r="V33" s="51">
        <f ca="1">IF(AND(Pkte2=Pkte3,Pkte2=Pkte4,Pkte2&lt;&gt;Pkte1),U33,0)</f>
        <v>0</v>
      </c>
      <c r="W33" s="51">
        <f ca="1">IF(AND(T33=T32,T33&lt;&gt;T34,Y33&gt;Y32),1,0)+IF(AND(T33=T34,T33&lt;&gt;T32,AA33&gt;AA34),1,0)</f>
        <v>0</v>
      </c>
      <c r="X33" s="110">
        <f ca="1">IF(V33&gt;0,V33*FaktordirV3+W33*FaktordirV2,0)</f>
        <v>0</v>
      </c>
      <c r="Y33" s="154">
        <f ca="1">SUMIFS(ToreLinks,MschnLinks,$O33,MschnRechts,$O32)+SUMIFS(ToreRechts,MschnLinks,$O32,MschnRechts,$O33)</f>
        <v>3</v>
      </c>
      <c r="Z33" s="231"/>
      <c r="AA33" s="155">
        <f ca="1">SUMIFS(ToreLinks,MschnLinks,$O33,MschnRechts,$O34)+SUMIFS(ToreRechts,MschnLinks,$O34,MschnRechts,$O33)</f>
        <v>2</v>
      </c>
      <c r="AB33" s="110">
        <f ca="1">IF(AND(Pkte1=Pkte2,Pkte1=Pkte3,Pkte1=Pkte4,GanzKoeff2=GanzKoeff3,GanzKoeff2=GanzKoeff4,GanzKoeff2&lt;&gt;GanzKoeff1),U33,0)</f>
        <v>0</v>
      </c>
      <c r="AC33" s="110">
        <f ca="1">IF(AB33&gt;0,AB33*FaktordirV3+W33*FaktordirV2,0)</f>
        <v>0</v>
      </c>
    </row>
    <row r="34" spans="14:29" ht="15" thickBot="1">
      <c r="N34" s="51" t="s">
        <v>68</v>
      </c>
      <c r="O34" t="str">
        <f ca="1">Mann4</f>
        <v>Rusland</v>
      </c>
      <c r="P34" s="51">
        <f t="array" aca="1" ref="P34" ca="1">SUM(IF((MschnLinks=$O34)*(MschnRechts&lt;&gt;$O$35),PkteLinks,0))+SUM(IF((MschnLinks&lt;&gt;$O$35)*(MschnRechts=$O34),PkteRechts,0))</f>
        <v>3</v>
      </c>
      <c r="Q34" s="51">
        <f ca="1">R34-S34</f>
        <v>1</v>
      </c>
      <c r="R34" s="51">
        <f t="array" aca="1" ref="R34" ca="1">SUM(IF((MschnLinks=$O34)*(MschnRechts&lt;&gt;$O$35),ToreLinks,0))+SUM(IF((MschnLinks&lt;&gt;$O$35)*(MschnRechts=$O34),ToreRechts,0))</f>
        <v>4</v>
      </c>
      <c r="S34" s="51">
        <f t="array" aca="1" ref="S34" ca="1">SUM(IF((MschnLinks=$O34)*(MschnRechts&lt;&gt;$O$35),ToreRechts,0))+SUM(IF((MschnLinks&lt;&gt;$O$35)*(MschnRechts=$O34),ToreLinks,0))</f>
        <v>3</v>
      </c>
      <c r="T34">
        <f ca="1">P34*FaktorPkte+Q34*FaktorTDiff+R34*FaktorTErz</f>
        <v>3000104</v>
      </c>
      <c r="U34" s="51">
        <f ca="1">RANK(T34,T$32:T$34,1)</f>
        <v>2</v>
      </c>
      <c r="V34" s="51">
        <f ca="1">IF(AND(Pkte2=Pkte3,Pkte2=Pkte4,Pkte2&lt;&gt;Pkte1),U34,0)</f>
        <v>0</v>
      </c>
      <c r="W34" s="51">
        <f ca="1">IF(AND(T34=T32,T34&lt;&gt;T33,Z34&gt;Z32),1,0)+IF(AND(T34=T33,T34&lt;&gt;T32,AA34&gt;AA33),1,0)</f>
        <v>0</v>
      </c>
      <c r="X34" s="109">
        <f ca="1">IF(V34&gt;0,V34*FaktordirV3+W34*FaktordirV2,0)</f>
        <v>0</v>
      </c>
      <c r="Y34" s="156"/>
      <c r="Z34" s="157">
        <f ca="1">SUMIFS(ToreLinks,MschnLinks,$O34,MschnRechts,$O32)+SUMIFS(ToreRechts,MschnLinks,$O32,MschnRechts,$O34)</f>
        <v>3</v>
      </c>
      <c r="AA34" s="158">
        <f ca="1">SUMIFS(ToreLinks,MschnLinks,$O34,MschnRechts,$O33)+SUMIFS(ToreRechts,MschnLinks,$O33,MschnRechts,$O34)</f>
        <v>1</v>
      </c>
      <c r="AB34" s="110">
        <f ca="1">IF(AND(Pkte1=Pkte2,Pkte1=Pkte3,Pkte1=Pkte4,GanzKoeff2=GanzKoeff3,GanzKoeff2=GanzKoeff4,GanzKoeff2&lt;&gt;GanzKoeff1),U34,0)</f>
        <v>0</v>
      </c>
      <c r="AC34" s="109">
        <f ca="1">IF(AB34&gt;0,AB34*FaktordirV3+W34*FaktordirV2,0)</f>
        <v>0</v>
      </c>
    </row>
    <row r="35" spans="14:29">
      <c r="O35" s="108" t="str">
        <f ca="1">Mann1</f>
        <v>Denemarken</v>
      </c>
      <c r="P35" s="51"/>
      <c r="Q35" s="51"/>
      <c r="R35" s="51"/>
      <c r="S35" s="51"/>
    </row>
  </sheetData>
  <mergeCells count="6">
    <mergeCell ref="Y16:AA16"/>
    <mergeCell ref="B3:D3"/>
    <mergeCell ref="E3:G3"/>
    <mergeCell ref="H3:I3"/>
    <mergeCell ref="J3:L3"/>
    <mergeCell ref="E16:J16"/>
  </mergeCells>
  <dataValidations count="1">
    <dataValidation type="custom" showInputMessage="1" showErrorMessage="1" error="hbFehler" sqref="D13" xr:uid="{1B3E5BBC-EFD9-4385-9ABA-1AC8C346981D}">
      <formula1>D12=2</formula1>
    </dataValidation>
  </dataValidations>
  <pageMargins left="0.7" right="0.7" top="0.78740157499999996" bottom="0.78740157499999996"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C3951-828E-4595-BBCC-A8472F1E8F2A}">
  <sheetPr codeName="Tabelle8"/>
  <dimension ref="A1:AH35"/>
  <sheetViews>
    <sheetView workbookViewId="0">
      <selection activeCell="A3" sqref="A3"/>
    </sheetView>
  </sheetViews>
  <sheetFormatPr defaultColWidth="10.88671875" defaultRowHeight="14.4"/>
  <cols>
    <col min="1" max="1" width="9.4414062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3.21875" customWidth="1"/>
    <col min="12" max="12" width="5" customWidth="1"/>
    <col min="13" max="13" width="7.77734375" customWidth="1"/>
    <col min="14" max="14" width="4.44140625" style="51" customWidth="1"/>
    <col min="15" max="15" width="14" customWidth="1"/>
    <col min="20" max="20" width="14.21875" customWidth="1"/>
    <col min="22" max="22" width="10.77734375" customWidth="1"/>
    <col min="25" max="25" width="12.21875" customWidth="1"/>
    <col min="27" max="27" width="12.77734375" customWidth="1"/>
    <col min="28" max="28" width="9" customWidth="1"/>
    <col min="30" max="30" width="11.77734375" customWidth="1"/>
    <col min="31" max="31" width="3.21875" customWidth="1"/>
    <col min="32" max="32" width="4.5546875" customWidth="1"/>
    <col min="33" max="33" width="0.77734375" customWidth="1"/>
    <col min="34" max="34" width="3.5546875" customWidth="1"/>
  </cols>
  <sheetData>
    <row r="1" spans="1:34" ht="23.4">
      <c r="A1" s="136" t="s">
        <v>211</v>
      </c>
      <c r="B1" s="135" t="s">
        <v>99</v>
      </c>
      <c r="D1" s="135" t="s">
        <v>100</v>
      </c>
      <c r="O1" s="130" t="s">
        <v>2</v>
      </c>
    </row>
    <row r="2" spans="1:34" ht="8.25" customHeight="1"/>
    <row r="3" spans="1:34">
      <c r="B3" s="357" t="s">
        <v>89</v>
      </c>
      <c r="C3" s="357"/>
      <c r="D3" s="357"/>
      <c r="E3" s="357" t="s">
        <v>88</v>
      </c>
      <c r="F3" s="357"/>
      <c r="G3" s="357"/>
      <c r="H3" s="357" t="s">
        <v>73</v>
      </c>
      <c r="I3" s="357"/>
      <c r="J3" s="357" t="s">
        <v>85</v>
      </c>
      <c r="K3" s="357"/>
      <c r="L3" s="357"/>
      <c r="M3" s="232" t="s">
        <v>118</v>
      </c>
      <c r="N3" s="128"/>
      <c r="O3" s="127"/>
      <c r="P3" s="129" t="s">
        <v>73</v>
      </c>
      <c r="Q3" s="129" t="s">
        <v>84</v>
      </c>
      <c r="R3" s="129" t="s">
        <v>83</v>
      </c>
      <c r="S3" s="129" t="s">
        <v>82</v>
      </c>
      <c r="T3" s="129" t="s">
        <v>81</v>
      </c>
      <c r="U3" s="140" t="s">
        <v>287</v>
      </c>
      <c r="V3" s="140" t="s">
        <v>288</v>
      </c>
      <c r="W3" s="140" t="s">
        <v>87</v>
      </c>
      <c r="X3" s="140" t="s">
        <v>80</v>
      </c>
      <c r="Y3" s="140" t="s">
        <v>94</v>
      </c>
      <c r="Z3" s="140" t="s">
        <v>95</v>
      </c>
      <c r="AA3" s="140" t="s">
        <v>98</v>
      </c>
      <c r="AC3" s="140" t="s">
        <v>96</v>
      </c>
    </row>
    <row r="4" spans="1:34">
      <c r="B4" s="124" t="str">
        <f ca="1">INDIRECT("'"&amp;$A$1&amp;"'!"&amp;$B$1&amp;"12")</f>
        <v>Oostenrijk</v>
      </c>
      <c r="C4" s="51" t="s">
        <v>76</v>
      </c>
      <c r="D4" s="123" t="str">
        <f ca="1">INDIRECT("'"&amp;$A$1&amp;"'!"&amp;$D$1&amp;"12")</f>
        <v>Noord-Macedonië</v>
      </c>
      <c r="E4" s="122">
        <f ca="1">IF(OR(INDIRECT("'"&amp;$A$1&amp;"'!"&amp;$B$1&amp;"13")="",INDIRECT("'"&amp;$A$1&amp;"'!"&amp;$D$1&amp;"13")=""),"",INDIRECT("'"&amp;$A$1&amp;"'!"&amp;$B$1&amp;"13"))</f>
        <v>3</v>
      </c>
      <c r="F4" s="51" t="s">
        <v>75</v>
      </c>
      <c r="G4" s="111">
        <f ca="1">IF(OR(INDIRECT("'"&amp;$A$1&amp;"'!"&amp;$B$1&amp;"13")="",INDIRECT("'"&amp;$A$1&amp;"'!"&amp;$D$1&amp;"13")=""),"",INDIRECT("'"&amp;$A$1&amp;"'!"&amp;$D$1&amp;"13"))</f>
        <v>0</v>
      </c>
      <c r="H4" s="51">
        <f ca="1">IF($M4&gt;0,IF($E4&gt;$G4,3,IF($E4=$G4,1,0)),0)</f>
        <v>3</v>
      </c>
      <c r="I4" s="51">
        <f ca="1">IF($M4&gt;0,IF($E4&lt;$G4,3,IF($E4=$G4,1,0)),0)</f>
        <v>0</v>
      </c>
      <c r="K4" s="51"/>
      <c r="L4" s="111"/>
      <c r="M4" s="111">
        <f ca="1">IF(AND($E4&lt;&gt;"",$G4&lt;&gt;""),1,0)</f>
        <v>1</v>
      </c>
      <c r="N4" s="51" t="s">
        <v>66</v>
      </c>
      <c r="O4" t="str">
        <f ca="1">Mann1</f>
        <v>Oostenrijk</v>
      </c>
      <c r="P4" s="51">
        <f ca="1">SUMIF(MschnLinks,O4,PkteLinks)+SUMIF(MschnRechts,O4,PkteRechts)</f>
        <v>3</v>
      </c>
      <c r="Q4" s="51">
        <f ca="1">R4-S4</f>
        <v>0</v>
      </c>
      <c r="R4" s="51">
        <f ca="1">SUMIF(MschnLinks,$O4,ToreLinks)+SUMIF(MschnRechts,$O4,ToreRechts)</f>
        <v>3</v>
      </c>
      <c r="S4" s="51">
        <f ca="1">SUMIF(MschnLinks,$O4,ToreRechts)+SUMIF(MschnRechts,$O4,ToreLinks)</f>
        <v>3</v>
      </c>
      <c r="T4" s="131">
        <f ca="1">$P4*FaktorPkte+Y4+Z4+AA4+$Q4*FaktorTDiff+$R4*FaktorTErz+V4+U4+W4*FaktorFairPlay+X4*FaktorRngLi</f>
        <v>3000003.0991099998</v>
      </c>
      <c r="U4">
        <f ca="1">IF(AND($X$12&gt;0,OR(AND($B$8=O4,$J$8&gt;$L$8),AND($D$8=O4,$J$8&lt;$L$8))),FaktorElfm,0)</f>
        <v>0</v>
      </c>
      <c r="V4" s="148">
        <f ca="1">IF(AND($X$11&gt;0,OR(AND(LetzteBegLinks=O4,ElfmLinks&gt;ElfmRechts),AND(LetzteBegRechts=O4,ElfmLinks&lt;ElfmRechts))),FaktorElfm,0)</f>
        <v>0</v>
      </c>
      <c r="W4" s="148">
        <f ca="1">99-SUMIFS(FairPlayPkte1,FairPlayMn1,O4)-SUMIFS(FairPlayPkte2,FairPlayMn2,O4)</f>
        <v>99</v>
      </c>
      <c r="X4" s="148">
        <f ca="1">25-INDEX(RngLiRang,MATCH(GrpA!O4,RngLiLand,0))</f>
        <v>11</v>
      </c>
      <c r="Y4" s="126">
        <f ca="1">SUMIFS(DirVergleich3,DirVglMschn,O4)</f>
        <v>0</v>
      </c>
      <c r="Z4" s="126">
        <f ca="1">L17*FaktordirV2</f>
        <v>0</v>
      </c>
      <c r="AA4" s="126">
        <f ca="1">SUMIFS(DirVergleich4,DirVglMschn,O4)</f>
        <v>0</v>
      </c>
      <c r="AC4" s="150">
        <f ca="1">$P4*FaktorPkte+$Q4*FaktorTDiff+$R4*FaktorTErz</f>
        <v>3000003</v>
      </c>
    </row>
    <row r="5" spans="1:34">
      <c r="B5" s="124" t="str">
        <f ca="1">INDIRECT("'"&amp;$A$1&amp;"'!"&amp;$B$1&amp;"17")</f>
        <v>Nederland</v>
      </c>
      <c r="C5" s="51" t="s">
        <v>76</v>
      </c>
      <c r="D5" s="123" t="str">
        <f ca="1">INDIRECT("'"&amp;$A$1&amp;"'!"&amp;$D$1&amp;"17")</f>
        <v>Oekraïne</v>
      </c>
      <c r="E5" s="122">
        <f ca="1">IF(OR(INDIRECT("'"&amp;$A$1&amp;"'!"&amp;$B$1&amp;"18")="",INDIRECT("'"&amp;$A$1&amp;"'!"&amp;$D$1&amp;"18")=""),"",INDIRECT("'"&amp;$A$1&amp;"'!"&amp;$B$1&amp;"18"))</f>
        <v>2</v>
      </c>
      <c r="F5" s="51" t="s">
        <v>75</v>
      </c>
      <c r="G5" s="111">
        <f ca="1">IF(OR(INDIRECT("'"&amp;$A$1&amp;"'!"&amp;$B$1&amp;"18")="",INDIRECT("'"&amp;$A$1&amp;"'!"&amp;$D$1&amp;"18")=""),"",INDIRECT("'"&amp;$A$1&amp;"'!"&amp;$D$1&amp;"18"))</f>
        <v>1</v>
      </c>
      <c r="H5" s="51">
        <f t="shared" ref="H5:H9" ca="1" si="0">IF($M5&gt;0,IF($E5&gt;$G5,3,IF($E5=$G5,1,0)),0)</f>
        <v>3</v>
      </c>
      <c r="I5" s="51">
        <f t="shared" ref="I5:I9" ca="1" si="1">IF($M5&gt;0,IF($E5&lt;$G5,3,IF($E5=$G5,1,0)),0)</f>
        <v>0</v>
      </c>
      <c r="K5" s="51"/>
      <c r="L5" s="111"/>
      <c r="M5" s="111">
        <f t="shared" ref="M5:M9" ca="1" si="2">IF(AND($E5&lt;&gt;"",$G5&lt;&gt;""),1,0)</f>
        <v>1</v>
      </c>
      <c r="N5" s="51" t="s">
        <v>67</v>
      </c>
      <c r="O5" t="str">
        <f ca="1">Mann2</f>
        <v>Noord-Macedonië</v>
      </c>
      <c r="P5" s="51">
        <f ca="1">SUMIF(MschnLinks,O5,PkteLinks)+SUMIF(MschnRechts,O5,PkteRechts)</f>
        <v>0</v>
      </c>
      <c r="Q5" s="51">
        <f ca="1">R5-S5</f>
        <v>-8</v>
      </c>
      <c r="R5" s="51">
        <f ca="1">SUMIF(MschnLinks,$O5,ToreLinks)+SUMIF(MschnRechts,$O5,ToreRechts)</f>
        <v>0</v>
      </c>
      <c r="S5" s="51">
        <f ca="1">SUMIF(MschnLinks,$O5,ToreRechts)+SUMIF(MschnRechts,$O5,ToreLinks)</f>
        <v>8</v>
      </c>
      <c r="T5" s="131">
        <f ca="1">$P5*FaktorPkte+Y5+Z5+AA5+$Q5*FaktorTDiff+$R5*FaktorTErz+V5+U5+W5*FaktorFairPlay+X5*FaktorRngLi</f>
        <v>-799.90076999999997</v>
      </c>
      <c r="U5">
        <f ca="1">IF(AND($X$12&gt;0,OR(AND($B$8=O5,$J$8&gt;$L$8),AND($D$8=O5,$J$8&lt;$L$8))),FaktorElfm,0)</f>
        <v>0</v>
      </c>
      <c r="V5" s="148">
        <f ca="1">IF(AND($X$11&gt;0,OR(AND(LetzteBegLinks=O5,ElfmLinks&gt;ElfmRechts),AND(LetzteBegRechts=O5,ElfmLinks&lt;ElfmRechts))),FaktorElfm,0)</f>
        <v>0</v>
      </c>
      <c r="W5" s="148">
        <f ca="1">99-SUMIFS(FairPlayPkte1,FairPlayMn1,O5)-SUMIFS(FairPlayPkte2,FairPlayMn2,O5)</f>
        <v>99</v>
      </c>
      <c r="X5" s="148">
        <f ca="1">25-INDEX(RngLiRang,MATCH(GrpA!O5,RngLiLand,0))</f>
        <v>23</v>
      </c>
      <c r="Y5" s="126">
        <f ca="1">SUMIFS(DirVergleich3,DirVglMschn,O5)</f>
        <v>0</v>
      </c>
      <c r="Z5" s="126">
        <f ca="1">L18*FaktordirV2</f>
        <v>0</v>
      </c>
      <c r="AA5" s="126">
        <f ca="1">SUMIFS(DirVergleich4,DirVglMschn,O5)</f>
        <v>0</v>
      </c>
      <c r="AC5" s="150">
        <f ca="1">$P5*FaktorPkte+$Q5*FaktorTDiff+$R5*FaktorTErz</f>
        <v>-800</v>
      </c>
    </row>
    <row r="6" spans="1:34">
      <c r="B6" s="122" t="str">
        <f ca="1">INDIRECT("'"&amp;$A$1&amp;"'!"&amp;$B$1&amp;"22")</f>
        <v>Oekraïne</v>
      </c>
      <c r="C6" s="51" t="s">
        <v>76</v>
      </c>
      <c r="D6" t="str">
        <f ca="1">INDIRECT("'"&amp;$A$1&amp;"'!"&amp;$D$1&amp;"22")</f>
        <v>Noord-Macedonië</v>
      </c>
      <c r="E6" s="122">
        <f ca="1">IF(OR(INDIRECT("'"&amp;$A$1&amp;"'!"&amp;$B$1&amp;"23")="",INDIRECT("'"&amp;$A$1&amp;"'!"&amp;$D$1&amp;"23")=""),"",INDIRECT("'"&amp;$A$1&amp;"'!"&amp;$B$1&amp;"23"))</f>
        <v>2</v>
      </c>
      <c r="F6" s="51" t="s">
        <v>75</v>
      </c>
      <c r="G6" s="111">
        <f ca="1">IF(OR(INDIRECT("'"&amp;$A$1&amp;"'!"&amp;$B$1&amp;"23")="",INDIRECT("'"&amp;$A$1&amp;"'!"&amp;$D$1&amp;"23")=""),"",INDIRECT("'"&amp;$A$1&amp;"'!"&amp;$D$1&amp;"23"))</f>
        <v>0</v>
      </c>
      <c r="H6" s="51">
        <f t="shared" ca="1" si="0"/>
        <v>3</v>
      </c>
      <c r="I6" s="51">
        <f t="shared" ca="1" si="1"/>
        <v>0</v>
      </c>
      <c r="K6" s="51"/>
      <c r="L6" s="111"/>
      <c r="M6" s="111">
        <f t="shared" ca="1" si="2"/>
        <v>1</v>
      </c>
      <c r="N6" s="51" t="s">
        <v>68</v>
      </c>
      <c r="O6" t="str">
        <f ca="1">Mann3</f>
        <v>Nederland</v>
      </c>
      <c r="P6" s="51">
        <f ca="1">SUMIF(MschnLinks,O6,PkteLinks)+SUMIF(MschnRechts,O6,PkteRechts)</f>
        <v>9</v>
      </c>
      <c r="Q6" s="51">
        <f ca="1">R6-S6</f>
        <v>6</v>
      </c>
      <c r="R6" s="51">
        <f ca="1">SUMIF(MschnLinks,$O6,ToreLinks)+SUMIF(MschnRechts,$O6,ToreRechts)</f>
        <v>7</v>
      </c>
      <c r="S6" s="51">
        <f ca="1">SUMIF(MschnLinks,$O6,ToreRechts)+SUMIF(MschnRechts,$O6,ToreLinks)</f>
        <v>1</v>
      </c>
      <c r="T6" s="131">
        <f ca="1">$P6*FaktorPkte+Y6+Z6+AA6+$Q6*FaktorTDiff+$R6*FaktorTErz+V6+U6+W6*FaktorFairPlay+X6*FaktorRngLi</f>
        <v>9000607.099059999</v>
      </c>
      <c r="U6">
        <f ca="1">IF(AND($X$12&gt;0,OR(AND($B$8=O6,$J$8&gt;$L$8),AND($D$8=O6,$J$8&lt;$L$8))),FaktorElfm,0)</f>
        <v>0</v>
      </c>
      <c r="V6" s="148">
        <f ca="1">IF(AND($X$11&gt;0,OR(AND(LetzteBegLinks=O6,ElfmLinks&gt;ElfmRechts),AND(LetzteBegRechts=O6,ElfmLinks&lt;ElfmRechts))),FaktorElfm,0)</f>
        <v>0</v>
      </c>
      <c r="W6" s="148">
        <f ca="1">99-SUMIFS(FairPlayPkte1,FairPlayMn1,O6)-SUMIFS(FairPlayPkte2,FairPlayMn2,O6)</f>
        <v>99</v>
      </c>
      <c r="X6" s="148">
        <f ca="1">25-INDEX(RngLiRang,MATCH(GrpA!O6,RngLiLand,0))</f>
        <v>6</v>
      </c>
      <c r="Y6" s="126">
        <f ca="1">SUMIFS(DirVergleich3,DirVglMschn,O6)</f>
        <v>0</v>
      </c>
      <c r="Z6" s="126">
        <f ca="1">L19*FaktordirV2</f>
        <v>0</v>
      </c>
      <c r="AA6" s="126">
        <f ca="1">SUMIFS(DirVergleich4,DirVglMschn,O6)</f>
        <v>0</v>
      </c>
      <c r="AC6" s="150">
        <f ca="1">$P6*FaktorPkte+$Q6*FaktorTDiff+$R6*FaktorTErz</f>
        <v>9000607</v>
      </c>
    </row>
    <row r="7" spans="1:34">
      <c r="B7" s="122" t="str">
        <f ca="1">INDIRECT("'"&amp;$A$1&amp;"'!"&amp;$B$1&amp;"27")</f>
        <v>Nederland</v>
      </c>
      <c r="C7" s="51" t="s">
        <v>76</v>
      </c>
      <c r="D7" t="str">
        <f ca="1">INDIRECT("'"&amp;$A$1&amp;"'!"&amp;$D$1&amp;"27")</f>
        <v>Oostenrijk</v>
      </c>
      <c r="E7" s="122">
        <f ca="1">IF(OR(INDIRECT("'"&amp;$A$1&amp;"'!"&amp;$B$1&amp;"28")="",INDIRECT("'"&amp;$A$1&amp;"'!"&amp;$D$1&amp;"28")=""),"",INDIRECT("'"&amp;$A$1&amp;"'!"&amp;$B$1&amp;"28"))</f>
        <v>2</v>
      </c>
      <c r="F7" s="51" t="s">
        <v>75</v>
      </c>
      <c r="G7" s="111">
        <f ca="1">IF(OR(INDIRECT("'"&amp;$A$1&amp;"'!"&amp;$B$1&amp;"28")="",INDIRECT("'"&amp;$A$1&amp;"'!"&amp;$D$1&amp;"28")=""),"",INDIRECT("'"&amp;$A$1&amp;"'!"&amp;$D$1&amp;"28"))</f>
        <v>0</v>
      </c>
      <c r="H7" s="51">
        <f t="shared" ca="1" si="0"/>
        <v>3</v>
      </c>
      <c r="I7" s="51">
        <f t="shared" ca="1" si="1"/>
        <v>0</v>
      </c>
      <c r="K7" s="51"/>
      <c r="L7" s="111"/>
      <c r="M7" s="111">
        <f t="shared" ca="1" si="2"/>
        <v>1</v>
      </c>
      <c r="N7" s="51" t="s">
        <v>69</v>
      </c>
      <c r="O7" t="str">
        <f ca="1">Mann4</f>
        <v>Oekraïne</v>
      </c>
      <c r="P7" s="51">
        <f ca="1">SUMIF(MschnLinks,O7,PkteLinks)+SUMIF(MschnRechts,O7,PkteRechts)</f>
        <v>6</v>
      </c>
      <c r="Q7" s="51">
        <f ca="1">R7-S7</f>
        <v>2</v>
      </c>
      <c r="R7" s="51">
        <f ca="1">SUMIF(MschnLinks,$O7,ToreLinks)+SUMIF(MschnRechts,$O7,ToreRechts)</f>
        <v>4</v>
      </c>
      <c r="S7" s="51">
        <f ca="1">SUMIF(MschnLinks,$O7,ToreRechts)+SUMIF(MschnRechts,$O7,ToreLinks)</f>
        <v>2</v>
      </c>
      <c r="T7" s="131">
        <f ca="1">$P7*FaktorPkte+Y7+Z7+AA7+$Q7*FaktorTDiff+$R7*FaktorTErz+V7+U7+W7*FaktorFairPlay+X7*FaktorRngLi</f>
        <v>6000204.0991600007</v>
      </c>
      <c r="U7">
        <f ca="1">IF(AND($X$12&gt;0,OR(AND($B$8=O7,$J$8&gt;$L$8),AND($D$8=O7,$J$8&lt;$L$8))),FaktorElfm,0)</f>
        <v>0</v>
      </c>
      <c r="V7" s="148">
        <f ca="1">IF(AND($X$11&gt;0,OR(AND(LetzteBegLinks=O7,ElfmLinks&gt;ElfmRechts),AND(LetzteBegRechts=O7,ElfmLinks&lt;ElfmRechts))),FaktorElfm,0)</f>
        <v>0</v>
      </c>
      <c r="W7" s="148">
        <f ca="1">99-SUMIFS(FairPlayPkte1,FairPlayMn1,O7)-SUMIFS(FairPlayPkte2,FairPlayMn2,O7)</f>
        <v>99</v>
      </c>
      <c r="X7" s="148">
        <f ca="1">25-INDEX(RngLiRang,MATCH(GrpA!O7,RngLiLand,0))</f>
        <v>16</v>
      </c>
      <c r="Y7" s="126">
        <f ca="1">SUMIFS(DirVergleich3,DirVglMschn,O7)</f>
        <v>0</v>
      </c>
      <c r="Z7" s="126">
        <f ca="1">L20*FaktordirV2</f>
        <v>0</v>
      </c>
      <c r="AA7" s="126">
        <f ca="1">SUMIFS(DirVergleich4,DirVglMschn,O7)</f>
        <v>0</v>
      </c>
      <c r="AC7" s="150">
        <f ca="1">$P7*FaktorPkte+$Q7*FaktorTDiff+$R7*FaktorTErz</f>
        <v>6000204</v>
      </c>
    </row>
    <row r="8" spans="1:34">
      <c r="B8" s="122" t="str">
        <f ca="1">INDIRECT("'"&amp;$A$1&amp;"'!"&amp;$B$1&amp;"32")</f>
        <v>Noord-Macedonië</v>
      </c>
      <c r="C8" s="51" t="s">
        <v>76</v>
      </c>
      <c r="D8" t="str">
        <f ca="1">INDIRECT("'"&amp;$A$1&amp;"'!"&amp;$D$1&amp;"32")</f>
        <v>Nederland</v>
      </c>
      <c r="E8" s="122">
        <f ca="1">IF(OR(INDIRECT("'"&amp;$A$1&amp;"'!"&amp;$B$1&amp;"33")="",INDIRECT("'"&amp;$A$1&amp;"'!"&amp;$D$1&amp;"33")=""),"",INDIRECT("'"&amp;$A$1&amp;"'!"&amp;$B$1&amp;"33"))</f>
        <v>0</v>
      </c>
      <c r="F8" s="51" t="s">
        <v>75</v>
      </c>
      <c r="G8" s="111">
        <f ca="1">IF(OR(INDIRECT("'"&amp;$A$1&amp;"'!"&amp;$B$1&amp;"33")="",INDIRECT("'"&amp;$A$1&amp;"'!"&amp;$D$1&amp;"33")=""),"",INDIRECT("'"&amp;$A$1&amp;"'!"&amp;$D$1&amp;"33"))</f>
        <v>3</v>
      </c>
      <c r="H8" s="51">
        <f t="shared" ca="1" si="0"/>
        <v>0</v>
      </c>
      <c r="I8" s="51">
        <f t="shared" ca="1" si="1"/>
        <v>3</v>
      </c>
      <c r="J8" s="122" t="str">
        <f ca="1">IF(OR(INDIRECT("'"&amp;$A$1&amp;"'!"&amp;$B$1&amp;"35")="",INDIRECT("'"&amp;$A$1&amp;"'!"&amp;$D$1&amp;"35")=""),"",INDIRECT("'"&amp;$A$1&amp;"'!"&amp;$B$1&amp;"35"))</f>
        <v/>
      </c>
      <c r="K8" s="51" t="s">
        <v>75</v>
      </c>
      <c r="L8" s="111" t="str">
        <f ca="1">IF(OR(INDIRECT("'"&amp;$A$1&amp;"'!"&amp;$B$1&amp;"35")="",INDIRECT("'"&amp;$A$1&amp;"'!"&amp;$D$1&amp;"35")=""),"",INDIRECT("'"&amp;$A$1&amp;"'!"&amp;$D$1&amp;"35"))</f>
        <v/>
      </c>
      <c r="M8" s="111">
        <f t="shared" ca="1" si="2"/>
        <v>1</v>
      </c>
    </row>
    <row r="9" spans="1:34">
      <c r="B9" s="122" t="str">
        <f ca="1">INDIRECT("'"&amp;$A$1&amp;"'!"&amp;$B$1&amp;"39")</f>
        <v>Oekraïne</v>
      </c>
      <c r="C9" s="51" t="s">
        <v>76</v>
      </c>
      <c r="D9" t="str">
        <f ca="1">INDIRECT("'"&amp;$A$1&amp;"'!"&amp;$D$1&amp;"39")</f>
        <v>Oostenrijk</v>
      </c>
      <c r="E9" s="122">
        <f ca="1">IF(OR(INDIRECT("'"&amp;$A$1&amp;"'!"&amp;$B$1&amp;"40")="",INDIRECT("'"&amp;$A$1&amp;"'!"&amp;$D$1&amp;"40")=""),"",INDIRECT("'"&amp;$A$1&amp;"'!"&amp;$B$1&amp;"40"))</f>
        <v>1</v>
      </c>
      <c r="F9" s="51" t="s">
        <v>75</v>
      </c>
      <c r="G9" s="111">
        <f ca="1">IF(OR(INDIRECT("'"&amp;$A$1&amp;"'!"&amp;$B$1&amp;"40")="",INDIRECT("'"&amp;$A$1&amp;"'!"&amp;$D$1&amp;"40")=""),"",INDIRECT("'"&amp;$A$1&amp;"'!"&amp;$D$1&amp;"40"))</f>
        <v>0</v>
      </c>
      <c r="H9" s="51">
        <f t="shared" ca="1" si="0"/>
        <v>3</v>
      </c>
      <c r="I9" s="51">
        <f t="shared" ca="1" si="1"/>
        <v>0</v>
      </c>
      <c r="J9" s="122" t="str">
        <f ca="1">IF(OR(INDIRECT("'"&amp;$A$1&amp;"'!"&amp;$B$1&amp;"42")="",INDIRECT("'"&amp;$A$1&amp;"'!"&amp;$D$1&amp;"42")=""),"",INDIRECT("'"&amp;$A$1&amp;"'!"&amp;$B$1&amp;"42"))</f>
        <v/>
      </c>
      <c r="K9" s="51" t="s">
        <v>75</v>
      </c>
      <c r="L9" s="111" t="str">
        <f ca="1">IF(OR(INDIRECT("'"&amp;$A$1&amp;"'!"&amp;$B$1&amp;"42")="",INDIRECT("'"&amp;$A$1&amp;"'!"&amp;$D$1&amp;"42")=""),"",INDIRECT("'"&amp;$A$1&amp;"'!"&amp;$D$1&amp;"42"))</f>
        <v/>
      </c>
      <c r="M9" s="111">
        <f t="shared" ca="1" si="2"/>
        <v>1</v>
      </c>
    </row>
    <row r="10" spans="1:34" ht="15" thickBot="1">
      <c r="M10" s="186"/>
      <c r="V10" s="149" t="s">
        <v>122</v>
      </c>
      <c r="X10" s="149" t="s">
        <v>85</v>
      </c>
      <c r="Y10" s="51"/>
      <c r="Z10" s="149" t="s">
        <v>119</v>
      </c>
      <c r="AA10" s="51"/>
    </row>
    <row r="11" spans="1:34" ht="15" thickTop="1">
      <c r="N11" s="121" t="s">
        <v>66</v>
      </c>
      <c r="O11" s="120" t="str">
        <f t="shared" ref="O11:S14" ca="1" si="3">INDEX(O$4:O$7,MATCH($T11,$T$4:$T$7,0))</f>
        <v>Nederland</v>
      </c>
      <c r="P11" s="119">
        <f t="shared" ca="1" si="3"/>
        <v>9</v>
      </c>
      <c r="Q11" s="119">
        <f t="shared" ca="1" si="3"/>
        <v>6</v>
      </c>
      <c r="R11" s="119">
        <f t="shared" ca="1" si="3"/>
        <v>7</v>
      </c>
      <c r="S11" s="119">
        <f t="shared" ca="1" si="3"/>
        <v>1</v>
      </c>
      <c r="T11" s="132">
        <f ca="1">LARGE($T$4:$T$7,ROW($T4)-3)</f>
        <v>9000607.099059999</v>
      </c>
      <c r="V11" s="179">
        <f ca="1">IF(AND(OR(TRUNC($T$11,1)=TRUNC($T$12,1),TRUNC($T$11,1)=TRUNC($T$13,1),TRUNC($T$11,1)=TRUNC($T$14,1),TRUNC($T$12,1)=TRUNC($T$13,1),TRUNC($T$12,1)=TRUNC($T$14,1),TRUNC($T$13,1)=TRUNC($T$14,1)),$Z$11&gt;0),1,0)</f>
        <v>0</v>
      </c>
      <c r="W11" s="226" t="s">
        <v>286</v>
      </c>
      <c r="X11" s="51">
        <f ca="1">IF(AND(VLOOKUP($B$9,$O$4:$AC$7,15,0)=VLOOKUP($D$9,$O$4:$AC$7,15,0),$E$9=$G$9,COUNTIF($P$4:$P$7,VLOOKUP($B$9,$O$4:$P$7,2,0))=2,$M$9&gt;0),1,0)</f>
        <v>0</v>
      </c>
      <c r="Y11" s="51"/>
      <c r="Z11" s="185">
        <f ca="1">SUM($M$4:$M$9)</f>
        <v>6</v>
      </c>
      <c r="AA11" s="51"/>
      <c r="AE11" s="163">
        <f ca="1">P11</f>
        <v>9</v>
      </c>
      <c r="AF11" s="162">
        <f ca="1">R11</f>
        <v>7</v>
      </c>
      <c r="AG11" s="160" t="s">
        <v>75</v>
      </c>
      <c r="AH11" s="161">
        <f ca="1">S11</f>
        <v>1</v>
      </c>
    </row>
    <row r="12" spans="1:34">
      <c r="D12" s="51"/>
      <c r="N12" s="118" t="s">
        <v>67</v>
      </c>
      <c r="O12" s="60" t="str">
        <f t="shared" ca="1" si="3"/>
        <v>Oekraïne</v>
      </c>
      <c r="P12" s="231">
        <f t="shared" ca="1" si="3"/>
        <v>6</v>
      </c>
      <c r="Q12" s="231">
        <f t="shared" ca="1" si="3"/>
        <v>2</v>
      </c>
      <c r="R12" s="231">
        <f t="shared" ca="1" si="3"/>
        <v>4</v>
      </c>
      <c r="S12" s="231">
        <f t="shared" ca="1" si="3"/>
        <v>2</v>
      </c>
      <c r="T12" s="133">
        <f ca="1">LARGE($T$4:$T$7,ROW($T5)-3)</f>
        <v>6000204.0991600007</v>
      </c>
      <c r="W12" s="226" t="s">
        <v>285</v>
      </c>
      <c r="X12" s="51">
        <f ca="1">IF(AND(VLOOKUP($B$8,$O$4:$AC$7,15,0)=VLOOKUP($D$8,$O$4:$AC$7,15,0),$E$8=$G$8,COUNTIF($P$4:$P$7,VLOOKUP($B$8,$O$4:$P$7,2,0))=2,$M$8&gt;0),1,0)</f>
        <v>0</v>
      </c>
      <c r="AE12" s="163">
        <f t="shared" ref="AE12:AE14" ca="1" si="4">P12</f>
        <v>6</v>
      </c>
      <c r="AF12" s="162">
        <f t="shared" ref="AF12:AF14" ca="1" si="5">R12</f>
        <v>4</v>
      </c>
      <c r="AG12" s="160" t="s">
        <v>75</v>
      </c>
      <c r="AH12" s="161">
        <f t="shared" ref="AH12:AH14" ca="1" si="6">S12</f>
        <v>2</v>
      </c>
    </row>
    <row r="13" spans="1:34">
      <c r="D13" s="183"/>
      <c r="N13" s="118" t="s">
        <v>68</v>
      </c>
      <c r="O13" s="60" t="str">
        <f t="shared" ca="1" si="3"/>
        <v>Oostenrijk</v>
      </c>
      <c r="P13" s="231">
        <f t="shared" ca="1" si="3"/>
        <v>3</v>
      </c>
      <c r="Q13" s="231">
        <f t="shared" ca="1" si="3"/>
        <v>0</v>
      </c>
      <c r="R13" s="231">
        <f t="shared" ca="1" si="3"/>
        <v>3</v>
      </c>
      <c r="S13" s="231">
        <f t="shared" ca="1" si="3"/>
        <v>3</v>
      </c>
      <c r="T13" s="133">
        <f ca="1">LARGE($T$4:$T$7,ROW($T6)-3)</f>
        <v>3000003.0991099998</v>
      </c>
      <c r="AE13" s="163">
        <f t="shared" ca="1" si="4"/>
        <v>3</v>
      </c>
      <c r="AF13" s="162">
        <f t="shared" ca="1" si="5"/>
        <v>3</v>
      </c>
      <c r="AG13" s="160" t="s">
        <v>75</v>
      </c>
      <c r="AH13" s="161">
        <f t="shared" ca="1" si="6"/>
        <v>3</v>
      </c>
    </row>
    <row r="14" spans="1:34" ht="15" thickBot="1">
      <c r="D14" s="50"/>
      <c r="F14" s="51"/>
      <c r="G14" s="111"/>
      <c r="N14" s="116" t="s">
        <v>69</v>
      </c>
      <c r="O14" s="115" t="str">
        <f t="shared" ca="1" si="3"/>
        <v>Noord-Macedonië</v>
      </c>
      <c r="P14" s="114">
        <f t="shared" ca="1" si="3"/>
        <v>0</v>
      </c>
      <c r="Q14" s="114">
        <f t="shared" ca="1" si="3"/>
        <v>-8</v>
      </c>
      <c r="R14" s="114">
        <f t="shared" ca="1" si="3"/>
        <v>0</v>
      </c>
      <c r="S14" s="114">
        <f t="shared" ca="1" si="3"/>
        <v>8</v>
      </c>
      <c r="T14" s="134">
        <f ca="1">LARGE($T$4:$T$7,ROW($T7)-3)</f>
        <v>-799.90076999999997</v>
      </c>
      <c r="AE14" s="163">
        <f t="shared" ca="1" si="4"/>
        <v>0</v>
      </c>
      <c r="AF14" s="162">
        <f t="shared" ca="1" si="5"/>
        <v>0</v>
      </c>
      <c r="AG14" s="160" t="s">
        <v>75</v>
      </c>
      <c r="AH14" s="161">
        <f t="shared" ca="1" si="6"/>
        <v>8</v>
      </c>
    </row>
    <row r="15" spans="1:34" ht="15" thickTop="1">
      <c r="D15" s="141" t="s">
        <v>93</v>
      </c>
      <c r="F15" s="51"/>
      <c r="G15" s="111"/>
    </row>
    <row r="16" spans="1:34" ht="15" thickBot="1">
      <c r="D16" s="142" t="s">
        <v>91</v>
      </c>
      <c r="E16" s="357" t="s">
        <v>92</v>
      </c>
      <c r="F16" s="357"/>
      <c r="G16" s="357"/>
      <c r="H16" s="357"/>
      <c r="I16" s="357"/>
      <c r="J16" s="357"/>
      <c r="K16" s="127"/>
      <c r="L16" s="149" t="s">
        <v>95</v>
      </c>
      <c r="X16" s="113" t="s">
        <v>94</v>
      </c>
      <c r="Y16" s="356" t="s">
        <v>97</v>
      </c>
      <c r="Z16" s="356"/>
      <c r="AA16" s="356"/>
      <c r="AC16" s="149" t="s">
        <v>98</v>
      </c>
    </row>
    <row r="17" spans="2:29">
      <c r="D17" t="str">
        <f ca="1">Mann1</f>
        <v>Oostenrijk</v>
      </c>
      <c r="E17" s="51">
        <f ca="1">Y17</f>
        <v>3</v>
      </c>
      <c r="F17" s="51">
        <f ca="1">Z17</f>
        <v>0</v>
      </c>
      <c r="G17" s="51">
        <f ca="1">Z22</f>
        <v>0</v>
      </c>
      <c r="H17" s="51"/>
      <c r="I17" s="51"/>
      <c r="J17" s="51"/>
      <c r="L17" s="112">
        <f ca="1">IF(AND(Pkte1=Pkte2,Pkte1&lt;&gt;Pkte3,Pkte1&lt;&gt;Pkte4,E17&gt;E18),1,0)+IF(AND(Pkte1=Pkte3,Pkte1&lt;&gt;Pkte2,Pkte1&lt;&gt;Pkte4,F17&gt;F19),1,0)+IF(AND(Pkte1=Pkte4,Pkte1&lt;&gt;Pkte2,Pkte1&lt;&gt;Pkte3,G17&gt;G20),1,0)</f>
        <v>0</v>
      </c>
      <c r="N17" s="51" t="s">
        <v>66</v>
      </c>
      <c r="O17" t="str">
        <f ca="1">Mann1</f>
        <v>Oostenrijk</v>
      </c>
      <c r="P17" s="51">
        <f t="array" aca="1" ref="P17" ca="1">SUM(IF((MschnLinks=$O17)*(MschnRechts&lt;&gt;$O$20),PkteLinks,0))+SUM(IF((MschnLinks&lt;&gt;$O$20)*(MschnRechts=$O17),PkteRechts,0))</f>
        <v>3</v>
      </c>
      <c r="Q17" s="51">
        <f ca="1">R17-S17</f>
        <v>1</v>
      </c>
      <c r="R17" s="51">
        <f t="array" aca="1" ref="R17" ca="1">SUM(IF((MschnLinks=$O17)*(MschnRechts&lt;&gt;$O$20),ToreLinks,0))+SUM(IF((MschnLinks&lt;&gt;$O$20)*(MschnRechts=$O17),ToreRechts,0))</f>
        <v>3</v>
      </c>
      <c r="S17" s="51">
        <f t="array" aca="1" ref="S17" ca="1">SUM(IF((MschnLinks=$O17)*(MschnRechts&lt;&gt;$O$20),ToreRechts,0))+SUM(IF((MschnLinks&lt;&gt;$O$20)*(MschnRechts=$O17),ToreLinks,0))</f>
        <v>2</v>
      </c>
      <c r="T17">
        <f ca="1">P17*FaktorPkte+Q17*FaktorTDiff+R17*FaktorTErz</f>
        <v>3000103</v>
      </c>
      <c r="U17" s="51">
        <f ca="1">RANK(T17,T$17:T$19,1)</f>
        <v>2</v>
      </c>
      <c r="V17" s="51">
        <f ca="1">IF(AND(Pkte1=Pkte2,Pkte1=Pkte3,Pkte1&lt;&gt;Pkte4),U17,0)</f>
        <v>0</v>
      </c>
      <c r="W17" s="51">
        <f ca="1">IF(AND(T17=T18,T17&lt;&gt;T19,Y17&gt;Y18),1,0)+IF(AND(T17=T19,T17&lt;&gt;T18,Z17&gt;Z19),1,0)</f>
        <v>0</v>
      </c>
      <c r="X17" s="112">
        <f ca="1">IF(V17&gt;0,V17*FaktordirV3+W17*FaktordirV2,0)</f>
        <v>0</v>
      </c>
      <c r="Y17" s="151">
        <f ca="1">SUMIFS(ToreLinks,MschnLinks,$O17,MschnRechts,$O18)+SUMIFS(ToreRechts,MschnLinks,$O18,MschnRechts,$O17)</f>
        <v>3</v>
      </c>
      <c r="Z17" s="152">
        <f ca="1">SUMIFS(ToreLinks,MschnLinks,$O17,MschnRechts,$O19)+SUMIFS(ToreRechts,MschnLinks,$O19,MschnRechts,$O17)</f>
        <v>0</v>
      </c>
      <c r="AA17" s="153"/>
      <c r="AB17" s="110">
        <f ca="1">IF(AND(Pkte1=Pkte2,Pkte1=Pkte3,Pkte1=Pkte4,GanzKoeff1=GanzKoeff2,GanzKoeff1=GanzKoeff3,GanzKoeff1&lt;&gt;GanzKoeff4),U17,0)</f>
        <v>0</v>
      </c>
      <c r="AC17" s="112">
        <f ca="1">IF(AB17&gt;0,AB17*FaktordirV3+W17*FaktordirV2,0)</f>
        <v>0</v>
      </c>
    </row>
    <row r="18" spans="2:29">
      <c r="D18" t="str">
        <f ca="1">Mann2</f>
        <v>Noord-Macedonië</v>
      </c>
      <c r="E18" s="51">
        <f ca="1">Y18</f>
        <v>0</v>
      </c>
      <c r="F18" s="51"/>
      <c r="G18" s="51"/>
      <c r="H18" s="51">
        <f ca="1">AA18</f>
        <v>0</v>
      </c>
      <c r="I18" s="51">
        <f ca="1">AA23</f>
        <v>0</v>
      </c>
      <c r="J18" s="51"/>
      <c r="L18" s="110">
        <f ca="1">IF(AND(Pkte2=Pkte1,Pkte2&lt;&gt;Pkte3,Pkte2&lt;&gt;Pkte4,E18&gt;E17),1,0)+IF(AND(Pkte2=Pkte3,Pkte2&lt;&gt;Pkte1,Pkte2&lt;&gt;Pkte4,H18&gt;H19),1,0)+IF(AND(Pkte2=Pkte4,Pkte2&lt;&gt;Pkte1,Pkte2&lt;&gt;Pkte3,I18&gt;I20),1,0)</f>
        <v>0</v>
      </c>
      <c r="N18" s="51" t="s">
        <v>67</v>
      </c>
      <c r="O18" t="str">
        <f ca="1">Mann2</f>
        <v>Noord-Macedonië</v>
      </c>
      <c r="P18" s="51">
        <f t="array" aca="1" ref="P18" ca="1">SUM(IF((MschnLinks=$O18)*(MschnRechts&lt;&gt;$O$20),PkteLinks,0))+SUM(IF((MschnLinks&lt;&gt;$O$20)*(MschnRechts=$O18),PkteRechts,0))</f>
        <v>0</v>
      </c>
      <c r="Q18" s="51">
        <f ca="1">R18-S18</f>
        <v>-6</v>
      </c>
      <c r="R18" s="51">
        <f t="array" aca="1" ref="R18" ca="1">SUM(IF((MschnLinks=$O18)*(MschnRechts&lt;&gt;$O$20),ToreLinks,0))+SUM(IF((MschnLinks&lt;&gt;$O$20)*(MschnRechts=$O18),ToreRechts,0))</f>
        <v>0</v>
      </c>
      <c r="S18" s="51">
        <f t="array" aca="1" ref="S18" ca="1">SUM(IF((MschnLinks=$O18)*(MschnRechts&lt;&gt;$O$20),ToreRechts,0))+SUM(IF((MschnLinks&lt;&gt;$O$20)*(MschnRechts=$O18),ToreLinks,0))</f>
        <v>6</v>
      </c>
      <c r="T18">
        <f ca="1">P18*FaktorPkte+Q18*FaktorTDiff+R18*FaktorTErz</f>
        <v>-600</v>
      </c>
      <c r="U18" s="51">
        <f ca="1">RANK(T18,T$17:T$19,1)</f>
        <v>1</v>
      </c>
      <c r="V18" s="51">
        <f ca="1">IF(AND(Pkte1=Pkte2,Pkte1=Pkte3,Pkte1&lt;&gt;Pkte4),U18,0)</f>
        <v>0</v>
      </c>
      <c r="W18" s="51">
        <f ca="1">IF(AND(T18=T17,T18&lt;&gt;T19,Y18&gt;Y17),1,0)+IF(AND(T18=T19,T18&lt;&gt;T17,AA18&gt;AA19),1,0)</f>
        <v>0</v>
      </c>
      <c r="X18" s="110">
        <f ca="1">IF(V18&gt;0,V18*FaktordirV3+W18*FaktordirV2,0)</f>
        <v>0</v>
      </c>
      <c r="Y18" s="154">
        <f ca="1">SUMIFS(ToreLinks,MschnLinks,$O18,MschnRechts,$O17)+SUMIFS(ToreRechts,MschnLinks,$O17,MschnRechts,$O18)</f>
        <v>0</v>
      </c>
      <c r="Z18" s="231"/>
      <c r="AA18" s="155">
        <f ca="1">SUMIFS(ToreLinks,MschnLinks,$O18,MschnRechts,$O19)+SUMIFS(ToreRechts,MschnLinks,$O19,MschnRechts,$O18)</f>
        <v>0</v>
      </c>
      <c r="AB18" s="110">
        <f ca="1">IF(AND(Pkte1=Pkte2,Pkte1=Pkte3,Pkte1=Pkte4,GanzKoeff1=GanzKoeff2,GanzKoeff1=GanzKoeff3,GanzKoeff1&lt;&gt;GanzKoeff4),U18,0)</f>
        <v>0</v>
      </c>
      <c r="AC18" s="110">
        <f ca="1">IF(AB18&gt;0,AB18*FaktordirV3+W18*FaktordirV2,0)</f>
        <v>0</v>
      </c>
    </row>
    <row r="19" spans="2:29">
      <c r="D19" t="str">
        <f ca="1">Mann3</f>
        <v>Nederland</v>
      </c>
      <c r="E19" s="51"/>
      <c r="F19" s="51">
        <f ca="1">Z19</f>
        <v>2</v>
      </c>
      <c r="G19" s="51"/>
      <c r="H19" s="51">
        <f ca="1">AA19</f>
        <v>3</v>
      </c>
      <c r="I19" s="51"/>
      <c r="J19" s="51">
        <f ca="1">AA28</f>
        <v>2</v>
      </c>
      <c r="L19" s="110">
        <f ca="1">IF(AND(Pkte3=Pkte1,Pkte3&lt;&gt;Pkte2,Pkte3&lt;&gt;Pkte4,F19&gt;F17),1,0)+IF(AND(Pkte3=Pkte2,Pkte3&lt;&gt;Pkte1,Pkte3&lt;&gt;Pkte4,H19&gt;H18),1,0)+IF(AND(Pkte3=Pkte4,Pkte3&lt;&gt;Pkte1,Pkte3&lt;&gt;Pkte2,J19&gt;J20),1,0)</f>
        <v>0</v>
      </c>
      <c r="N19" s="51" t="s">
        <v>68</v>
      </c>
      <c r="O19" t="str">
        <f ca="1">Mann3</f>
        <v>Nederland</v>
      </c>
      <c r="P19" s="51">
        <f t="array" aca="1" ref="P19" ca="1">SUM(IF((MschnLinks=$O19)*(MschnRechts&lt;&gt;$O$20),PkteLinks,0))+SUM(IF((MschnLinks&lt;&gt;$O$20)*(MschnRechts=$O19),PkteRechts,0))</f>
        <v>6</v>
      </c>
      <c r="Q19" s="51">
        <f ca="1">R19-S19</f>
        <v>5</v>
      </c>
      <c r="R19" s="51">
        <f t="array" aca="1" ref="R19" ca="1">SUM(IF((MschnLinks=$O19)*(MschnRechts&lt;&gt;$O$20),ToreLinks,0))+SUM(IF((MschnLinks&lt;&gt;$O$20)*(MschnRechts=$O19),ToreRechts,0))</f>
        <v>5</v>
      </c>
      <c r="S19" s="51">
        <f t="array" aca="1" ref="S19" ca="1">SUM(IF((MschnLinks=$O19)*(MschnRechts&lt;&gt;$O$20),ToreRechts,0))+SUM(IF((MschnLinks&lt;&gt;$O$20)*(MschnRechts=$O19),ToreLinks,0))</f>
        <v>0</v>
      </c>
      <c r="T19">
        <f ca="1">P19*FaktorPkte+Q19*FaktorTDiff+R19*FaktorTErz</f>
        <v>6000505</v>
      </c>
      <c r="U19" s="51">
        <f ca="1">RANK(T19,T$17:T$19,1)</f>
        <v>3</v>
      </c>
      <c r="V19" s="51">
        <f ca="1">IF(AND(Pkte1=Pkte2,Pkte1=Pkte3,Pkte1&lt;&gt;Pkte4),U19,0)</f>
        <v>0</v>
      </c>
      <c r="W19" s="51">
        <f ca="1">IF(AND(T19=T17,T19&lt;&gt;T18,Z19&gt;Z17),1,0)+IF(AND(T19=T18,T19&lt;&gt;T17,AA19&gt;AA18),1,0)</f>
        <v>0</v>
      </c>
      <c r="X19" s="110">
        <f ca="1">IF(V19&gt;0,V19*FaktordirV3+W19*FaktordirV2,0)</f>
        <v>0</v>
      </c>
      <c r="Y19" s="154"/>
      <c r="Z19" s="231">
        <f ca="1">SUMIFS(ToreLinks,MschnLinks,$O19,MschnRechts,$O17)+SUMIFS(ToreRechts,MschnLinks,$O17,MschnRechts,$O19)</f>
        <v>2</v>
      </c>
      <c r="AA19" s="155">
        <f ca="1">SUMIFS(ToreLinks,MschnLinks,$O19,MschnRechts,$O18)+SUMIFS(ToreRechts,MschnLinks,$O18,MschnRechts,$O19)</f>
        <v>3</v>
      </c>
      <c r="AB19" s="110">
        <f ca="1">IF(AND(Pkte1=Pkte2,Pkte1=Pkte3,Pkte1=Pkte4,GanzKoeff1=GanzKoeff2,GanzKoeff1=GanzKoeff3,GanzKoeff1&lt;&gt;GanzKoeff4),U19,0)</f>
        <v>0</v>
      </c>
      <c r="AC19" s="110">
        <f ca="1">IF(AB19&gt;0,AB19*FaktordirV3+W19*FaktordirV2,0)</f>
        <v>0</v>
      </c>
    </row>
    <row r="20" spans="2:29" ht="15" thickBot="1">
      <c r="D20" t="str">
        <f ca="1">Mann4</f>
        <v>Oekraïne</v>
      </c>
      <c r="E20" s="51"/>
      <c r="F20" s="51"/>
      <c r="G20" s="51">
        <f ca="1">Z24</f>
        <v>1</v>
      </c>
      <c r="H20" s="51"/>
      <c r="I20" s="51">
        <f ca="1">AA24</f>
        <v>2</v>
      </c>
      <c r="J20" s="51">
        <f ca="1">AA29</f>
        <v>1</v>
      </c>
      <c r="L20" s="109">
        <f ca="1">IF(AND(Pkte4=Pkte1,Pkte4&lt;&gt;Pkte2,Pkte4&lt;&gt;Pkte3,G20&gt;G17),1,0)+IF(AND(Pkte4=Pkte2,Pkte4&lt;&gt;Pkte1,Pkte4&lt;&gt;Pkte3,I20&gt;I18),1,0)+IF(AND(Pkte4=Pkte3,Pkte4&lt;&gt;Pkte1,Pkte4&lt;&gt;Pkte2,J20&gt;J19),1,0)</f>
        <v>0</v>
      </c>
      <c r="O20" s="108" t="str">
        <f ca="1">Mann4</f>
        <v>Oekraïne</v>
      </c>
      <c r="P20" s="51"/>
      <c r="Q20" s="51"/>
      <c r="R20" s="51"/>
      <c r="S20" s="51"/>
      <c r="V20" s="51"/>
      <c r="W20" s="51"/>
      <c r="X20" s="110"/>
      <c r="Y20" s="154"/>
      <c r="Z20" s="231"/>
      <c r="AA20" s="155"/>
      <c r="AB20" s="159"/>
      <c r="AC20" s="159"/>
    </row>
    <row r="21" spans="2:29">
      <c r="B21" s="137"/>
      <c r="C21" s="138"/>
      <c r="D21" s="139"/>
      <c r="F21" s="51"/>
      <c r="G21" s="111"/>
      <c r="V21" s="51"/>
      <c r="W21" s="51"/>
      <c r="X21" s="110"/>
      <c r="Y21" s="154"/>
      <c r="Z21" s="231"/>
      <c r="AA21" s="155"/>
      <c r="AB21" s="159"/>
      <c r="AC21" s="159"/>
    </row>
    <row r="22" spans="2:29">
      <c r="B22" s="137"/>
      <c r="C22" s="138"/>
      <c r="D22" s="139"/>
      <c r="F22" s="51"/>
      <c r="G22" s="111"/>
      <c r="N22" s="51" t="s">
        <v>66</v>
      </c>
      <c r="O22" t="str">
        <f ca="1">Mann1</f>
        <v>Oostenrijk</v>
      </c>
      <c r="P22" s="51">
        <f t="array" aca="1" ref="P22" ca="1">SUM(IF((MschnLinks=$O22)*(MschnRechts&lt;&gt;$O$25),PkteLinks,0))+SUM(IF((MschnLinks&lt;&gt;$O$25)*(MschnRechts=$O22),PkteRechts,0))</f>
        <v>3</v>
      </c>
      <c r="Q22" s="51">
        <f ca="1">R22-S22</f>
        <v>2</v>
      </c>
      <c r="R22" s="51">
        <f t="array" aca="1" ref="R22" ca="1">SUM(IF((MschnLinks=$O22)*(MschnRechts&lt;&gt;$O$25),ToreLinks,0))+SUM(IF((MschnLinks&lt;&gt;$O$25)*(MschnRechts=$O22),ToreRechts,0))</f>
        <v>3</v>
      </c>
      <c r="S22" s="51">
        <f t="array" aca="1" ref="S22" ca="1">SUM(IF((MschnLinks=$O22)*(MschnRechts&lt;&gt;$O$25),ToreRechts,0))+SUM(IF((MschnLinks&lt;&gt;$O$25)*(MschnRechts=$O22),ToreLinks,0))</f>
        <v>1</v>
      </c>
      <c r="T22">
        <f ca="1">P22*FaktorPkte+Q22*FaktorTDiff+R22*FaktorTErz</f>
        <v>3000203</v>
      </c>
      <c r="U22" s="51">
        <f ca="1">RANK(T22,T$22:T$24,1)</f>
        <v>2</v>
      </c>
      <c r="V22" s="51">
        <f ca="1">IF(AND(Pkte1=Pkte2,Pkte1=Pkte4,Pkte1&lt;&gt;Pkte3),U22,0)</f>
        <v>0</v>
      </c>
      <c r="W22" s="51">
        <f ca="1">IF(AND(T22=T23,T22&lt;&gt;T24,Y22&gt;Y23),1,0)+IF(AND(T22=T24,T22&lt;&gt;T23,Z22&gt;Z24),1,0)</f>
        <v>0</v>
      </c>
      <c r="X22" s="110">
        <f ca="1">IF(V22&gt;0,V22*FaktordirV3+W22*FaktordirV2,0)</f>
        <v>0</v>
      </c>
      <c r="Y22" s="154">
        <f ca="1">SUMIFS(ToreLinks,MschnLinks,$O22,MschnRechts,$O23)+SUMIFS(ToreRechts,MschnLinks,$O23,MschnRechts,$O22)</f>
        <v>3</v>
      </c>
      <c r="Z22" s="231">
        <f ca="1">SUMIFS(ToreLinks,MschnLinks,$O22,MschnRechts,$O24)+SUMIFS(ToreRechts,MschnLinks,$O24,MschnRechts,$O22)</f>
        <v>0</v>
      </c>
      <c r="AA22" s="155"/>
      <c r="AB22" s="110">
        <f ca="1">IF(AND(Pkte1=Pkte2,Pkte1=Pkte3,Pkte1=Pkte4,GanzKoeff1=GanzKoeff2,GanzKoeff1=GanzKoeff4,GanzKoeff1&lt;&gt;GanzKoeff3),U22,0)</f>
        <v>0</v>
      </c>
      <c r="AC22" s="110">
        <f ca="1">IF(AB22&gt;0,AB22*FaktordirV3+W22*FaktordirV2,0)</f>
        <v>0</v>
      </c>
    </row>
    <row r="23" spans="2:29">
      <c r="B23" s="122"/>
      <c r="C23" s="51"/>
      <c r="F23" s="51"/>
      <c r="G23" s="111"/>
      <c r="N23" s="51" t="s">
        <v>67</v>
      </c>
      <c r="O23" t="str">
        <f ca="1">Mann2</f>
        <v>Noord-Macedonië</v>
      </c>
      <c r="P23" s="51">
        <f t="array" aca="1" ref="P23" ca="1">SUM(IF((MschnLinks=$O23)*(MschnRechts&lt;&gt;$O$25),PkteLinks,0))+SUM(IF((MschnLinks&lt;&gt;$O$25)*(MschnRechts=$O23),PkteRechts,0))</f>
        <v>0</v>
      </c>
      <c r="Q23" s="51">
        <f ca="1">R23-S23</f>
        <v>-5</v>
      </c>
      <c r="R23" s="51">
        <f t="array" aca="1" ref="R23" ca="1">SUM(IF((MschnLinks=$O23)*(MschnRechts&lt;&gt;$O$25),ToreLinks,0))+SUM(IF((MschnLinks&lt;&gt;$O$25)*(MschnRechts=$O23),ToreRechts,0))</f>
        <v>0</v>
      </c>
      <c r="S23" s="51">
        <f t="array" aca="1" ref="S23" ca="1">SUM(IF((MschnLinks=$O23)*(MschnRechts&lt;&gt;$O$25),ToreRechts,0))+SUM(IF((MschnLinks&lt;&gt;$O$25)*(MschnRechts=$O23),ToreLinks,0))</f>
        <v>5</v>
      </c>
      <c r="T23">
        <f ca="1">P23*FaktorPkte+Q23*FaktorTDiff+R23*FaktorTErz</f>
        <v>-500</v>
      </c>
      <c r="U23" s="51">
        <f ca="1">RANK(T23,T$22:T$24,1)</f>
        <v>1</v>
      </c>
      <c r="V23" s="51">
        <f ca="1">IF(AND(Pkte1=Pkte2,Pkte1=Pkte4,Pkte1&lt;&gt;Pkte3),U23,0)</f>
        <v>0</v>
      </c>
      <c r="W23" s="51">
        <f ca="1">IF(AND(T23=T22,T23&lt;&gt;T24,Y23&gt;Y22),1,0)+IF(AND(T23=T24,T23&lt;&gt;T22,AA23&gt;AA24),1,0)</f>
        <v>0</v>
      </c>
      <c r="X23" s="110">
        <f ca="1">IF(V23&gt;0,V23*FaktordirV3+W23*FaktordirV2,0)</f>
        <v>0</v>
      </c>
      <c r="Y23" s="154">
        <f ca="1">SUMIFS(ToreLinks,MschnLinks,$O23,MschnRechts,$O22)+SUMIFS(ToreRechts,MschnLinks,$O22,MschnRechts,$O23)</f>
        <v>0</v>
      </c>
      <c r="Z23" s="231"/>
      <c r="AA23" s="155">
        <f ca="1">SUMIFS(ToreLinks,MschnLinks,$O23,MschnRechts,$O24)+SUMIFS(ToreRechts,MschnLinks,$O24,MschnRechts,$O23)</f>
        <v>0</v>
      </c>
      <c r="AB23" s="110">
        <f ca="1">IF(AND(Pkte1=Pkte2,Pkte1=Pkte3,Pkte1=Pkte4,GanzKoeff1=GanzKoeff2,GanzKoeff1=GanzKoeff4,GanzKoeff1&lt;&gt;GanzKoeff3),U23,0)</f>
        <v>0</v>
      </c>
      <c r="AC23" s="110">
        <f ca="1">IF(AB23&gt;0,AB23*FaktordirV3+W23*FaktordirV2,0)</f>
        <v>0</v>
      </c>
    </row>
    <row r="24" spans="2:29">
      <c r="B24" s="122"/>
      <c r="C24" s="51"/>
      <c r="F24" s="51"/>
      <c r="G24" s="111"/>
      <c r="N24" s="51" t="s">
        <v>68</v>
      </c>
      <c r="O24" t="str">
        <f ca="1">Mann4</f>
        <v>Oekraïne</v>
      </c>
      <c r="P24" s="51">
        <f t="array" aca="1" ref="P24" ca="1">SUM(IF((MschnLinks=$O24)*(MschnRechts&lt;&gt;$O$25),PkteLinks,0))+SUM(IF((MschnLinks&lt;&gt;$O$25)*(MschnRechts=$O24),PkteRechts,0))</f>
        <v>6</v>
      </c>
      <c r="Q24" s="51">
        <f ca="1">R24-S24</f>
        <v>3</v>
      </c>
      <c r="R24" s="51">
        <f t="array" aca="1" ref="R24" ca="1">SUM(IF((MschnLinks=$O24)*(MschnRechts&lt;&gt;$O$25),ToreLinks,0))+SUM(IF((MschnLinks&lt;&gt;$O$25)*(MschnRechts=$O24),ToreRechts,0))</f>
        <v>3</v>
      </c>
      <c r="S24" s="51">
        <f t="array" aca="1" ref="S24" ca="1">SUM(IF((MschnLinks=$O24)*(MschnRechts&lt;&gt;$O$25),ToreRechts,0))+SUM(IF((MschnLinks&lt;&gt;$O$25)*(MschnRechts=$O24),ToreLinks,0))</f>
        <v>0</v>
      </c>
      <c r="T24">
        <f ca="1">P24*FaktorPkte+Q24*FaktorTDiff+R24*FaktorTErz</f>
        <v>6000303</v>
      </c>
      <c r="U24" s="51">
        <f ca="1">RANK(T24,T$22:T$24,1)</f>
        <v>3</v>
      </c>
      <c r="V24" s="51">
        <f ca="1">IF(AND(Pkte1=Pkte2,Pkte1=Pkte4,Pkte1&lt;&gt;Pkte3),U24,0)</f>
        <v>0</v>
      </c>
      <c r="W24" s="51">
        <f ca="1">IF(AND(T24=T22,T24&lt;&gt;T23,Z24&gt;Z22),1,0)+IF(AND(T24=T23,T24&lt;&gt;T22,AA24&gt;AA23),1,0)</f>
        <v>0</v>
      </c>
      <c r="X24" s="110">
        <f ca="1">IF(V24&gt;0,V24*FaktordirV3+W24*FaktordirV2,0)</f>
        <v>0</v>
      </c>
      <c r="Y24" s="154"/>
      <c r="Z24" s="231">
        <f ca="1">SUMIFS(ToreLinks,MschnLinks,$O24,MschnRechts,$O22)+SUMIFS(ToreRechts,MschnLinks,$O22,MschnRechts,$O24)</f>
        <v>1</v>
      </c>
      <c r="AA24" s="155">
        <f ca="1">SUMIFS(ToreLinks,MschnLinks,$O24,MschnRechts,$O23)+SUMIFS(ToreRechts,MschnLinks,$O23,MschnRechts,$O24)</f>
        <v>2</v>
      </c>
      <c r="AB24" s="110">
        <f ca="1">IF(AND(Pkte1=Pkte2,Pkte1=Pkte3,Pkte1=Pkte4,GanzKoeff1=GanzKoeff2,GanzKoeff1=GanzKoeff4,GanzKoeff1&lt;&gt;GanzKoeff3),U24,0)</f>
        <v>0</v>
      </c>
      <c r="AC24" s="110">
        <f ca="1">IF(AB24&gt;0,AB24*FaktordirV3+W24*FaktordirV2,0)</f>
        <v>0</v>
      </c>
    </row>
    <row r="25" spans="2:29">
      <c r="B25" s="122"/>
      <c r="C25" s="51"/>
      <c r="F25" s="51"/>
      <c r="G25" s="111"/>
      <c r="O25" s="108" t="str">
        <f ca="1">Mann3</f>
        <v>Nederland</v>
      </c>
      <c r="P25" s="51"/>
      <c r="Q25" s="51"/>
      <c r="R25" s="51"/>
      <c r="S25" s="51"/>
      <c r="V25" s="51"/>
      <c r="W25" s="51"/>
      <c r="X25" s="110"/>
      <c r="Y25" s="154"/>
      <c r="Z25" s="231"/>
      <c r="AA25" s="155"/>
      <c r="AB25" s="159"/>
      <c r="AC25" s="159"/>
    </row>
    <row r="26" spans="2:29">
      <c r="B26" s="122"/>
      <c r="C26" s="51"/>
      <c r="F26" s="51"/>
      <c r="G26" s="111"/>
      <c r="V26" s="51"/>
      <c r="W26" s="51"/>
      <c r="X26" s="110"/>
      <c r="Y26" s="154"/>
      <c r="Z26" s="231"/>
      <c r="AA26" s="155"/>
      <c r="AB26" s="159"/>
      <c r="AC26" s="159"/>
    </row>
    <row r="27" spans="2:29">
      <c r="N27" s="51" t="s">
        <v>66</v>
      </c>
      <c r="O27" t="str">
        <f ca="1">Mann1</f>
        <v>Oostenrijk</v>
      </c>
      <c r="P27" s="51">
        <f t="array" aca="1" ref="P27" ca="1">SUM(IF((MschnLinks=$O27)*(MschnRechts&lt;&gt;$O$30),PkteLinks,0))+SUM(IF((MschnLinks&lt;&gt;$O$30)*(MschnRechts=$O27),PkteRechts,0))</f>
        <v>0</v>
      </c>
      <c r="Q27" s="51">
        <f ca="1">R27-S27</f>
        <v>-3</v>
      </c>
      <c r="R27" s="51">
        <f t="array" aca="1" ref="R27" ca="1">SUM(IF((MschnLinks=$O27)*(MschnRechts&lt;&gt;$O$30),ToreLinks,0))+SUM(IF((MschnLinks&lt;&gt;$O$30)*(MschnRechts=$O27),ToreRechts,0))</f>
        <v>0</v>
      </c>
      <c r="S27" s="51">
        <f t="array" aca="1" ref="S27" ca="1">SUM(IF((MschnLinks=$O27)*(MschnRechts&lt;&gt;$O$30),ToreRechts,0))+SUM(IF((MschnLinks&lt;&gt;$O$30)*(MschnRechts=$O27),ToreLinks,0))</f>
        <v>3</v>
      </c>
      <c r="T27">
        <f ca="1">P27*FaktorPkte+Q27*FaktorTDiff+R27*FaktorTErz</f>
        <v>-300</v>
      </c>
      <c r="U27" s="51">
        <f ca="1">RANK(T27,T$27:T$29,1)</f>
        <v>1</v>
      </c>
      <c r="V27" s="51">
        <f ca="1">IF(AND(Pkte1=Pkte3,Pkte1=Pkte4,Pkte1&lt;&gt;Pkte2),U27,0)</f>
        <v>0</v>
      </c>
      <c r="W27" s="51">
        <f ca="1">IF(AND(T27=T28,T27&lt;&gt;T29,Y27&gt;Y28),1,0)+IF(AND(T27=T29,T27&lt;&gt;T28,Z27&gt;Z29),1,0)</f>
        <v>0</v>
      </c>
      <c r="X27" s="110">
        <f ca="1">IF(V27&gt;0,V27*FaktordirV3+W27*FaktordirV2,0)</f>
        <v>0</v>
      </c>
      <c r="Y27" s="154">
        <f ca="1">SUMIFS(ToreLinks,MschnLinks,$O27,MschnRechts,$O28)+SUMIFS(ToreRechts,MschnLinks,$O28,MschnRechts,$O27)</f>
        <v>0</v>
      </c>
      <c r="Z27" s="231">
        <f ca="1">SUMIFS(ToreLinks,MschnLinks,$O27,MschnRechts,$O29)+SUMIFS(ToreRechts,MschnLinks,$O29,MschnRechts,$O27)</f>
        <v>0</v>
      </c>
      <c r="AA27" s="155"/>
      <c r="AB27" s="110">
        <f ca="1">IF(AND(Pkte1=Pkte2,Pkte1=Pkte3,Pkte1=Pkte4,GanzKoeff1=GanzKoeff3,GanzKoeff1=GanzKoeff4,GanzKoeff1&lt;&gt;GanzKoeff2),U27,0)</f>
        <v>0</v>
      </c>
      <c r="AC27" s="110">
        <f ca="1">IF(AB27&gt;0,AB27*FaktordirV3+W27*FaktordirV2,0)</f>
        <v>0</v>
      </c>
    </row>
    <row r="28" spans="2:29">
      <c r="N28" s="51" t="s">
        <v>67</v>
      </c>
      <c r="O28" t="str">
        <f ca="1">Mann3</f>
        <v>Nederland</v>
      </c>
      <c r="P28" s="51">
        <f t="array" aca="1" ref="P28" ca="1">SUM(IF((MschnLinks=$O28)*(MschnRechts&lt;&gt;$O$30),PkteLinks,0))+SUM(IF((MschnLinks&lt;&gt;$O$30)*(MschnRechts=$O28),PkteRechts,0))</f>
        <v>6</v>
      </c>
      <c r="Q28" s="51">
        <f ca="1">R28-S28</f>
        <v>3</v>
      </c>
      <c r="R28" s="51">
        <f t="array" aca="1" ref="R28" ca="1">SUM(IF((MschnLinks=$O28)*(MschnRechts&lt;&gt;$O$30),ToreLinks,0))+SUM(IF((MschnLinks&lt;&gt;$O$30)*(MschnRechts=$O28),ToreRechts,0))</f>
        <v>4</v>
      </c>
      <c r="S28" s="51">
        <f t="array" aca="1" ref="S28" ca="1">SUM(IF((MschnLinks=$O28)*(MschnRechts&lt;&gt;$O$30),ToreRechts,0))+SUM(IF((MschnLinks&lt;&gt;$O$30)*(MschnRechts=$O28),ToreLinks,0))</f>
        <v>1</v>
      </c>
      <c r="T28">
        <f ca="1">P28*FaktorPkte+Q28*FaktorTDiff+R28*FaktorTErz</f>
        <v>6000304</v>
      </c>
      <c r="U28" s="51">
        <f ca="1">RANK(T28,T$27:T$29,1)</f>
        <v>3</v>
      </c>
      <c r="V28" s="51">
        <f ca="1">IF(AND(Pkte1=Pkte3,Pkte1=Pkte4,Pkte1&lt;&gt;Pkte2),U28,0)</f>
        <v>0</v>
      </c>
      <c r="W28" s="51">
        <f ca="1">IF(AND(T28=T27,T28&lt;&gt;T29,Y28&gt;Y27),1,0)+IF(AND(T28=T29,T28&lt;&gt;T27,AA28&gt;AA29),1,0)</f>
        <v>0</v>
      </c>
      <c r="X28" s="110">
        <f ca="1">IF(V28&gt;0,V28*FaktordirV3+W28*FaktordirV2,0)</f>
        <v>0</v>
      </c>
      <c r="Y28" s="154">
        <f ca="1">SUMIFS(ToreLinks,MschnLinks,$O28,MschnRechts,$O27)+SUMIFS(ToreRechts,MschnLinks,$O27,MschnRechts,$O28)</f>
        <v>2</v>
      </c>
      <c r="Z28" s="231"/>
      <c r="AA28" s="155">
        <f ca="1">SUMIFS(ToreLinks,MschnLinks,$O28,MschnRechts,$O29)+SUMIFS(ToreRechts,MschnLinks,$O29,MschnRechts,$O28)</f>
        <v>2</v>
      </c>
      <c r="AB28" s="110">
        <f ca="1">IF(AND(Pkte1=Pkte2,Pkte1=Pkte3,Pkte1=Pkte4,GanzKoeff1=GanzKoeff3,GanzKoeff1=GanzKoeff4,GanzKoeff1&lt;&gt;GanzKoeff2),U28,0)</f>
        <v>0</v>
      </c>
      <c r="AC28" s="110">
        <f ca="1">IF(AB28&gt;0,AB28*FaktordirV3+W28*FaktordirV2,0)</f>
        <v>0</v>
      </c>
    </row>
    <row r="29" spans="2:29">
      <c r="N29" s="51" t="s">
        <v>68</v>
      </c>
      <c r="O29" t="str">
        <f ca="1">Mann4</f>
        <v>Oekraïne</v>
      </c>
      <c r="P29" s="51">
        <f t="array" aca="1" ref="P29" ca="1">SUM(IF((MschnLinks=$O29)*(MschnRechts&lt;&gt;$O$30),PkteLinks,0))+SUM(IF((MschnLinks&lt;&gt;$O$30)*(MschnRechts=$O29),PkteRechts,0))</f>
        <v>3</v>
      </c>
      <c r="Q29" s="51">
        <f ca="1">R29-S29</f>
        <v>0</v>
      </c>
      <c r="R29" s="51">
        <f t="array" aca="1" ref="R29" ca="1">SUM(IF((MschnLinks=$O29)*(MschnRechts&lt;&gt;$O$30),ToreLinks,0))+SUM(IF((MschnLinks&lt;&gt;$O$30)*(MschnRechts=$O29),ToreRechts,0))</f>
        <v>2</v>
      </c>
      <c r="S29" s="51">
        <f t="array" aca="1" ref="S29" ca="1">SUM(IF((MschnLinks=$O29)*(MschnRechts&lt;&gt;$O$30),ToreRechts,0))+SUM(IF((MschnLinks&lt;&gt;$O$30)*(MschnRechts=$O29),ToreLinks,0))</f>
        <v>2</v>
      </c>
      <c r="T29">
        <f ca="1">P29*FaktorPkte+Q29*FaktorTDiff+R29*FaktorTErz</f>
        <v>3000002</v>
      </c>
      <c r="U29" s="51">
        <f ca="1">RANK(T29,T$27:T$29,1)</f>
        <v>2</v>
      </c>
      <c r="V29" s="51">
        <f ca="1">IF(AND(Pkte1=Pkte3,Pkte1=Pkte4,Pkte1&lt;&gt;Pkte2),U29,0)</f>
        <v>0</v>
      </c>
      <c r="W29" s="51">
        <f ca="1">IF(AND(T29=T27,T29&lt;&gt;T28,Z29&gt;Z27),1,0)+IF(AND(T29=T28,T29&lt;&gt;T27,AA29&gt;AA28),1,0)</f>
        <v>0</v>
      </c>
      <c r="X29" s="110">
        <f ca="1">IF(V29&gt;0,V29*FaktordirV3+W29*FaktordirV2,0)</f>
        <v>0</v>
      </c>
      <c r="Y29" s="154"/>
      <c r="Z29" s="231">
        <f ca="1">SUMIFS(ToreLinks,MschnLinks,$O29,MschnRechts,$O27)+SUMIFS(ToreRechts,MschnLinks,$O27,MschnRechts,$O29)</f>
        <v>1</v>
      </c>
      <c r="AA29" s="155">
        <f ca="1">SUMIFS(ToreLinks,MschnLinks,$O29,MschnRechts,$O28)+SUMIFS(ToreRechts,MschnLinks,$O28,MschnRechts,$O29)</f>
        <v>1</v>
      </c>
      <c r="AB29" s="110">
        <f ca="1">IF(AND(Pkte1=Pkte2,Pkte1=Pkte3,Pkte1=Pkte4,GanzKoeff1=GanzKoeff3,GanzKoeff1=GanzKoeff4,GanzKoeff1&lt;&gt;GanzKoeff2),U29,0)</f>
        <v>0</v>
      </c>
      <c r="AC29" s="110">
        <f ca="1">IF(AB29&gt;0,AB29*FaktordirV3+W29*FaktordirV2,0)</f>
        <v>0</v>
      </c>
    </row>
    <row r="30" spans="2:29">
      <c r="O30" s="108" t="str">
        <f ca="1">Mann2</f>
        <v>Noord-Macedonië</v>
      </c>
      <c r="P30" s="51"/>
      <c r="Q30" s="51"/>
      <c r="R30" s="51"/>
      <c r="S30" s="51"/>
      <c r="V30" s="51"/>
      <c r="W30" s="51"/>
      <c r="X30" s="110"/>
      <c r="Y30" s="154"/>
      <c r="Z30" s="231"/>
      <c r="AA30" s="155"/>
      <c r="AB30" s="159"/>
      <c r="AC30" s="159"/>
    </row>
    <row r="31" spans="2:29">
      <c r="V31" s="51"/>
      <c r="W31" s="51"/>
      <c r="X31" s="110"/>
      <c r="Y31" s="154"/>
      <c r="Z31" s="231"/>
      <c r="AA31" s="155"/>
      <c r="AB31" s="159"/>
      <c r="AC31" s="159"/>
    </row>
    <row r="32" spans="2:29">
      <c r="N32" s="51" t="s">
        <v>66</v>
      </c>
      <c r="O32" t="str">
        <f ca="1">Mann2</f>
        <v>Noord-Macedonië</v>
      </c>
      <c r="P32" s="51">
        <f t="array" aca="1" ref="P32" ca="1">SUM(IF((MschnLinks=$O32)*(MschnRechts&lt;&gt;$O$35),PkteLinks,0))+SUM(IF((MschnLinks&lt;&gt;$O$35)*(MschnRechts=$O32),PkteRechts,0))</f>
        <v>0</v>
      </c>
      <c r="Q32" s="51">
        <f ca="1">R32-S32</f>
        <v>-5</v>
      </c>
      <c r="R32" s="51">
        <f t="array" aca="1" ref="R32" ca="1">SUM(IF((MschnLinks=$O32)*(MschnRechts&lt;&gt;$O$35),ToreLinks,0))+SUM(IF((MschnLinks&lt;&gt;$O$35)*(MschnRechts=$O32),ToreRechts,0))</f>
        <v>0</v>
      </c>
      <c r="S32" s="51">
        <f t="array" aca="1" ref="S32" ca="1">SUM(IF((MschnLinks=$O32)*(MschnRechts&lt;&gt;$O$35),ToreRechts,0))+SUM(IF((MschnLinks&lt;&gt;$O$35)*(MschnRechts=$O32),ToreLinks,0))</f>
        <v>5</v>
      </c>
      <c r="T32">
        <f ca="1">P32*FaktorPkte+Q32*FaktorTDiff+R32*FaktorTErz</f>
        <v>-500</v>
      </c>
      <c r="U32" s="51">
        <f ca="1">RANK(T32,T$32:T$34,1)</f>
        <v>1</v>
      </c>
      <c r="V32" s="51">
        <f ca="1">IF(AND(Pkte2=Pkte3,Pkte2=Pkte4,Pkte2&lt;&gt;Pkte1),U32,0)</f>
        <v>0</v>
      </c>
      <c r="W32" s="51">
        <f ca="1">IF(AND(T32=T33,T32&lt;&gt;T34,Y32&gt;Y33),1,0)+IF(AND(T32=T34,T32&lt;&gt;T33,Z32&gt;Z34),1,0)</f>
        <v>0</v>
      </c>
      <c r="X32" s="110">
        <f ca="1">IF(V32&gt;0,V32*FaktordirV3+W32*FaktordirV2,0)</f>
        <v>0</v>
      </c>
      <c r="Y32" s="154">
        <f ca="1">SUMIFS(ToreLinks,MschnLinks,$O32,MschnRechts,$O33)+SUMIFS(ToreRechts,MschnLinks,$O33,MschnRechts,$O32)</f>
        <v>0</v>
      </c>
      <c r="Z32" s="231">
        <f ca="1">SUMIFS(ToreLinks,MschnLinks,$O32,MschnRechts,$O34)+SUMIFS(ToreRechts,MschnLinks,$O34,MschnRechts,$O32)</f>
        <v>0</v>
      </c>
      <c r="AA32" s="155"/>
      <c r="AB32" s="110">
        <f ca="1">IF(AND(Pkte1=Pkte2,Pkte1=Pkte3,Pkte1=Pkte4,GanzKoeff2=GanzKoeff3,GanzKoeff2=GanzKoeff4,GanzKoeff2&lt;&gt;GanzKoeff1),U32,0)</f>
        <v>0</v>
      </c>
      <c r="AC32" s="110">
        <f ca="1">IF(AB32&gt;0,AB32*FaktordirV3+W32*FaktordirV2,0)</f>
        <v>0</v>
      </c>
    </row>
    <row r="33" spans="14:29">
      <c r="N33" s="51" t="s">
        <v>67</v>
      </c>
      <c r="O33" t="str">
        <f ca="1">Mann3</f>
        <v>Nederland</v>
      </c>
      <c r="P33" s="51">
        <f t="array" aca="1" ref="P33" ca="1">SUM(IF((MschnLinks=$O33)*(MschnRechts&lt;&gt;$O$35),PkteLinks,0))+SUM(IF((MschnLinks&lt;&gt;$O$35)*(MschnRechts=$O33),PkteRechts,0))</f>
        <v>6</v>
      </c>
      <c r="Q33" s="51">
        <f ca="1">R33-S33</f>
        <v>4</v>
      </c>
      <c r="R33" s="51">
        <f t="array" aca="1" ref="R33" ca="1">SUM(IF((MschnLinks=$O33)*(MschnRechts&lt;&gt;$O$35),ToreLinks,0))+SUM(IF((MschnLinks&lt;&gt;$O$35)*(MschnRechts=$O33),ToreRechts,0))</f>
        <v>5</v>
      </c>
      <c r="S33" s="51">
        <f t="array" aca="1" ref="S33" ca="1">SUM(IF((MschnLinks=$O33)*(MschnRechts&lt;&gt;$O$35),ToreRechts,0))+SUM(IF((MschnLinks&lt;&gt;$O$35)*(MschnRechts=$O33),ToreLinks,0))</f>
        <v>1</v>
      </c>
      <c r="T33">
        <f ca="1">P33*FaktorPkte+Q33*FaktorTDiff+R33*FaktorTErz</f>
        <v>6000405</v>
      </c>
      <c r="U33" s="51">
        <f ca="1">RANK(T33,T$32:T$34,1)</f>
        <v>3</v>
      </c>
      <c r="V33" s="51">
        <f ca="1">IF(AND(Pkte2=Pkte3,Pkte2=Pkte4,Pkte2&lt;&gt;Pkte1),U33,0)</f>
        <v>0</v>
      </c>
      <c r="W33" s="51">
        <f ca="1">IF(AND(T33=T32,T33&lt;&gt;T34,Y33&gt;Y32),1,0)+IF(AND(T33=T34,T33&lt;&gt;T32,AA33&gt;AA34),1,0)</f>
        <v>0</v>
      </c>
      <c r="X33" s="110">
        <f ca="1">IF(V33&gt;0,V33*FaktordirV3+W33*FaktordirV2,0)</f>
        <v>0</v>
      </c>
      <c r="Y33" s="154">
        <f ca="1">SUMIFS(ToreLinks,MschnLinks,$O33,MschnRechts,$O32)+SUMIFS(ToreRechts,MschnLinks,$O32,MschnRechts,$O33)</f>
        <v>3</v>
      </c>
      <c r="Z33" s="231"/>
      <c r="AA33" s="155">
        <f ca="1">SUMIFS(ToreLinks,MschnLinks,$O33,MschnRechts,$O34)+SUMIFS(ToreRechts,MschnLinks,$O34,MschnRechts,$O33)</f>
        <v>2</v>
      </c>
      <c r="AB33" s="110">
        <f ca="1">IF(AND(Pkte1=Pkte2,Pkte1=Pkte3,Pkte1=Pkte4,GanzKoeff2=GanzKoeff3,GanzKoeff2=GanzKoeff4,GanzKoeff2&lt;&gt;GanzKoeff1),U33,0)</f>
        <v>0</v>
      </c>
      <c r="AC33" s="110">
        <f ca="1">IF(AB33&gt;0,AB33*FaktordirV3+W33*FaktordirV2,0)</f>
        <v>0</v>
      </c>
    </row>
    <row r="34" spans="14:29" ht="15" thickBot="1">
      <c r="N34" s="51" t="s">
        <v>68</v>
      </c>
      <c r="O34" t="str">
        <f ca="1">Mann4</f>
        <v>Oekraïne</v>
      </c>
      <c r="P34" s="51">
        <f t="array" aca="1" ref="P34" ca="1">SUM(IF((MschnLinks=$O34)*(MschnRechts&lt;&gt;$O$35),PkteLinks,0))+SUM(IF((MschnLinks&lt;&gt;$O$35)*(MschnRechts=$O34),PkteRechts,0))</f>
        <v>3</v>
      </c>
      <c r="Q34" s="51">
        <f ca="1">R34-S34</f>
        <v>1</v>
      </c>
      <c r="R34" s="51">
        <f t="array" aca="1" ref="R34" ca="1">SUM(IF((MschnLinks=$O34)*(MschnRechts&lt;&gt;$O$35),ToreLinks,0))+SUM(IF((MschnLinks&lt;&gt;$O$35)*(MschnRechts=$O34),ToreRechts,0))</f>
        <v>3</v>
      </c>
      <c r="S34" s="51">
        <f t="array" aca="1" ref="S34" ca="1">SUM(IF((MschnLinks=$O34)*(MschnRechts&lt;&gt;$O$35),ToreRechts,0))+SUM(IF((MschnLinks&lt;&gt;$O$35)*(MschnRechts=$O34),ToreLinks,0))</f>
        <v>2</v>
      </c>
      <c r="T34">
        <f ca="1">P34*FaktorPkte+Q34*FaktorTDiff+R34*FaktorTErz</f>
        <v>3000103</v>
      </c>
      <c r="U34" s="51">
        <f ca="1">RANK(T34,T$32:T$34,1)</f>
        <v>2</v>
      </c>
      <c r="V34" s="51">
        <f ca="1">IF(AND(Pkte2=Pkte3,Pkte2=Pkte4,Pkte2&lt;&gt;Pkte1),U34,0)</f>
        <v>0</v>
      </c>
      <c r="W34" s="51">
        <f ca="1">IF(AND(T34=T32,T34&lt;&gt;T33,Z34&gt;Z32),1,0)+IF(AND(T34=T33,T34&lt;&gt;T32,AA34&gt;AA33),1,0)</f>
        <v>0</v>
      </c>
      <c r="X34" s="109">
        <f ca="1">IF(V34&gt;0,V34*FaktordirV3+W34*FaktordirV2,0)</f>
        <v>0</v>
      </c>
      <c r="Y34" s="156"/>
      <c r="Z34" s="157">
        <f ca="1">SUMIFS(ToreLinks,MschnLinks,$O34,MschnRechts,$O32)+SUMIFS(ToreRechts,MschnLinks,$O32,MschnRechts,$O34)</f>
        <v>2</v>
      </c>
      <c r="AA34" s="158">
        <f ca="1">SUMIFS(ToreLinks,MschnLinks,$O34,MschnRechts,$O33)+SUMIFS(ToreRechts,MschnLinks,$O33,MschnRechts,$O34)</f>
        <v>1</v>
      </c>
      <c r="AB34" s="110">
        <f ca="1">IF(AND(Pkte1=Pkte2,Pkte1=Pkte3,Pkte1=Pkte4,GanzKoeff2=GanzKoeff3,GanzKoeff2=GanzKoeff4,GanzKoeff2&lt;&gt;GanzKoeff1),U34,0)</f>
        <v>0</v>
      </c>
      <c r="AC34" s="109">
        <f ca="1">IF(AB34&gt;0,AB34*FaktordirV3+W34*FaktordirV2,0)</f>
        <v>0</v>
      </c>
    </row>
    <row r="35" spans="14:29">
      <c r="O35" s="108" t="str">
        <f ca="1">Mann1</f>
        <v>Oostenrijk</v>
      </c>
      <c r="P35" s="51"/>
      <c r="Q35" s="51"/>
      <c r="R35" s="51"/>
      <c r="S35" s="51"/>
    </row>
  </sheetData>
  <mergeCells count="6">
    <mergeCell ref="Y16:AA16"/>
    <mergeCell ref="B3:D3"/>
    <mergeCell ref="E3:G3"/>
    <mergeCell ref="H3:I3"/>
    <mergeCell ref="J3:L3"/>
    <mergeCell ref="E16:J16"/>
  </mergeCells>
  <dataValidations count="1">
    <dataValidation type="custom" showInputMessage="1" showErrorMessage="1" error="hbFehler" sqref="D13" xr:uid="{ADAEFB03-336A-45AD-BCF2-8046EC6A4A91}">
      <formula1>D12=2</formula1>
    </dataValidation>
  </dataValidations>
  <pageMargins left="0.7" right="0.7" top="0.78740157499999996" bottom="0.78740157499999996"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941E8-1A58-4398-B6E5-4F4FED487DCD}">
  <sheetPr codeName="Tabelle111"/>
  <dimension ref="A1:AH35"/>
  <sheetViews>
    <sheetView workbookViewId="0">
      <selection activeCell="A3" sqref="A3"/>
    </sheetView>
  </sheetViews>
  <sheetFormatPr defaultColWidth="10.88671875" defaultRowHeight="14.4"/>
  <cols>
    <col min="1" max="1" width="9.4414062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3.21875" customWidth="1"/>
    <col min="12" max="12" width="5" customWidth="1"/>
    <col min="13" max="13" width="7.77734375" customWidth="1"/>
    <col min="14" max="14" width="4.44140625" style="51" customWidth="1"/>
    <col min="15" max="15" width="14" customWidth="1"/>
    <col min="20" max="20" width="14.21875" customWidth="1"/>
    <col min="22" max="22" width="10.77734375" customWidth="1"/>
    <col min="25" max="25" width="12.21875" customWidth="1"/>
    <col min="27" max="27" width="12.77734375" customWidth="1"/>
    <col min="28" max="28" width="9" customWidth="1"/>
    <col min="30" max="30" width="11.77734375" customWidth="1"/>
    <col min="31" max="31" width="3.21875" customWidth="1"/>
    <col min="32" max="32" width="4.5546875" customWidth="1"/>
    <col min="33" max="33" width="0.77734375" customWidth="1"/>
    <col min="34" max="34" width="3.5546875" customWidth="1"/>
  </cols>
  <sheetData>
    <row r="1" spans="1:34" ht="23.4">
      <c r="A1" s="136" t="s">
        <v>211</v>
      </c>
      <c r="B1" s="135" t="s">
        <v>102</v>
      </c>
      <c r="D1" s="135" t="s">
        <v>103</v>
      </c>
      <c r="O1" s="130" t="s">
        <v>3</v>
      </c>
    </row>
    <row r="2" spans="1:34" ht="8.25" customHeight="1"/>
    <row r="3" spans="1:34">
      <c r="B3" s="357" t="s">
        <v>89</v>
      </c>
      <c r="C3" s="357"/>
      <c r="D3" s="357"/>
      <c r="E3" s="357" t="s">
        <v>88</v>
      </c>
      <c r="F3" s="357"/>
      <c r="G3" s="357"/>
      <c r="H3" s="357" t="s">
        <v>73</v>
      </c>
      <c r="I3" s="357"/>
      <c r="J3" s="357" t="s">
        <v>85</v>
      </c>
      <c r="K3" s="357"/>
      <c r="L3" s="357"/>
      <c r="M3" s="232" t="s">
        <v>118</v>
      </c>
      <c r="N3" s="128"/>
      <c r="O3" s="127"/>
      <c r="P3" s="129" t="s">
        <v>73</v>
      </c>
      <c r="Q3" s="129" t="s">
        <v>84</v>
      </c>
      <c r="R3" s="129" t="s">
        <v>83</v>
      </c>
      <c r="S3" s="129" t="s">
        <v>82</v>
      </c>
      <c r="T3" s="129" t="s">
        <v>81</v>
      </c>
      <c r="U3" s="140" t="s">
        <v>287</v>
      </c>
      <c r="V3" s="140" t="s">
        <v>288</v>
      </c>
      <c r="W3" s="140" t="s">
        <v>87</v>
      </c>
      <c r="X3" s="140" t="s">
        <v>80</v>
      </c>
      <c r="Y3" s="140" t="s">
        <v>94</v>
      </c>
      <c r="Z3" s="140" t="s">
        <v>95</v>
      </c>
      <c r="AA3" s="140" t="s">
        <v>98</v>
      </c>
      <c r="AC3" s="140" t="s">
        <v>96</v>
      </c>
    </row>
    <row r="4" spans="1:34">
      <c r="B4" s="124" t="str">
        <f ca="1">INDIRECT("'"&amp;$A$1&amp;"'!"&amp;$B$1&amp;"12")</f>
        <v>Engeland</v>
      </c>
      <c r="C4" s="51" t="s">
        <v>76</v>
      </c>
      <c r="D4" s="123" t="str">
        <f ca="1">INDIRECT("'"&amp;$A$1&amp;"'!"&amp;$D$1&amp;"12")</f>
        <v>Kroatië</v>
      </c>
      <c r="E4" s="122">
        <f ca="1">IF(OR(INDIRECT("'"&amp;$A$1&amp;"'!"&amp;$B$1&amp;"13")="",INDIRECT("'"&amp;$A$1&amp;"'!"&amp;$D$1&amp;"13")=""),"",INDIRECT("'"&amp;$A$1&amp;"'!"&amp;$B$1&amp;"13"))</f>
        <v>1</v>
      </c>
      <c r="F4" s="51" t="s">
        <v>75</v>
      </c>
      <c r="G4" s="111">
        <f ca="1">IF(OR(INDIRECT("'"&amp;$A$1&amp;"'!"&amp;$B$1&amp;"13")="",INDIRECT("'"&amp;$A$1&amp;"'!"&amp;$D$1&amp;"13")=""),"",INDIRECT("'"&amp;$A$1&amp;"'!"&amp;$D$1&amp;"13"))</f>
        <v>0</v>
      </c>
      <c r="H4" s="51">
        <f ca="1">IF($M4&gt;0,IF($E4&gt;$G4,3,IF($E4=$G4,1,0)),0)</f>
        <v>3</v>
      </c>
      <c r="I4" s="51">
        <f ca="1">IF($M4&gt;0,IF($E4&lt;$G4,3,IF($E4=$G4,1,0)),0)</f>
        <v>0</v>
      </c>
      <c r="K4" s="51"/>
      <c r="L4" s="111"/>
      <c r="M4" s="111">
        <f ca="1">IF(AND($E4&lt;&gt;"",$G4&lt;&gt;""),1,0)</f>
        <v>1</v>
      </c>
      <c r="N4" s="51" t="s">
        <v>66</v>
      </c>
      <c r="O4" t="str">
        <f ca="1">Mann1</f>
        <v>Engeland</v>
      </c>
      <c r="P4" s="51">
        <f ca="1">SUMIF(MschnLinks,O4,PkteLinks)+SUMIF(MschnRechts,O4,PkteRechts)</f>
        <v>7</v>
      </c>
      <c r="Q4" s="51">
        <f ca="1">R4-S4</f>
        <v>2</v>
      </c>
      <c r="R4" s="51">
        <f ca="1">SUMIF(MschnLinks,$O4,ToreLinks)+SUMIF(MschnRechts,$O4,ToreRechts)</f>
        <v>4</v>
      </c>
      <c r="S4" s="51">
        <f ca="1">SUMIF(MschnLinks,$O4,ToreRechts)+SUMIF(MschnRechts,$O4,ToreLinks)</f>
        <v>2</v>
      </c>
      <c r="T4" s="131">
        <f ca="1">$P4*FaktorPkte+Y4+Z4+AA4+$Q4*FaktorTDiff+$R4*FaktorTErz+V4+U4+W4*FaktorFairPlay+X4*FaktorRngLi</f>
        <v>7000204.0991100008</v>
      </c>
      <c r="U4">
        <f ca="1">IF(AND($X$12&gt;0,OR(AND($B$8=O4,$J$8&gt;$L$8),AND($D$8=O4,$J$8&lt;$L$8))),FaktorElfm,0)</f>
        <v>0</v>
      </c>
      <c r="V4" s="148">
        <f ca="1">IF(AND($X$11&gt;0,OR(AND(LetzteBegLinks=O4,ElfmLinks&gt;ElfmRechts),AND(LetzteBegRechts=O4,ElfmLinks&lt;ElfmRechts))),FaktorElfm,0)</f>
        <v>0</v>
      </c>
      <c r="W4" s="148">
        <f ca="1">99-SUMIFS(FairPlayPkte1,FairPlayMn1,O4)-SUMIFS(FairPlayPkte2,FairPlayMn2,O4)</f>
        <v>99</v>
      </c>
      <c r="X4" s="148">
        <f ca="1">25-INDEX(RngLiRang,MATCH(GrpA!O4,RngLiLand,0))</f>
        <v>11</v>
      </c>
      <c r="Y4" s="126">
        <f ca="1">SUMIFS(DirVergleich3,DirVglMschn,O4)</f>
        <v>0</v>
      </c>
      <c r="Z4" s="126">
        <f ca="1">L17*FaktordirV2</f>
        <v>0</v>
      </c>
      <c r="AA4" s="126">
        <f ca="1">SUMIFS(DirVergleich4,DirVglMschn,O4)</f>
        <v>0</v>
      </c>
      <c r="AC4" s="150">
        <f ca="1">$P4*FaktorPkte+$Q4*FaktorTDiff+$R4*FaktorTErz</f>
        <v>7000204</v>
      </c>
    </row>
    <row r="5" spans="1:34">
      <c r="B5" s="124" t="str">
        <f ca="1">INDIRECT("'"&amp;$A$1&amp;"'!"&amp;$B$1&amp;"17")</f>
        <v>Schotland</v>
      </c>
      <c r="C5" s="51" t="s">
        <v>76</v>
      </c>
      <c r="D5" s="123" t="str">
        <f ca="1">INDIRECT("'"&amp;$A$1&amp;"'!"&amp;$D$1&amp;"17")</f>
        <v>Tsjechië</v>
      </c>
      <c r="E5" s="122">
        <f ca="1">IF(OR(INDIRECT("'"&amp;$A$1&amp;"'!"&amp;$B$1&amp;"18")="",INDIRECT("'"&amp;$A$1&amp;"'!"&amp;$D$1&amp;"18")=""),"",INDIRECT("'"&amp;$A$1&amp;"'!"&amp;$B$1&amp;"18"))</f>
        <v>1</v>
      </c>
      <c r="F5" s="51" t="s">
        <v>75</v>
      </c>
      <c r="G5" s="111">
        <f ca="1">IF(OR(INDIRECT("'"&amp;$A$1&amp;"'!"&amp;$B$1&amp;"18")="",INDIRECT("'"&amp;$A$1&amp;"'!"&amp;$D$1&amp;"18")=""),"",INDIRECT("'"&amp;$A$1&amp;"'!"&amp;$D$1&amp;"18"))</f>
        <v>1</v>
      </c>
      <c r="H5" s="51">
        <f t="shared" ref="H5:H9" ca="1" si="0">IF($M5&gt;0,IF($E5&gt;$G5,3,IF($E5=$G5,1,0)),0)</f>
        <v>1</v>
      </c>
      <c r="I5" s="51">
        <f t="shared" ref="I5:I9" ca="1" si="1">IF($M5&gt;0,IF($E5&lt;$G5,3,IF($E5=$G5,1,0)),0)</f>
        <v>1</v>
      </c>
      <c r="K5" s="51"/>
      <c r="L5" s="111"/>
      <c r="M5" s="111">
        <f t="shared" ref="M5:M9" ca="1" si="2">IF(AND($E5&lt;&gt;"",$G5&lt;&gt;""),1,0)</f>
        <v>1</v>
      </c>
      <c r="N5" s="51" t="s">
        <v>67</v>
      </c>
      <c r="O5" t="str">
        <f ca="1">Mann2</f>
        <v>Kroatië</v>
      </c>
      <c r="P5" s="51">
        <f ca="1">SUMIF(MschnLinks,O5,PkteLinks)+SUMIF(MschnRechts,O5,PkteRechts)</f>
        <v>6</v>
      </c>
      <c r="Q5" s="51">
        <f ca="1">R5-S5</f>
        <v>2</v>
      </c>
      <c r="R5" s="51">
        <f ca="1">SUMIF(MschnLinks,$O5,ToreLinks)+SUMIF(MschnRechts,$O5,ToreRechts)</f>
        <v>3</v>
      </c>
      <c r="S5" s="51">
        <f ca="1">SUMIF(MschnLinks,$O5,ToreRechts)+SUMIF(MschnRechts,$O5,ToreLinks)</f>
        <v>1</v>
      </c>
      <c r="T5" s="131">
        <f ca="1">$P5*FaktorPkte+Y5+Z5+AA5+$Q5*FaktorTDiff+$R5*FaktorTErz+V5+U5+W5*FaktorFairPlay+X5*FaktorRngLi</f>
        <v>6000203.0992300007</v>
      </c>
      <c r="U5">
        <f ca="1">IF(AND($X$12&gt;0,OR(AND($B$8=O5,$J$8&gt;$L$8),AND($D$8=O5,$J$8&lt;$L$8))),FaktorElfm,0)</f>
        <v>0</v>
      </c>
      <c r="V5" s="148">
        <f ca="1">IF(AND($X$11&gt;0,OR(AND(LetzteBegLinks=O5,ElfmLinks&gt;ElfmRechts),AND(LetzteBegRechts=O5,ElfmLinks&lt;ElfmRechts))),FaktorElfm,0)</f>
        <v>0</v>
      </c>
      <c r="W5" s="148">
        <f ca="1">99-SUMIFS(FairPlayPkte1,FairPlayMn1,O5)-SUMIFS(FairPlayPkte2,FairPlayMn2,O5)</f>
        <v>99</v>
      </c>
      <c r="X5" s="148">
        <f ca="1">25-INDEX(RngLiRang,MATCH(GrpA!O5,RngLiLand,0))</f>
        <v>23</v>
      </c>
      <c r="Y5" s="126">
        <f ca="1">SUMIFS(DirVergleich3,DirVglMschn,O5)</f>
        <v>0</v>
      </c>
      <c r="Z5" s="126">
        <f ca="1">L18*FaktordirV2</f>
        <v>0</v>
      </c>
      <c r="AA5" s="126">
        <f ca="1">SUMIFS(DirVergleich4,DirVglMschn,O5)</f>
        <v>0</v>
      </c>
      <c r="AC5" s="150">
        <f ca="1">$P5*FaktorPkte+$Q5*FaktorTDiff+$R5*FaktorTErz</f>
        <v>6000203</v>
      </c>
    </row>
    <row r="6" spans="1:34">
      <c r="B6" s="122" t="str">
        <f ca="1">INDIRECT("'"&amp;$A$1&amp;"'!"&amp;$B$1&amp;"22")</f>
        <v>Kroatië</v>
      </c>
      <c r="C6" s="51" t="s">
        <v>76</v>
      </c>
      <c r="D6" t="str">
        <f ca="1">INDIRECT("'"&amp;$A$1&amp;"'!"&amp;$D$1&amp;"22")</f>
        <v>Tsjechië</v>
      </c>
      <c r="E6" s="122">
        <f ca="1">IF(OR(INDIRECT("'"&amp;$A$1&amp;"'!"&amp;$B$1&amp;"23")="",INDIRECT("'"&amp;$A$1&amp;"'!"&amp;$D$1&amp;"23")=""),"",INDIRECT("'"&amp;$A$1&amp;"'!"&amp;$B$1&amp;"23"))</f>
        <v>1</v>
      </c>
      <c r="F6" s="51" t="s">
        <v>75</v>
      </c>
      <c r="G6" s="111">
        <f ca="1">IF(OR(INDIRECT("'"&amp;$A$1&amp;"'!"&amp;$B$1&amp;"23")="",INDIRECT("'"&amp;$A$1&amp;"'!"&amp;$D$1&amp;"23")=""),"",INDIRECT("'"&amp;$A$1&amp;"'!"&amp;$D$1&amp;"23"))</f>
        <v>0</v>
      </c>
      <c r="H6" s="51">
        <f t="shared" ca="1" si="0"/>
        <v>3</v>
      </c>
      <c r="I6" s="51">
        <f t="shared" ca="1" si="1"/>
        <v>0</v>
      </c>
      <c r="K6" s="51"/>
      <c r="L6" s="111"/>
      <c r="M6" s="111">
        <f t="shared" ca="1" si="2"/>
        <v>1</v>
      </c>
      <c r="N6" s="51" t="s">
        <v>68</v>
      </c>
      <c r="O6" t="str">
        <f ca="1">Mann3</f>
        <v>Schotland</v>
      </c>
      <c r="P6" s="51">
        <f ca="1">SUMIF(MschnLinks,O6,PkteLinks)+SUMIF(MschnRechts,O6,PkteRechts)</f>
        <v>1</v>
      </c>
      <c r="Q6" s="51">
        <f ca="1">R6-S6</f>
        <v>-3</v>
      </c>
      <c r="R6" s="51">
        <f ca="1">SUMIF(MschnLinks,$O6,ToreLinks)+SUMIF(MschnRechts,$O6,ToreRechts)</f>
        <v>2</v>
      </c>
      <c r="S6" s="51">
        <f ca="1">SUMIF(MschnLinks,$O6,ToreRechts)+SUMIF(MschnRechts,$O6,ToreLinks)</f>
        <v>5</v>
      </c>
      <c r="T6" s="131">
        <f ca="1">$P6*FaktorPkte+Y6+Z6+AA6+$Q6*FaktorTDiff+$R6*FaktorTErz+V6+U6+W6*FaktorFairPlay+X6*FaktorRngLi</f>
        <v>999702.09906000004</v>
      </c>
      <c r="U6">
        <f ca="1">IF(AND($X$12&gt;0,OR(AND($B$8=O6,$J$8&gt;$L$8),AND($D$8=O6,$J$8&lt;$L$8))),FaktorElfm,0)</f>
        <v>0</v>
      </c>
      <c r="V6" s="148">
        <f ca="1">IF(AND($X$11&gt;0,OR(AND(LetzteBegLinks=O6,ElfmLinks&gt;ElfmRechts),AND(LetzteBegRechts=O6,ElfmLinks&lt;ElfmRechts))),FaktorElfm,0)</f>
        <v>0</v>
      </c>
      <c r="W6" s="148">
        <f ca="1">99-SUMIFS(FairPlayPkte1,FairPlayMn1,O6)-SUMIFS(FairPlayPkte2,FairPlayMn2,O6)</f>
        <v>99</v>
      </c>
      <c r="X6" s="148">
        <f ca="1">25-INDEX(RngLiRang,MATCH(GrpA!O6,RngLiLand,0))</f>
        <v>6</v>
      </c>
      <c r="Y6" s="126">
        <f ca="1">SUMIFS(DirVergleich3,DirVglMschn,O6)</f>
        <v>0</v>
      </c>
      <c r="Z6" s="126">
        <f ca="1">L19*FaktordirV2</f>
        <v>0</v>
      </c>
      <c r="AA6" s="126">
        <f ca="1">SUMIFS(DirVergleich4,DirVglMschn,O6)</f>
        <v>0</v>
      </c>
      <c r="AC6" s="150">
        <f ca="1">$P6*FaktorPkte+$Q6*FaktorTDiff+$R6*FaktorTErz</f>
        <v>999702</v>
      </c>
    </row>
    <row r="7" spans="1:34">
      <c r="B7" s="122" t="str">
        <f ca="1">INDIRECT("'"&amp;$A$1&amp;"'!"&amp;$B$1&amp;"27")</f>
        <v>Engeland</v>
      </c>
      <c r="C7" s="51" t="s">
        <v>76</v>
      </c>
      <c r="D7" t="str">
        <f ca="1">INDIRECT("'"&amp;$A$1&amp;"'!"&amp;$D$1&amp;"27")</f>
        <v>Schotland</v>
      </c>
      <c r="E7" s="122">
        <f ca="1">IF(OR(INDIRECT("'"&amp;$A$1&amp;"'!"&amp;$B$1&amp;"28")="",INDIRECT("'"&amp;$A$1&amp;"'!"&amp;$D$1&amp;"28")=""),"",INDIRECT("'"&amp;$A$1&amp;"'!"&amp;$B$1&amp;"28"))</f>
        <v>2</v>
      </c>
      <c r="F7" s="51" t="s">
        <v>75</v>
      </c>
      <c r="G7" s="111">
        <f ca="1">IF(OR(INDIRECT("'"&amp;$A$1&amp;"'!"&amp;$B$1&amp;"28")="",INDIRECT("'"&amp;$A$1&amp;"'!"&amp;$D$1&amp;"28")=""),"",INDIRECT("'"&amp;$A$1&amp;"'!"&amp;$D$1&amp;"28"))</f>
        <v>1</v>
      </c>
      <c r="H7" s="51">
        <f t="shared" ca="1" si="0"/>
        <v>3</v>
      </c>
      <c r="I7" s="51">
        <f t="shared" ca="1" si="1"/>
        <v>0</v>
      </c>
      <c r="K7" s="51"/>
      <c r="L7" s="111"/>
      <c r="M7" s="111">
        <f t="shared" ca="1" si="2"/>
        <v>1</v>
      </c>
      <c r="N7" s="51" t="s">
        <v>69</v>
      </c>
      <c r="O7" t="str">
        <f ca="1">Mann4</f>
        <v>Tsjechië</v>
      </c>
      <c r="P7" s="51">
        <f ca="1">SUMIF(MschnLinks,O7,PkteLinks)+SUMIF(MschnRechts,O7,PkteRechts)</f>
        <v>2</v>
      </c>
      <c r="Q7" s="51">
        <f ca="1">R7-S7</f>
        <v>-1</v>
      </c>
      <c r="R7" s="51">
        <f ca="1">SUMIF(MschnLinks,$O7,ToreLinks)+SUMIF(MschnRechts,$O7,ToreRechts)</f>
        <v>2</v>
      </c>
      <c r="S7" s="51">
        <f ca="1">SUMIF(MschnLinks,$O7,ToreRechts)+SUMIF(MschnRechts,$O7,ToreLinks)</f>
        <v>3</v>
      </c>
      <c r="T7" s="131">
        <f ca="1">$P7*FaktorPkte+Y7+Z7+AA7+$Q7*FaktorTDiff+$R7*FaktorTErz+V7+U7+W7*FaktorFairPlay+X7*FaktorRngLi</f>
        <v>1999902.09916</v>
      </c>
      <c r="U7">
        <f ca="1">IF(AND($X$12&gt;0,OR(AND($B$8=O7,$J$8&gt;$L$8),AND($D$8=O7,$J$8&lt;$L$8))),FaktorElfm,0)</f>
        <v>0</v>
      </c>
      <c r="V7" s="148">
        <f ca="1">IF(AND($X$11&gt;0,OR(AND(LetzteBegLinks=O7,ElfmLinks&gt;ElfmRechts),AND(LetzteBegRechts=O7,ElfmLinks&lt;ElfmRechts))),FaktorElfm,0)</f>
        <v>0</v>
      </c>
      <c r="W7" s="148">
        <f ca="1">99-SUMIFS(FairPlayPkte1,FairPlayMn1,O7)-SUMIFS(FairPlayPkte2,FairPlayMn2,O7)</f>
        <v>99</v>
      </c>
      <c r="X7" s="148">
        <f ca="1">25-INDEX(RngLiRang,MATCH(GrpA!O7,RngLiLand,0))</f>
        <v>16</v>
      </c>
      <c r="Y7" s="126">
        <f ca="1">SUMIFS(DirVergleich3,DirVglMschn,O7)</f>
        <v>0</v>
      </c>
      <c r="Z7" s="126">
        <f ca="1">L20*FaktordirV2</f>
        <v>0</v>
      </c>
      <c r="AA7" s="126">
        <f ca="1">SUMIFS(DirVergleich4,DirVglMschn,O7)</f>
        <v>0</v>
      </c>
      <c r="AC7" s="150">
        <f ca="1">$P7*FaktorPkte+$Q7*FaktorTDiff+$R7*FaktorTErz</f>
        <v>1999902</v>
      </c>
    </row>
    <row r="8" spans="1:34">
      <c r="B8" s="122" t="str">
        <f ca="1">INDIRECT("'"&amp;$A$1&amp;"'!"&amp;$B$1&amp;"32")</f>
        <v>Kroatië</v>
      </c>
      <c r="C8" s="51" t="s">
        <v>76</v>
      </c>
      <c r="D8" t="str">
        <f ca="1">INDIRECT("'"&amp;$A$1&amp;"'!"&amp;$D$1&amp;"32")</f>
        <v>Schotland</v>
      </c>
      <c r="E8" s="122">
        <f ca="1">IF(OR(INDIRECT("'"&amp;$A$1&amp;"'!"&amp;$B$1&amp;"33")="",INDIRECT("'"&amp;$A$1&amp;"'!"&amp;$D$1&amp;"33")=""),"",INDIRECT("'"&amp;$A$1&amp;"'!"&amp;$B$1&amp;"33"))</f>
        <v>2</v>
      </c>
      <c r="F8" s="51" t="s">
        <v>75</v>
      </c>
      <c r="G8" s="111">
        <f ca="1">IF(OR(INDIRECT("'"&amp;$A$1&amp;"'!"&amp;$B$1&amp;"33")="",INDIRECT("'"&amp;$A$1&amp;"'!"&amp;$D$1&amp;"33")=""),"",INDIRECT("'"&amp;$A$1&amp;"'!"&amp;$D$1&amp;"33"))</f>
        <v>0</v>
      </c>
      <c r="H8" s="51">
        <f t="shared" ca="1" si="0"/>
        <v>3</v>
      </c>
      <c r="I8" s="51">
        <f t="shared" ca="1" si="1"/>
        <v>0</v>
      </c>
      <c r="J8" s="122" t="str">
        <f ca="1">IF(OR(INDIRECT("'"&amp;$A$1&amp;"'!"&amp;$B$1&amp;"35")="",INDIRECT("'"&amp;$A$1&amp;"'!"&amp;$D$1&amp;"35")=""),"",INDIRECT("'"&amp;$A$1&amp;"'!"&amp;$B$1&amp;"35"))</f>
        <v/>
      </c>
      <c r="K8" s="51" t="s">
        <v>75</v>
      </c>
      <c r="L8" s="111" t="str">
        <f ca="1">IF(OR(INDIRECT("'"&amp;$A$1&amp;"'!"&amp;$B$1&amp;"35")="",INDIRECT("'"&amp;$A$1&amp;"'!"&amp;$D$1&amp;"35")=""),"",INDIRECT("'"&amp;$A$1&amp;"'!"&amp;$D$1&amp;"35"))</f>
        <v/>
      </c>
      <c r="M8" s="111">
        <f t="shared" ca="1" si="2"/>
        <v>1</v>
      </c>
    </row>
    <row r="9" spans="1:34">
      <c r="B9" s="122" t="str">
        <f ca="1">INDIRECT("'"&amp;$A$1&amp;"'!"&amp;$B$1&amp;"39")</f>
        <v>Tsjechië</v>
      </c>
      <c r="C9" s="51" t="s">
        <v>76</v>
      </c>
      <c r="D9" t="str">
        <f ca="1">INDIRECT("'"&amp;$A$1&amp;"'!"&amp;$D$1&amp;"39")</f>
        <v>Engeland</v>
      </c>
      <c r="E9" s="122">
        <f ca="1">IF(OR(INDIRECT("'"&amp;$A$1&amp;"'!"&amp;$B$1&amp;"40")="",INDIRECT("'"&amp;$A$1&amp;"'!"&amp;$D$1&amp;"40")=""),"",INDIRECT("'"&amp;$A$1&amp;"'!"&amp;$B$1&amp;"40"))</f>
        <v>1</v>
      </c>
      <c r="F9" s="51" t="s">
        <v>75</v>
      </c>
      <c r="G9" s="111">
        <f ca="1">IF(OR(INDIRECT("'"&amp;$A$1&amp;"'!"&amp;$B$1&amp;"40")="",INDIRECT("'"&amp;$A$1&amp;"'!"&amp;$D$1&amp;"40")=""),"",INDIRECT("'"&amp;$A$1&amp;"'!"&amp;$D$1&amp;"40"))</f>
        <v>1</v>
      </c>
      <c r="H9" s="51">
        <f t="shared" ca="1" si="0"/>
        <v>1</v>
      </c>
      <c r="I9" s="51">
        <f t="shared" ca="1" si="1"/>
        <v>1</v>
      </c>
      <c r="J9" s="122" t="str">
        <f ca="1">IF(OR(INDIRECT("'"&amp;$A$1&amp;"'!"&amp;$B$1&amp;"42")="",INDIRECT("'"&amp;$A$1&amp;"'!"&amp;$D$1&amp;"42")=""),"",INDIRECT("'"&amp;$A$1&amp;"'!"&amp;$B$1&amp;"42"))</f>
        <v/>
      </c>
      <c r="K9" s="51" t="s">
        <v>75</v>
      </c>
      <c r="L9" s="111" t="str">
        <f ca="1">IF(OR(INDIRECT("'"&amp;$A$1&amp;"'!"&amp;$B$1&amp;"42")="",INDIRECT("'"&amp;$A$1&amp;"'!"&amp;$D$1&amp;"42")=""),"",INDIRECT("'"&amp;$A$1&amp;"'!"&amp;$D$1&amp;"42"))</f>
        <v/>
      </c>
      <c r="M9" s="111">
        <f t="shared" ca="1" si="2"/>
        <v>1</v>
      </c>
    </row>
    <row r="10" spans="1:34" ht="15" thickBot="1">
      <c r="M10" s="186"/>
      <c r="V10" s="149" t="s">
        <v>122</v>
      </c>
      <c r="X10" s="149" t="s">
        <v>85</v>
      </c>
      <c r="Y10" s="51"/>
      <c r="Z10" s="149" t="s">
        <v>119</v>
      </c>
      <c r="AA10" s="51"/>
    </row>
    <row r="11" spans="1:34" ht="15" thickTop="1">
      <c r="N11" s="121" t="s">
        <v>66</v>
      </c>
      <c r="O11" s="120" t="str">
        <f t="shared" ref="O11:S14" ca="1" si="3">INDEX(O$4:O$7,MATCH($T11,$T$4:$T$7,0))</f>
        <v>Engeland</v>
      </c>
      <c r="P11" s="119">
        <f t="shared" ca="1" si="3"/>
        <v>7</v>
      </c>
      <c r="Q11" s="119">
        <f t="shared" ca="1" si="3"/>
        <v>2</v>
      </c>
      <c r="R11" s="119">
        <f t="shared" ca="1" si="3"/>
        <v>4</v>
      </c>
      <c r="S11" s="119">
        <f t="shared" ca="1" si="3"/>
        <v>2</v>
      </c>
      <c r="T11" s="132">
        <f ca="1">LARGE($T$4:$T$7,ROW($T4)-3)</f>
        <v>7000204.0991100008</v>
      </c>
      <c r="V11" s="179">
        <f ca="1">IF(AND(OR(TRUNC($T$11,1)=TRUNC($T$12,1),TRUNC($T$11,1)=TRUNC($T$13,1),TRUNC($T$11,1)=TRUNC($T$14,1),TRUNC($T$12,1)=TRUNC($T$13,1),TRUNC($T$12,1)=TRUNC($T$14,1),TRUNC($T$13,1)=TRUNC($T$14,1)),$Z$11&gt;0),1,0)</f>
        <v>0</v>
      </c>
      <c r="W11" s="226" t="s">
        <v>286</v>
      </c>
      <c r="X11" s="51">
        <f ca="1">IF(AND(VLOOKUP($B$9,$O$4:$AC$7,15,0)=VLOOKUP($D$9,$O$4:$AC$7,15,0),$E$9=$G$9,COUNTIF($P$4:$P$7,VLOOKUP($B$9,$O$4:$P$7,2,0))=2,$M$9&gt;0),1,0)</f>
        <v>0</v>
      </c>
      <c r="Y11" s="51"/>
      <c r="Z11" s="185">
        <f ca="1">SUM($M$4:$M$9)</f>
        <v>6</v>
      </c>
      <c r="AA11" s="51"/>
      <c r="AE11" s="163">
        <f ca="1">P11</f>
        <v>7</v>
      </c>
      <c r="AF11" s="162">
        <f ca="1">R11</f>
        <v>4</v>
      </c>
      <c r="AG11" s="160" t="s">
        <v>75</v>
      </c>
      <c r="AH11" s="161">
        <f ca="1">S11</f>
        <v>2</v>
      </c>
    </row>
    <row r="12" spans="1:34">
      <c r="D12" s="51"/>
      <c r="N12" s="118" t="s">
        <v>67</v>
      </c>
      <c r="O12" s="60" t="str">
        <f t="shared" ca="1" si="3"/>
        <v>Kroatië</v>
      </c>
      <c r="P12" s="231">
        <f t="shared" ca="1" si="3"/>
        <v>6</v>
      </c>
      <c r="Q12" s="231">
        <f t="shared" ca="1" si="3"/>
        <v>2</v>
      </c>
      <c r="R12" s="231">
        <f t="shared" ca="1" si="3"/>
        <v>3</v>
      </c>
      <c r="S12" s="231">
        <f t="shared" ca="1" si="3"/>
        <v>1</v>
      </c>
      <c r="T12" s="133">
        <f ca="1">LARGE($T$4:$T$7,ROW($T5)-3)</f>
        <v>6000203.0992300007</v>
      </c>
      <c r="W12" s="226" t="s">
        <v>285</v>
      </c>
      <c r="X12" s="51">
        <f ca="1">IF(AND(VLOOKUP($B$8,$O$4:$AC$7,15,0)=VLOOKUP($D$8,$O$4:$AC$7,15,0),$E$8=$G$8,COUNTIF($P$4:$P$7,VLOOKUP($B$8,$O$4:$P$7,2,0))=2,$M$8&gt;0),1,0)</f>
        <v>0</v>
      </c>
      <c r="AE12" s="163">
        <f t="shared" ref="AE12:AE14" ca="1" si="4">P12</f>
        <v>6</v>
      </c>
      <c r="AF12" s="162">
        <f t="shared" ref="AF12:AF14" ca="1" si="5">R12</f>
        <v>3</v>
      </c>
      <c r="AG12" s="160" t="s">
        <v>75</v>
      </c>
      <c r="AH12" s="161">
        <f t="shared" ref="AH12:AH14" ca="1" si="6">S12</f>
        <v>1</v>
      </c>
    </row>
    <row r="13" spans="1:34">
      <c r="D13" s="183"/>
      <c r="N13" s="118" t="s">
        <v>68</v>
      </c>
      <c r="O13" s="60" t="str">
        <f t="shared" ca="1" si="3"/>
        <v>Tsjechië</v>
      </c>
      <c r="P13" s="231">
        <f t="shared" ca="1" si="3"/>
        <v>2</v>
      </c>
      <c r="Q13" s="231">
        <f t="shared" ca="1" si="3"/>
        <v>-1</v>
      </c>
      <c r="R13" s="231">
        <f t="shared" ca="1" si="3"/>
        <v>2</v>
      </c>
      <c r="S13" s="231">
        <f t="shared" ca="1" si="3"/>
        <v>3</v>
      </c>
      <c r="T13" s="133">
        <f ca="1">LARGE($T$4:$T$7,ROW($T6)-3)</f>
        <v>1999902.09916</v>
      </c>
      <c r="AE13" s="163">
        <f t="shared" ca="1" si="4"/>
        <v>2</v>
      </c>
      <c r="AF13" s="162">
        <f t="shared" ca="1" si="5"/>
        <v>2</v>
      </c>
      <c r="AG13" s="160" t="s">
        <v>75</v>
      </c>
      <c r="AH13" s="161">
        <f t="shared" ca="1" si="6"/>
        <v>3</v>
      </c>
    </row>
    <row r="14" spans="1:34" ht="15" thickBot="1">
      <c r="D14" s="50"/>
      <c r="F14" s="51"/>
      <c r="G14" s="111"/>
      <c r="N14" s="116" t="s">
        <v>69</v>
      </c>
      <c r="O14" s="115" t="str">
        <f t="shared" ca="1" si="3"/>
        <v>Schotland</v>
      </c>
      <c r="P14" s="114">
        <f t="shared" ca="1" si="3"/>
        <v>1</v>
      </c>
      <c r="Q14" s="114">
        <f t="shared" ca="1" si="3"/>
        <v>-3</v>
      </c>
      <c r="R14" s="114">
        <f t="shared" ca="1" si="3"/>
        <v>2</v>
      </c>
      <c r="S14" s="114">
        <f t="shared" ca="1" si="3"/>
        <v>5</v>
      </c>
      <c r="T14" s="134">
        <f ca="1">LARGE($T$4:$T$7,ROW($T7)-3)</f>
        <v>999702.09906000004</v>
      </c>
      <c r="AE14" s="163">
        <f t="shared" ca="1" si="4"/>
        <v>1</v>
      </c>
      <c r="AF14" s="162">
        <f t="shared" ca="1" si="5"/>
        <v>2</v>
      </c>
      <c r="AG14" s="160" t="s">
        <v>75</v>
      </c>
      <c r="AH14" s="161">
        <f t="shared" ca="1" si="6"/>
        <v>5</v>
      </c>
    </row>
    <row r="15" spans="1:34" ht="15" thickTop="1">
      <c r="D15" s="141" t="s">
        <v>93</v>
      </c>
      <c r="F15" s="51"/>
      <c r="G15" s="111"/>
    </row>
    <row r="16" spans="1:34" ht="15" thickBot="1">
      <c r="D16" s="142" t="s">
        <v>91</v>
      </c>
      <c r="E16" s="357" t="s">
        <v>92</v>
      </c>
      <c r="F16" s="357"/>
      <c r="G16" s="357"/>
      <c r="H16" s="357"/>
      <c r="I16" s="357"/>
      <c r="J16" s="357"/>
      <c r="K16" s="127"/>
      <c r="L16" s="149" t="s">
        <v>95</v>
      </c>
      <c r="X16" s="113" t="s">
        <v>94</v>
      </c>
      <c r="Y16" s="356" t="s">
        <v>97</v>
      </c>
      <c r="Z16" s="356"/>
      <c r="AA16" s="356"/>
      <c r="AC16" s="149" t="s">
        <v>98</v>
      </c>
    </row>
    <row r="17" spans="2:29">
      <c r="D17" t="str">
        <f ca="1">Mann1</f>
        <v>Engeland</v>
      </c>
      <c r="E17" s="51">
        <f ca="1">Y17</f>
        <v>1</v>
      </c>
      <c r="F17" s="51">
        <f ca="1">Z17</f>
        <v>2</v>
      </c>
      <c r="G17" s="51">
        <f ca="1">Z22</f>
        <v>1</v>
      </c>
      <c r="H17" s="51"/>
      <c r="I17" s="51"/>
      <c r="J17" s="51"/>
      <c r="L17" s="112">
        <f ca="1">IF(AND(Pkte1=Pkte2,Pkte1&lt;&gt;Pkte3,Pkte1&lt;&gt;Pkte4,E17&gt;E18),1,0)+IF(AND(Pkte1=Pkte3,Pkte1&lt;&gt;Pkte2,Pkte1&lt;&gt;Pkte4,F17&gt;F19),1,0)+IF(AND(Pkte1=Pkte4,Pkte1&lt;&gt;Pkte2,Pkte1&lt;&gt;Pkte3,G17&gt;G20),1,0)</f>
        <v>0</v>
      </c>
      <c r="N17" s="51" t="s">
        <v>66</v>
      </c>
      <c r="O17" t="str">
        <f ca="1">Mann1</f>
        <v>Engeland</v>
      </c>
      <c r="P17" s="51">
        <f t="array" aca="1" ref="P17" ca="1">SUM(IF((MschnLinks=$O17)*(MschnRechts&lt;&gt;$O$20),PkteLinks,0))+SUM(IF((MschnLinks&lt;&gt;$O$20)*(MschnRechts=$O17),PkteRechts,0))</f>
        <v>6</v>
      </c>
      <c r="Q17" s="51">
        <f ca="1">R17-S17</f>
        <v>2</v>
      </c>
      <c r="R17" s="51">
        <f t="array" aca="1" ref="R17" ca="1">SUM(IF((MschnLinks=$O17)*(MschnRechts&lt;&gt;$O$20),ToreLinks,0))+SUM(IF((MschnLinks&lt;&gt;$O$20)*(MschnRechts=$O17),ToreRechts,0))</f>
        <v>3</v>
      </c>
      <c r="S17" s="51">
        <f t="array" aca="1" ref="S17" ca="1">SUM(IF((MschnLinks=$O17)*(MschnRechts&lt;&gt;$O$20),ToreRechts,0))+SUM(IF((MschnLinks&lt;&gt;$O$20)*(MschnRechts=$O17),ToreLinks,0))</f>
        <v>1</v>
      </c>
      <c r="T17">
        <f ca="1">P17*FaktorPkte+Q17*FaktorTDiff+R17*FaktorTErz</f>
        <v>6000203</v>
      </c>
      <c r="U17" s="51">
        <f ca="1">RANK(T17,T$17:T$19,1)</f>
        <v>3</v>
      </c>
      <c r="V17" s="51">
        <f ca="1">IF(AND(Pkte1=Pkte2,Pkte1=Pkte3,Pkte1&lt;&gt;Pkte4),U17,0)</f>
        <v>0</v>
      </c>
      <c r="W17" s="51">
        <f ca="1">IF(AND(T17=T18,T17&lt;&gt;T19,Y17&gt;Y18),1,0)+IF(AND(T17=T19,T17&lt;&gt;T18,Z17&gt;Z19),1,0)</f>
        <v>0</v>
      </c>
      <c r="X17" s="112">
        <f ca="1">IF(V17&gt;0,V17*FaktordirV3+W17*FaktordirV2,0)</f>
        <v>0</v>
      </c>
      <c r="Y17" s="151">
        <f ca="1">SUMIFS(ToreLinks,MschnLinks,$O17,MschnRechts,$O18)+SUMIFS(ToreRechts,MschnLinks,$O18,MschnRechts,$O17)</f>
        <v>1</v>
      </c>
      <c r="Z17" s="152">
        <f ca="1">SUMIFS(ToreLinks,MschnLinks,$O17,MschnRechts,$O19)+SUMIFS(ToreRechts,MschnLinks,$O19,MschnRechts,$O17)</f>
        <v>2</v>
      </c>
      <c r="AA17" s="153"/>
      <c r="AB17" s="110">
        <f ca="1">IF(AND(Pkte1=Pkte2,Pkte1=Pkte3,Pkte1=Pkte4,GanzKoeff1=GanzKoeff2,GanzKoeff1=GanzKoeff3,GanzKoeff1&lt;&gt;GanzKoeff4),U17,0)</f>
        <v>0</v>
      </c>
      <c r="AC17" s="112">
        <f ca="1">IF(AB17&gt;0,AB17*FaktordirV3+W17*FaktordirV2,0)</f>
        <v>0</v>
      </c>
    </row>
    <row r="18" spans="2:29">
      <c r="D18" t="str">
        <f ca="1">Mann2</f>
        <v>Kroatië</v>
      </c>
      <c r="E18" s="51">
        <f ca="1">Y18</f>
        <v>0</v>
      </c>
      <c r="F18" s="51"/>
      <c r="G18" s="51"/>
      <c r="H18" s="51">
        <f ca="1">AA18</f>
        <v>2</v>
      </c>
      <c r="I18" s="51">
        <f ca="1">AA23</f>
        <v>1</v>
      </c>
      <c r="J18" s="51"/>
      <c r="L18" s="110">
        <f ca="1">IF(AND(Pkte2=Pkte1,Pkte2&lt;&gt;Pkte3,Pkte2&lt;&gt;Pkte4,E18&gt;E17),1,0)+IF(AND(Pkte2=Pkte3,Pkte2&lt;&gt;Pkte1,Pkte2&lt;&gt;Pkte4,H18&gt;H19),1,0)+IF(AND(Pkte2=Pkte4,Pkte2&lt;&gt;Pkte1,Pkte2&lt;&gt;Pkte3,I18&gt;I20),1,0)</f>
        <v>0</v>
      </c>
      <c r="N18" s="51" t="s">
        <v>67</v>
      </c>
      <c r="O18" t="str">
        <f ca="1">Mann2</f>
        <v>Kroatië</v>
      </c>
      <c r="P18" s="51">
        <f t="array" aca="1" ref="P18" ca="1">SUM(IF((MschnLinks=$O18)*(MschnRechts&lt;&gt;$O$20),PkteLinks,0))+SUM(IF((MschnLinks&lt;&gt;$O$20)*(MschnRechts=$O18),PkteRechts,0))</f>
        <v>3</v>
      </c>
      <c r="Q18" s="51">
        <f ca="1">R18-S18</f>
        <v>1</v>
      </c>
      <c r="R18" s="51">
        <f t="array" aca="1" ref="R18" ca="1">SUM(IF((MschnLinks=$O18)*(MschnRechts&lt;&gt;$O$20),ToreLinks,0))+SUM(IF((MschnLinks&lt;&gt;$O$20)*(MschnRechts=$O18),ToreRechts,0))</f>
        <v>2</v>
      </c>
      <c r="S18" s="51">
        <f t="array" aca="1" ref="S18" ca="1">SUM(IF((MschnLinks=$O18)*(MschnRechts&lt;&gt;$O$20),ToreRechts,0))+SUM(IF((MschnLinks&lt;&gt;$O$20)*(MschnRechts=$O18),ToreLinks,0))</f>
        <v>1</v>
      </c>
      <c r="T18">
        <f ca="1">P18*FaktorPkte+Q18*FaktorTDiff+R18*FaktorTErz</f>
        <v>3000102</v>
      </c>
      <c r="U18" s="51">
        <f ca="1">RANK(T18,T$17:T$19,1)</f>
        <v>2</v>
      </c>
      <c r="V18" s="51">
        <f ca="1">IF(AND(Pkte1=Pkte2,Pkte1=Pkte3,Pkte1&lt;&gt;Pkte4),U18,0)</f>
        <v>0</v>
      </c>
      <c r="W18" s="51">
        <f ca="1">IF(AND(T18=T17,T18&lt;&gt;T19,Y18&gt;Y17),1,0)+IF(AND(T18=T19,T18&lt;&gt;T17,AA18&gt;AA19),1,0)</f>
        <v>0</v>
      </c>
      <c r="X18" s="110">
        <f ca="1">IF(V18&gt;0,V18*FaktordirV3+W18*FaktordirV2,0)</f>
        <v>0</v>
      </c>
      <c r="Y18" s="154">
        <f ca="1">SUMIFS(ToreLinks,MschnLinks,$O18,MschnRechts,$O17)+SUMIFS(ToreRechts,MschnLinks,$O17,MschnRechts,$O18)</f>
        <v>0</v>
      </c>
      <c r="Z18" s="231"/>
      <c r="AA18" s="155">
        <f ca="1">SUMIFS(ToreLinks,MschnLinks,$O18,MschnRechts,$O19)+SUMIFS(ToreRechts,MschnLinks,$O19,MschnRechts,$O18)</f>
        <v>2</v>
      </c>
      <c r="AB18" s="110">
        <f ca="1">IF(AND(Pkte1=Pkte2,Pkte1=Pkte3,Pkte1=Pkte4,GanzKoeff1=GanzKoeff2,GanzKoeff1=GanzKoeff3,GanzKoeff1&lt;&gt;GanzKoeff4),U18,0)</f>
        <v>0</v>
      </c>
      <c r="AC18" s="110">
        <f ca="1">IF(AB18&gt;0,AB18*FaktordirV3+W18*FaktordirV2,0)</f>
        <v>0</v>
      </c>
    </row>
    <row r="19" spans="2:29">
      <c r="D19" t="str">
        <f ca="1">Mann3</f>
        <v>Schotland</v>
      </c>
      <c r="E19" s="51"/>
      <c r="F19" s="51">
        <f ca="1">Z19</f>
        <v>1</v>
      </c>
      <c r="G19" s="51"/>
      <c r="H19" s="51">
        <f ca="1">AA19</f>
        <v>0</v>
      </c>
      <c r="I19" s="51"/>
      <c r="J19" s="51">
        <f ca="1">AA28</f>
        <v>1</v>
      </c>
      <c r="L19" s="110">
        <f ca="1">IF(AND(Pkte3=Pkte1,Pkte3&lt;&gt;Pkte2,Pkte3&lt;&gt;Pkte4,F19&gt;F17),1,0)+IF(AND(Pkte3=Pkte2,Pkte3&lt;&gt;Pkte1,Pkte3&lt;&gt;Pkte4,H19&gt;H18),1,0)+IF(AND(Pkte3=Pkte4,Pkte3&lt;&gt;Pkte1,Pkte3&lt;&gt;Pkte2,J19&gt;J20),1,0)</f>
        <v>0</v>
      </c>
      <c r="N19" s="51" t="s">
        <v>68</v>
      </c>
      <c r="O19" t="str">
        <f ca="1">Mann3</f>
        <v>Schotland</v>
      </c>
      <c r="P19" s="51">
        <f t="array" aca="1" ref="P19" ca="1">SUM(IF((MschnLinks=$O19)*(MschnRechts&lt;&gt;$O$20),PkteLinks,0))+SUM(IF((MschnLinks&lt;&gt;$O$20)*(MschnRechts=$O19),PkteRechts,0))</f>
        <v>0</v>
      </c>
      <c r="Q19" s="51">
        <f ca="1">R19-S19</f>
        <v>-3</v>
      </c>
      <c r="R19" s="51">
        <f t="array" aca="1" ref="R19" ca="1">SUM(IF((MschnLinks=$O19)*(MschnRechts&lt;&gt;$O$20),ToreLinks,0))+SUM(IF((MschnLinks&lt;&gt;$O$20)*(MschnRechts=$O19),ToreRechts,0))</f>
        <v>1</v>
      </c>
      <c r="S19" s="51">
        <f t="array" aca="1" ref="S19" ca="1">SUM(IF((MschnLinks=$O19)*(MschnRechts&lt;&gt;$O$20),ToreRechts,0))+SUM(IF((MschnLinks&lt;&gt;$O$20)*(MschnRechts=$O19),ToreLinks,0))</f>
        <v>4</v>
      </c>
      <c r="T19">
        <f ca="1">P19*FaktorPkte+Q19*FaktorTDiff+R19*FaktorTErz</f>
        <v>-299</v>
      </c>
      <c r="U19" s="51">
        <f ca="1">RANK(T19,T$17:T$19,1)</f>
        <v>1</v>
      </c>
      <c r="V19" s="51">
        <f ca="1">IF(AND(Pkte1=Pkte2,Pkte1=Pkte3,Pkte1&lt;&gt;Pkte4),U19,0)</f>
        <v>0</v>
      </c>
      <c r="W19" s="51">
        <f ca="1">IF(AND(T19=T17,T19&lt;&gt;T18,Z19&gt;Z17),1,0)+IF(AND(T19=T18,T19&lt;&gt;T17,AA19&gt;AA18),1,0)</f>
        <v>0</v>
      </c>
      <c r="X19" s="110">
        <f ca="1">IF(V19&gt;0,V19*FaktordirV3+W19*FaktordirV2,0)</f>
        <v>0</v>
      </c>
      <c r="Y19" s="154"/>
      <c r="Z19" s="231">
        <f ca="1">SUMIFS(ToreLinks,MschnLinks,$O19,MschnRechts,$O17)+SUMIFS(ToreRechts,MschnLinks,$O17,MschnRechts,$O19)</f>
        <v>1</v>
      </c>
      <c r="AA19" s="155">
        <f ca="1">SUMIFS(ToreLinks,MschnLinks,$O19,MschnRechts,$O18)+SUMIFS(ToreRechts,MschnLinks,$O18,MschnRechts,$O19)</f>
        <v>0</v>
      </c>
      <c r="AB19" s="110">
        <f ca="1">IF(AND(Pkte1=Pkte2,Pkte1=Pkte3,Pkte1=Pkte4,GanzKoeff1=GanzKoeff2,GanzKoeff1=GanzKoeff3,GanzKoeff1&lt;&gt;GanzKoeff4),U19,0)</f>
        <v>0</v>
      </c>
      <c r="AC19" s="110">
        <f ca="1">IF(AB19&gt;0,AB19*FaktordirV3+W19*FaktordirV2,0)</f>
        <v>0</v>
      </c>
    </row>
    <row r="20" spans="2:29" ht="15" thickBot="1">
      <c r="D20" t="str">
        <f ca="1">Mann4</f>
        <v>Tsjechië</v>
      </c>
      <c r="E20" s="51"/>
      <c r="F20" s="51"/>
      <c r="G20" s="51">
        <f ca="1">Z24</f>
        <v>1</v>
      </c>
      <c r="H20" s="51"/>
      <c r="I20" s="51">
        <f ca="1">AA24</f>
        <v>0</v>
      </c>
      <c r="J20" s="51">
        <f ca="1">AA29</f>
        <v>1</v>
      </c>
      <c r="L20" s="109">
        <f ca="1">IF(AND(Pkte4=Pkte1,Pkte4&lt;&gt;Pkte2,Pkte4&lt;&gt;Pkte3,G20&gt;G17),1,0)+IF(AND(Pkte4=Pkte2,Pkte4&lt;&gt;Pkte1,Pkte4&lt;&gt;Pkte3,I20&gt;I18),1,0)+IF(AND(Pkte4=Pkte3,Pkte4&lt;&gt;Pkte1,Pkte4&lt;&gt;Pkte2,J20&gt;J19),1,0)</f>
        <v>0</v>
      </c>
      <c r="O20" s="108" t="str">
        <f ca="1">Mann4</f>
        <v>Tsjechië</v>
      </c>
      <c r="P20" s="51"/>
      <c r="Q20" s="51"/>
      <c r="R20" s="51"/>
      <c r="S20" s="51"/>
      <c r="V20" s="51"/>
      <c r="W20" s="51"/>
      <c r="X20" s="110"/>
      <c r="Y20" s="154"/>
      <c r="Z20" s="231"/>
      <c r="AA20" s="155"/>
      <c r="AB20" s="159"/>
      <c r="AC20" s="159"/>
    </row>
    <row r="21" spans="2:29">
      <c r="B21" s="137"/>
      <c r="C21" s="138"/>
      <c r="D21" s="139"/>
      <c r="F21" s="51"/>
      <c r="G21" s="111"/>
      <c r="V21" s="51"/>
      <c r="W21" s="51"/>
      <c r="X21" s="110"/>
      <c r="Y21" s="154"/>
      <c r="Z21" s="231"/>
      <c r="AA21" s="155"/>
      <c r="AB21" s="159"/>
      <c r="AC21" s="159"/>
    </row>
    <row r="22" spans="2:29">
      <c r="B22" s="137"/>
      <c r="C22" s="138"/>
      <c r="D22" s="139"/>
      <c r="F22" s="51"/>
      <c r="G22" s="111"/>
      <c r="N22" s="51" t="s">
        <v>66</v>
      </c>
      <c r="O22" t="str">
        <f ca="1">Mann1</f>
        <v>Engeland</v>
      </c>
      <c r="P22" s="51">
        <f t="array" aca="1" ref="P22" ca="1">SUM(IF((MschnLinks=$O22)*(MschnRechts&lt;&gt;$O$25),PkteLinks,0))+SUM(IF((MschnLinks&lt;&gt;$O$25)*(MschnRechts=$O22),PkteRechts,0))</f>
        <v>4</v>
      </c>
      <c r="Q22" s="51">
        <f ca="1">R22-S22</f>
        <v>1</v>
      </c>
      <c r="R22" s="51">
        <f t="array" aca="1" ref="R22" ca="1">SUM(IF((MschnLinks=$O22)*(MschnRechts&lt;&gt;$O$25),ToreLinks,0))+SUM(IF((MschnLinks&lt;&gt;$O$25)*(MschnRechts=$O22),ToreRechts,0))</f>
        <v>2</v>
      </c>
      <c r="S22" s="51">
        <f t="array" aca="1" ref="S22" ca="1">SUM(IF((MschnLinks=$O22)*(MschnRechts&lt;&gt;$O$25),ToreRechts,0))+SUM(IF((MschnLinks&lt;&gt;$O$25)*(MschnRechts=$O22),ToreLinks,0))</f>
        <v>1</v>
      </c>
      <c r="T22">
        <f ca="1">P22*FaktorPkte+Q22*FaktorTDiff+R22*FaktorTErz</f>
        <v>4000102</v>
      </c>
      <c r="U22" s="51">
        <f ca="1">RANK(T22,T$22:T$24,1)</f>
        <v>3</v>
      </c>
      <c r="V22" s="51">
        <f ca="1">IF(AND(Pkte1=Pkte2,Pkte1=Pkte4,Pkte1&lt;&gt;Pkte3),U22,0)</f>
        <v>0</v>
      </c>
      <c r="W22" s="51">
        <f ca="1">IF(AND(T22=T23,T22&lt;&gt;T24,Y22&gt;Y23),1,0)+IF(AND(T22=T24,T22&lt;&gt;T23,Z22&gt;Z24),1,0)</f>
        <v>0</v>
      </c>
      <c r="X22" s="110">
        <f ca="1">IF(V22&gt;0,V22*FaktordirV3+W22*FaktordirV2,0)</f>
        <v>0</v>
      </c>
      <c r="Y22" s="154">
        <f ca="1">SUMIFS(ToreLinks,MschnLinks,$O22,MschnRechts,$O23)+SUMIFS(ToreRechts,MschnLinks,$O23,MschnRechts,$O22)</f>
        <v>1</v>
      </c>
      <c r="Z22" s="231">
        <f ca="1">SUMIFS(ToreLinks,MschnLinks,$O22,MschnRechts,$O24)+SUMIFS(ToreRechts,MschnLinks,$O24,MschnRechts,$O22)</f>
        <v>1</v>
      </c>
      <c r="AA22" s="155"/>
      <c r="AB22" s="110">
        <f ca="1">IF(AND(Pkte1=Pkte2,Pkte1=Pkte3,Pkte1=Pkte4,GanzKoeff1=GanzKoeff2,GanzKoeff1=GanzKoeff4,GanzKoeff1&lt;&gt;GanzKoeff3),U22,0)</f>
        <v>0</v>
      </c>
      <c r="AC22" s="110">
        <f ca="1">IF(AB22&gt;0,AB22*FaktordirV3+W22*FaktordirV2,0)</f>
        <v>0</v>
      </c>
    </row>
    <row r="23" spans="2:29">
      <c r="B23" s="122"/>
      <c r="C23" s="51"/>
      <c r="F23" s="51"/>
      <c r="G23" s="111"/>
      <c r="N23" s="51" t="s">
        <v>67</v>
      </c>
      <c r="O23" t="str">
        <f ca="1">Mann2</f>
        <v>Kroatië</v>
      </c>
      <c r="P23" s="51">
        <f t="array" aca="1" ref="P23" ca="1">SUM(IF((MschnLinks=$O23)*(MschnRechts&lt;&gt;$O$25),PkteLinks,0))+SUM(IF((MschnLinks&lt;&gt;$O$25)*(MschnRechts=$O23),PkteRechts,0))</f>
        <v>3</v>
      </c>
      <c r="Q23" s="51">
        <f ca="1">R23-S23</f>
        <v>0</v>
      </c>
      <c r="R23" s="51">
        <f t="array" aca="1" ref="R23" ca="1">SUM(IF((MschnLinks=$O23)*(MschnRechts&lt;&gt;$O$25),ToreLinks,0))+SUM(IF((MschnLinks&lt;&gt;$O$25)*(MschnRechts=$O23),ToreRechts,0))</f>
        <v>1</v>
      </c>
      <c r="S23" s="51">
        <f t="array" aca="1" ref="S23" ca="1">SUM(IF((MschnLinks=$O23)*(MschnRechts&lt;&gt;$O$25),ToreRechts,0))+SUM(IF((MschnLinks&lt;&gt;$O$25)*(MschnRechts=$O23),ToreLinks,0))</f>
        <v>1</v>
      </c>
      <c r="T23">
        <f ca="1">P23*FaktorPkte+Q23*FaktorTDiff+R23*FaktorTErz</f>
        <v>3000001</v>
      </c>
      <c r="U23" s="51">
        <f ca="1">RANK(T23,T$22:T$24,1)</f>
        <v>2</v>
      </c>
      <c r="V23" s="51">
        <f ca="1">IF(AND(Pkte1=Pkte2,Pkte1=Pkte4,Pkte1&lt;&gt;Pkte3),U23,0)</f>
        <v>0</v>
      </c>
      <c r="W23" s="51">
        <f ca="1">IF(AND(T23=T22,T23&lt;&gt;T24,Y23&gt;Y22),1,0)+IF(AND(T23=T24,T23&lt;&gt;T22,AA23&gt;AA24),1,0)</f>
        <v>0</v>
      </c>
      <c r="X23" s="110">
        <f ca="1">IF(V23&gt;0,V23*FaktordirV3+W23*FaktordirV2,0)</f>
        <v>0</v>
      </c>
      <c r="Y23" s="154">
        <f ca="1">SUMIFS(ToreLinks,MschnLinks,$O23,MschnRechts,$O22)+SUMIFS(ToreRechts,MschnLinks,$O22,MschnRechts,$O23)</f>
        <v>0</v>
      </c>
      <c r="Z23" s="231"/>
      <c r="AA23" s="155">
        <f ca="1">SUMIFS(ToreLinks,MschnLinks,$O23,MschnRechts,$O24)+SUMIFS(ToreRechts,MschnLinks,$O24,MschnRechts,$O23)</f>
        <v>1</v>
      </c>
      <c r="AB23" s="110">
        <f ca="1">IF(AND(Pkte1=Pkte2,Pkte1=Pkte3,Pkte1=Pkte4,GanzKoeff1=GanzKoeff2,GanzKoeff1=GanzKoeff4,GanzKoeff1&lt;&gt;GanzKoeff3),U23,0)</f>
        <v>0</v>
      </c>
      <c r="AC23" s="110">
        <f ca="1">IF(AB23&gt;0,AB23*FaktordirV3+W23*FaktordirV2,0)</f>
        <v>0</v>
      </c>
    </row>
    <row r="24" spans="2:29">
      <c r="B24" s="122"/>
      <c r="C24" s="51"/>
      <c r="F24" s="51"/>
      <c r="G24" s="111"/>
      <c r="N24" s="51" t="s">
        <v>68</v>
      </c>
      <c r="O24" t="str">
        <f ca="1">Mann4</f>
        <v>Tsjechië</v>
      </c>
      <c r="P24" s="51">
        <f t="array" aca="1" ref="P24" ca="1">SUM(IF((MschnLinks=$O24)*(MschnRechts&lt;&gt;$O$25),PkteLinks,0))+SUM(IF((MschnLinks&lt;&gt;$O$25)*(MschnRechts=$O24),PkteRechts,0))</f>
        <v>1</v>
      </c>
      <c r="Q24" s="51">
        <f ca="1">R24-S24</f>
        <v>-1</v>
      </c>
      <c r="R24" s="51">
        <f t="array" aca="1" ref="R24" ca="1">SUM(IF((MschnLinks=$O24)*(MschnRechts&lt;&gt;$O$25),ToreLinks,0))+SUM(IF((MschnLinks&lt;&gt;$O$25)*(MschnRechts=$O24),ToreRechts,0))</f>
        <v>1</v>
      </c>
      <c r="S24" s="51">
        <f t="array" aca="1" ref="S24" ca="1">SUM(IF((MschnLinks=$O24)*(MschnRechts&lt;&gt;$O$25),ToreRechts,0))+SUM(IF((MschnLinks&lt;&gt;$O$25)*(MschnRechts=$O24),ToreLinks,0))</f>
        <v>2</v>
      </c>
      <c r="T24">
        <f ca="1">P24*FaktorPkte+Q24*FaktorTDiff+R24*FaktorTErz</f>
        <v>999901</v>
      </c>
      <c r="U24" s="51">
        <f ca="1">RANK(T24,T$22:T$24,1)</f>
        <v>1</v>
      </c>
      <c r="V24" s="51">
        <f ca="1">IF(AND(Pkte1=Pkte2,Pkte1=Pkte4,Pkte1&lt;&gt;Pkte3),U24,0)</f>
        <v>0</v>
      </c>
      <c r="W24" s="51">
        <f ca="1">IF(AND(T24=T22,T24&lt;&gt;T23,Z24&gt;Z22),1,0)+IF(AND(T24=T23,T24&lt;&gt;T22,AA24&gt;AA23),1,0)</f>
        <v>0</v>
      </c>
      <c r="X24" s="110">
        <f ca="1">IF(V24&gt;0,V24*FaktordirV3+W24*FaktordirV2,0)</f>
        <v>0</v>
      </c>
      <c r="Y24" s="154"/>
      <c r="Z24" s="231">
        <f ca="1">SUMIFS(ToreLinks,MschnLinks,$O24,MschnRechts,$O22)+SUMIFS(ToreRechts,MschnLinks,$O22,MschnRechts,$O24)</f>
        <v>1</v>
      </c>
      <c r="AA24" s="155">
        <f ca="1">SUMIFS(ToreLinks,MschnLinks,$O24,MschnRechts,$O23)+SUMIFS(ToreRechts,MschnLinks,$O23,MschnRechts,$O24)</f>
        <v>0</v>
      </c>
      <c r="AB24" s="110">
        <f ca="1">IF(AND(Pkte1=Pkte2,Pkte1=Pkte3,Pkte1=Pkte4,GanzKoeff1=GanzKoeff2,GanzKoeff1=GanzKoeff4,GanzKoeff1&lt;&gt;GanzKoeff3),U24,0)</f>
        <v>0</v>
      </c>
      <c r="AC24" s="110">
        <f ca="1">IF(AB24&gt;0,AB24*FaktordirV3+W24*FaktordirV2,0)</f>
        <v>0</v>
      </c>
    </row>
    <row r="25" spans="2:29">
      <c r="B25" s="122"/>
      <c r="C25" s="51"/>
      <c r="F25" s="51"/>
      <c r="G25" s="111"/>
      <c r="O25" s="108" t="str">
        <f ca="1">Mann3</f>
        <v>Schotland</v>
      </c>
      <c r="P25" s="51"/>
      <c r="Q25" s="51"/>
      <c r="R25" s="51"/>
      <c r="S25" s="51"/>
      <c r="V25" s="51"/>
      <c r="W25" s="51"/>
      <c r="X25" s="110"/>
      <c r="Y25" s="154"/>
      <c r="Z25" s="231"/>
      <c r="AA25" s="155"/>
      <c r="AB25" s="159"/>
      <c r="AC25" s="159"/>
    </row>
    <row r="26" spans="2:29">
      <c r="B26" s="122"/>
      <c r="C26" s="51"/>
      <c r="F26" s="51"/>
      <c r="G26" s="111"/>
      <c r="V26" s="51"/>
      <c r="W26" s="51"/>
      <c r="X26" s="110"/>
      <c r="Y26" s="154"/>
      <c r="Z26" s="231"/>
      <c r="AA26" s="155"/>
      <c r="AB26" s="159"/>
      <c r="AC26" s="159"/>
    </row>
    <row r="27" spans="2:29">
      <c r="N27" s="51" t="s">
        <v>66</v>
      </c>
      <c r="O27" t="str">
        <f ca="1">Mann1</f>
        <v>Engeland</v>
      </c>
      <c r="P27" s="51">
        <f t="array" aca="1" ref="P27" ca="1">SUM(IF((MschnLinks=$O27)*(MschnRechts&lt;&gt;$O$30),PkteLinks,0))+SUM(IF((MschnLinks&lt;&gt;$O$30)*(MschnRechts=$O27),PkteRechts,0))</f>
        <v>4</v>
      </c>
      <c r="Q27" s="51">
        <f ca="1">R27-S27</f>
        <v>1</v>
      </c>
      <c r="R27" s="51">
        <f t="array" aca="1" ref="R27" ca="1">SUM(IF((MschnLinks=$O27)*(MschnRechts&lt;&gt;$O$30),ToreLinks,0))+SUM(IF((MschnLinks&lt;&gt;$O$30)*(MschnRechts=$O27),ToreRechts,0))</f>
        <v>3</v>
      </c>
      <c r="S27" s="51">
        <f t="array" aca="1" ref="S27" ca="1">SUM(IF((MschnLinks=$O27)*(MschnRechts&lt;&gt;$O$30),ToreRechts,0))+SUM(IF((MschnLinks&lt;&gt;$O$30)*(MschnRechts=$O27),ToreLinks,0))</f>
        <v>2</v>
      </c>
      <c r="T27">
        <f ca="1">P27*FaktorPkte+Q27*FaktorTDiff+R27*FaktorTErz</f>
        <v>4000103</v>
      </c>
      <c r="U27" s="51">
        <f ca="1">RANK(T27,T$27:T$29,1)</f>
        <v>3</v>
      </c>
      <c r="V27" s="51">
        <f ca="1">IF(AND(Pkte1=Pkte3,Pkte1=Pkte4,Pkte1&lt;&gt;Pkte2),U27,0)</f>
        <v>0</v>
      </c>
      <c r="W27" s="51">
        <f ca="1">IF(AND(T27=T28,T27&lt;&gt;T29,Y27&gt;Y28),1,0)+IF(AND(T27=T29,T27&lt;&gt;T28,Z27&gt;Z29),1,0)</f>
        <v>0</v>
      </c>
      <c r="X27" s="110">
        <f ca="1">IF(V27&gt;0,V27*FaktordirV3+W27*FaktordirV2,0)</f>
        <v>0</v>
      </c>
      <c r="Y27" s="154">
        <f ca="1">SUMIFS(ToreLinks,MschnLinks,$O27,MschnRechts,$O28)+SUMIFS(ToreRechts,MschnLinks,$O28,MschnRechts,$O27)</f>
        <v>2</v>
      </c>
      <c r="Z27" s="231">
        <f ca="1">SUMIFS(ToreLinks,MschnLinks,$O27,MschnRechts,$O29)+SUMIFS(ToreRechts,MschnLinks,$O29,MschnRechts,$O27)</f>
        <v>1</v>
      </c>
      <c r="AA27" s="155"/>
      <c r="AB27" s="110">
        <f ca="1">IF(AND(Pkte1=Pkte2,Pkte1=Pkte3,Pkte1=Pkte4,GanzKoeff1=GanzKoeff3,GanzKoeff1=GanzKoeff4,GanzKoeff1&lt;&gt;GanzKoeff2),U27,0)</f>
        <v>0</v>
      </c>
      <c r="AC27" s="110">
        <f ca="1">IF(AB27&gt;0,AB27*FaktordirV3+W27*FaktordirV2,0)</f>
        <v>0</v>
      </c>
    </row>
    <row r="28" spans="2:29">
      <c r="N28" s="51" t="s">
        <v>67</v>
      </c>
      <c r="O28" t="str">
        <f ca="1">Mann3</f>
        <v>Schotland</v>
      </c>
      <c r="P28" s="51">
        <f t="array" aca="1" ref="P28" ca="1">SUM(IF((MschnLinks=$O28)*(MschnRechts&lt;&gt;$O$30),PkteLinks,0))+SUM(IF((MschnLinks&lt;&gt;$O$30)*(MschnRechts=$O28),PkteRechts,0))</f>
        <v>1</v>
      </c>
      <c r="Q28" s="51">
        <f ca="1">R28-S28</f>
        <v>-1</v>
      </c>
      <c r="R28" s="51">
        <f t="array" aca="1" ref="R28" ca="1">SUM(IF((MschnLinks=$O28)*(MschnRechts&lt;&gt;$O$30),ToreLinks,0))+SUM(IF((MschnLinks&lt;&gt;$O$30)*(MschnRechts=$O28),ToreRechts,0))</f>
        <v>2</v>
      </c>
      <c r="S28" s="51">
        <f t="array" aca="1" ref="S28" ca="1">SUM(IF((MschnLinks=$O28)*(MschnRechts&lt;&gt;$O$30),ToreRechts,0))+SUM(IF((MschnLinks&lt;&gt;$O$30)*(MschnRechts=$O28),ToreLinks,0))</f>
        <v>3</v>
      </c>
      <c r="T28">
        <f ca="1">P28*FaktorPkte+Q28*FaktorTDiff+R28*FaktorTErz</f>
        <v>999902</v>
      </c>
      <c r="U28" s="51">
        <f ca="1">RANK(T28,T$27:T$29,1)</f>
        <v>1</v>
      </c>
      <c r="V28" s="51">
        <f ca="1">IF(AND(Pkte1=Pkte3,Pkte1=Pkte4,Pkte1&lt;&gt;Pkte2),U28,0)</f>
        <v>0</v>
      </c>
      <c r="W28" s="51">
        <f ca="1">IF(AND(T28=T27,T28&lt;&gt;T29,Y28&gt;Y27),1,0)+IF(AND(T28=T29,T28&lt;&gt;T27,AA28&gt;AA29),1,0)</f>
        <v>0</v>
      </c>
      <c r="X28" s="110">
        <f ca="1">IF(V28&gt;0,V28*FaktordirV3+W28*FaktordirV2,0)</f>
        <v>0</v>
      </c>
      <c r="Y28" s="154">
        <f ca="1">SUMIFS(ToreLinks,MschnLinks,$O28,MschnRechts,$O27)+SUMIFS(ToreRechts,MschnLinks,$O27,MschnRechts,$O28)</f>
        <v>1</v>
      </c>
      <c r="Z28" s="231"/>
      <c r="AA28" s="155">
        <f ca="1">SUMIFS(ToreLinks,MschnLinks,$O28,MschnRechts,$O29)+SUMIFS(ToreRechts,MschnLinks,$O29,MschnRechts,$O28)</f>
        <v>1</v>
      </c>
      <c r="AB28" s="110">
        <f ca="1">IF(AND(Pkte1=Pkte2,Pkte1=Pkte3,Pkte1=Pkte4,GanzKoeff1=GanzKoeff3,GanzKoeff1=GanzKoeff4,GanzKoeff1&lt;&gt;GanzKoeff2),U28,0)</f>
        <v>0</v>
      </c>
      <c r="AC28" s="110">
        <f ca="1">IF(AB28&gt;0,AB28*FaktordirV3+W28*FaktordirV2,0)</f>
        <v>0</v>
      </c>
    </row>
    <row r="29" spans="2:29">
      <c r="N29" s="51" t="s">
        <v>68</v>
      </c>
      <c r="O29" t="str">
        <f ca="1">Mann4</f>
        <v>Tsjechië</v>
      </c>
      <c r="P29" s="51">
        <f t="array" aca="1" ref="P29" ca="1">SUM(IF((MschnLinks=$O29)*(MschnRechts&lt;&gt;$O$30),PkteLinks,0))+SUM(IF((MschnLinks&lt;&gt;$O$30)*(MschnRechts=$O29),PkteRechts,0))</f>
        <v>2</v>
      </c>
      <c r="Q29" s="51">
        <f ca="1">R29-S29</f>
        <v>0</v>
      </c>
      <c r="R29" s="51">
        <f t="array" aca="1" ref="R29" ca="1">SUM(IF((MschnLinks=$O29)*(MschnRechts&lt;&gt;$O$30),ToreLinks,0))+SUM(IF((MschnLinks&lt;&gt;$O$30)*(MschnRechts=$O29),ToreRechts,0))</f>
        <v>2</v>
      </c>
      <c r="S29" s="51">
        <f t="array" aca="1" ref="S29" ca="1">SUM(IF((MschnLinks=$O29)*(MschnRechts&lt;&gt;$O$30),ToreRechts,0))+SUM(IF((MschnLinks&lt;&gt;$O$30)*(MschnRechts=$O29),ToreLinks,0))</f>
        <v>2</v>
      </c>
      <c r="T29">
        <f ca="1">P29*FaktorPkte+Q29*FaktorTDiff+R29*FaktorTErz</f>
        <v>2000002</v>
      </c>
      <c r="U29" s="51">
        <f ca="1">RANK(T29,T$27:T$29,1)</f>
        <v>2</v>
      </c>
      <c r="V29" s="51">
        <f ca="1">IF(AND(Pkte1=Pkte3,Pkte1=Pkte4,Pkte1&lt;&gt;Pkte2),U29,0)</f>
        <v>0</v>
      </c>
      <c r="W29" s="51">
        <f ca="1">IF(AND(T29=T27,T29&lt;&gt;T28,Z29&gt;Z27),1,0)+IF(AND(T29=T28,T29&lt;&gt;T27,AA29&gt;AA28),1,0)</f>
        <v>0</v>
      </c>
      <c r="X29" s="110">
        <f ca="1">IF(V29&gt;0,V29*FaktordirV3+W29*FaktordirV2,0)</f>
        <v>0</v>
      </c>
      <c r="Y29" s="154"/>
      <c r="Z29" s="231">
        <f ca="1">SUMIFS(ToreLinks,MschnLinks,$O29,MschnRechts,$O27)+SUMIFS(ToreRechts,MschnLinks,$O27,MschnRechts,$O29)</f>
        <v>1</v>
      </c>
      <c r="AA29" s="155">
        <f ca="1">SUMIFS(ToreLinks,MschnLinks,$O29,MschnRechts,$O28)+SUMIFS(ToreRechts,MschnLinks,$O28,MschnRechts,$O29)</f>
        <v>1</v>
      </c>
      <c r="AB29" s="110">
        <f ca="1">IF(AND(Pkte1=Pkte2,Pkte1=Pkte3,Pkte1=Pkte4,GanzKoeff1=GanzKoeff3,GanzKoeff1=GanzKoeff4,GanzKoeff1&lt;&gt;GanzKoeff2),U29,0)</f>
        <v>0</v>
      </c>
      <c r="AC29" s="110">
        <f ca="1">IF(AB29&gt;0,AB29*FaktordirV3+W29*FaktordirV2,0)</f>
        <v>0</v>
      </c>
    </row>
    <row r="30" spans="2:29">
      <c r="O30" s="108" t="str">
        <f ca="1">Mann2</f>
        <v>Kroatië</v>
      </c>
      <c r="P30" s="51"/>
      <c r="Q30" s="51"/>
      <c r="R30" s="51"/>
      <c r="S30" s="51"/>
      <c r="V30" s="51"/>
      <c r="W30" s="51"/>
      <c r="X30" s="110"/>
      <c r="Y30" s="154"/>
      <c r="Z30" s="231"/>
      <c r="AA30" s="155"/>
      <c r="AB30" s="159"/>
      <c r="AC30" s="159"/>
    </row>
    <row r="31" spans="2:29">
      <c r="V31" s="51"/>
      <c r="W31" s="51"/>
      <c r="X31" s="110"/>
      <c r="Y31" s="154"/>
      <c r="Z31" s="231"/>
      <c r="AA31" s="155"/>
      <c r="AB31" s="159"/>
      <c r="AC31" s="159"/>
    </row>
    <row r="32" spans="2:29">
      <c r="N32" s="51" t="s">
        <v>66</v>
      </c>
      <c r="O32" t="str">
        <f ca="1">Mann2</f>
        <v>Kroatië</v>
      </c>
      <c r="P32" s="51">
        <f t="array" aca="1" ref="P32" ca="1">SUM(IF((MschnLinks=$O32)*(MschnRechts&lt;&gt;$O$35),PkteLinks,0))+SUM(IF((MschnLinks&lt;&gt;$O$35)*(MschnRechts=$O32),PkteRechts,0))</f>
        <v>6</v>
      </c>
      <c r="Q32" s="51">
        <f ca="1">R32-S32</f>
        <v>3</v>
      </c>
      <c r="R32" s="51">
        <f t="array" aca="1" ref="R32" ca="1">SUM(IF((MschnLinks=$O32)*(MschnRechts&lt;&gt;$O$35),ToreLinks,0))+SUM(IF((MschnLinks&lt;&gt;$O$35)*(MschnRechts=$O32),ToreRechts,0))</f>
        <v>3</v>
      </c>
      <c r="S32" s="51">
        <f t="array" aca="1" ref="S32" ca="1">SUM(IF((MschnLinks=$O32)*(MschnRechts&lt;&gt;$O$35),ToreRechts,0))+SUM(IF((MschnLinks&lt;&gt;$O$35)*(MschnRechts=$O32),ToreLinks,0))</f>
        <v>0</v>
      </c>
      <c r="T32">
        <f ca="1">P32*FaktorPkte+Q32*FaktorTDiff+R32*FaktorTErz</f>
        <v>6000303</v>
      </c>
      <c r="U32" s="51">
        <f ca="1">RANK(T32,T$32:T$34,1)</f>
        <v>3</v>
      </c>
      <c r="V32" s="51">
        <f ca="1">IF(AND(Pkte2=Pkte3,Pkte2=Pkte4,Pkte2&lt;&gt;Pkte1),U32,0)</f>
        <v>0</v>
      </c>
      <c r="W32" s="51">
        <f ca="1">IF(AND(T32=T33,T32&lt;&gt;T34,Y32&gt;Y33),1,0)+IF(AND(T32=T34,T32&lt;&gt;T33,Z32&gt;Z34),1,0)</f>
        <v>0</v>
      </c>
      <c r="X32" s="110">
        <f ca="1">IF(V32&gt;0,V32*FaktordirV3+W32*FaktordirV2,0)</f>
        <v>0</v>
      </c>
      <c r="Y32" s="154">
        <f ca="1">SUMIFS(ToreLinks,MschnLinks,$O32,MschnRechts,$O33)+SUMIFS(ToreRechts,MschnLinks,$O33,MschnRechts,$O32)</f>
        <v>2</v>
      </c>
      <c r="Z32" s="231">
        <f ca="1">SUMIFS(ToreLinks,MschnLinks,$O32,MschnRechts,$O34)+SUMIFS(ToreRechts,MschnLinks,$O34,MschnRechts,$O32)</f>
        <v>1</v>
      </c>
      <c r="AA32" s="155"/>
      <c r="AB32" s="110">
        <f ca="1">IF(AND(Pkte1=Pkte2,Pkte1=Pkte3,Pkte1=Pkte4,GanzKoeff2=GanzKoeff3,GanzKoeff2=GanzKoeff4,GanzKoeff2&lt;&gt;GanzKoeff1),U32,0)</f>
        <v>0</v>
      </c>
      <c r="AC32" s="110">
        <f ca="1">IF(AB32&gt;0,AB32*FaktordirV3+W32*FaktordirV2,0)</f>
        <v>0</v>
      </c>
    </row>
    <row r="33" spans="14:29">
      <c r="N33" s="51" t="s">
        <v>67</v>
      </c>
      <c r="O33" t="str">
        <f ca="1">Mann3</f>
        <v>Schotland</v>
      </c>
      <c r="P33" s="51">
        <f t="array" aca="1" ref="P33" ca="1">SUM(IF((MschnLinks=$O33)*(MschnRechts&lt;&gt;$O$35),PkteLinks,0))+SUM(IF((MschnLinks&lt;&gt;$O$35)*(MschnRechts=$O33),PkteRechts,0))</f>
        <v>1</v>
      </c>
      <c r="Q33" s="51">
        <f ca="1">R33-S33</f>
        <v>-2</v>
      </c>
      <c r="R33" s="51">
        <f t="array" aca="1" ref="R33" ca="1">SUM(IF((MschnLinks=$O33)*(MschnRechts&lt;&gt;$O$35),ToreLinks,0))+SUM(IF((MschnLinks&lt;&gt;$O$35)*(MschnRechts=$O33),ToreRechts,0))</f>
        <v>1</v>
      </c>
      <c r="S33" s="51">
        <f t="array" aca="1" ref="S33" ca="1">SUM(IF((MschnLinks=$O33)*(MschnRechts&lt;&gt;$O$35),ToreRechts,0))+SUM(IF((MschnLinks&lt;&gt;$O$35)*(MschnRechts=$O33),ToreLinks,0))</f>
        <v>3</v>
      </c>
      <c r="T33">
        <f ca="1">P33*FaktorPkte+Q33*FaktorTDiff+R33*FaktorTErz</f>
        <v>999801</v>
      </c>
      <c r="U33" s="51">
        <f ca="1">RANK(T33,T$32:T$34,1)</f>
        <v>1</v>
      </c>
      <c r="V33" s="51">
        <f ca="1">IF(AND(Pkte2=Pkte3,Pkte2=Pkte4,Pkte2&lt;&gt;Pkte1),U33,0)</f>
        <v>0</v>
      </c>
      <c r="W33" s="51">
        <f ca="1">IF(AND(T33=T32,T33&lt;&gt;T34,Y33&gt;Y32),1,0)+IF(AND(T33=T34,T33&lt;&gt;T32,AA33&gt;AA34),1,0)</f>
        <v>0</v>
      </c>
      <c r="X33" s="110">
        <f ca="1">IF(V33&gt;0,V33*FaktordirV3+W33*FaktordirV2,0)</f>
        <v>0</v>
      </c>
      <c r="Y33" s="154">
        <f ca="1">SUMIFS(ToreLinks,MschnLinks,$O33,MschnRechts,$O32)+SUMIFS(ToreRechts,MschnLinks,$O32,MschnRechts,$O33)</f>
        <v>0</v>
      </c>
      <c r="Z33" s="231"/>
      <c r="AA33" s="155">
        <f ca="1">SUMIFS(ToreLinks,MschnLinks,$O33,MschnRechts,$O34)+SUMIFS(ToreRechts,MschnLinks,$O34,MschnRechts,$O33)</f>
        <v>1</v>
      </c>
      <c r="AB33" s="110">
        <f ca="1">IF(AND(Pkte1=Pkte2,Pkte1=Pkte3,Pkte1=Pkte4,GanzKoeff2=GanzKoeff3,GanzKoeff2=GanzKoeff4,GanzKoeff2&lt;&gt;GanzKoeff1),U33,0)</f>
        <v>0</v>
      </c>
      <c r="AC33" s="110">
        <f ca="1">IF(AB33&gt;0,AB33*FaktordirV3+W33*FaktordirV2,0)</f>
        <v>0</v>
      </c>
    </row>
    <row r="34" spans="14:29" ht="15" thickBot="1">
      <c r="N34" s="51" t="s">
        <v>68</v>
      </c>
      <c r="O34" t="str">
        <f ca="1">Mann4</f>
        <v>Tsjechië</v>
      </c>
      <c r="P34" s="51">
        <f t="array" aca="1" ref="P34" ca="1">SUM(IF((MschnLinks=$O34)*(MschnRechts&lt;&gt;$O$35),PkteLinks,0))+SUM(IF((MschnLinks&lt;&gt;$O$35)*(MschnRechts=$O34),PkteRechts,0))</f>
        <v>1</v>
      </c>
      <c r="Q34" s="51">
        <f ca="1">R34-S34</f>
        <v>-1</v>
      </c>
      <c r="R34" s="51">
        <f t="array" aca="1" ref="R34" ca="1">SUM(IF((MschnLinks=$O34)*(MschnRechts&lt;&gt;$O$35),ToreLinks,0))+SUM(IF((MschnLinks&lt;&gt;$O$35)*(MschnRechts=$O34),ToreRechts,0))</f>
        <v>1</v>
      </c>
      <c r="S34" s="51">
        <f t="array" aca="1" ref="S34" ca="1">SUM(IF((MschnLinks=$O34)*(MschnRechts&lt;&gt;$O$35),ToreRechts,0))+SUM(IF((MschnLinks&lt;&gt;$O$35)*(MschnRechts=$O34),ToreLinks,0))</f>
        <v>2</v>
      </c>
      <c r="T34">
        <f ca="1">P34*FaktorPkte+Q34*FaktorTDiff+R34*FaktorTErz</f>
        <v>999901</v>
      </c>
      <c r="U34" s="51">
        <f ca="1">RANK(T34,T$32:T$34,1)</f>
        <v>2</v>
      </c>
      <c r="V34" s="51">
        <f ca="1">IF(AND(Pkte2=Pkte3,Pkte2=Pkte4,Pkte2&lt;&gt;Pkte1),U34,0)</f>
        <v>0</v>
      </c>
      <c r="W34" s="51">
        <f ca="1">IF(AND(T34=T32,T34&lt;&gt;T33,Z34&gt;Z32),1,0)+IF(AND(T34=T33,T34&lt;&gt;T32,AA34&gt;AA33),1,0)</f>
        <v>0</v>
      </c>
      <c r="X34" s="109">
        <f ca="1">IF(V34&gt;0,V34*FaktordirV3+W34*FaktordirV2,0)</f>
        <v>0</v>
      </c>
      <c r="Y34" s="156"/>
      <c r="Z34" s="157">
        <f ca="1">SUMIFS(ToreLinks,MschnLinks,$O34,MschnRechts,$O32)+SUMIFS(ToreRechts,MschnLinks,$O32,MschnRechts,$O34)</f>
        <v>0</v>
      </c>
      <c r="AA34" s="158">
        <f ca="1">SUMIFS(ToreLinks,MschnLinks,$O34,MschnRechts,$O33)+SUMIFS(ToreRechts,MschnLinks,$O33,MschnRechts,$O34)</f>
        <v>1</v>
      </c>
      <c r="AB34" s="110">
        <f ca="1">IF(AND(Pkte1=Pkte2,Pkte1=Pkte3,Pkte1=Pkte4,GanzKoeff2=GanzKoeff3,GanzKoeff2=GanzKoeff4,GanzKoeff2&lt;&gt;GanzKoeff1),U34,0)</f>
        <v>0</v>
      </c>
      <c r="AC34" s="109">
        <f ca="1">IF(AB34&gt;0,AB34*FaktordirV3+W34*FaktordirV2,0)</f>
        <v>0</v>
      </c>
    </row>
    <row r="35" spans="14:29">
      <c r="O35" s="108" t="str">
        <f ca="1">Mann1</f>
        <v>Engeland</v>
      </c>
      <c r="P35" s="51"/>
      <c r="Q35" s="51"/>
      <c r="R35" s="51"/>
      <c r="S35" s="51"/>
    </row>
  </sheetData>
  <mergeCells count="6">
    <mergeCell ref="Y16:AA16"/>
    <mergeCell ref="B3:D3"/>
    <mergeCell ref="E3:G3"/>
    <mergeCell ref="H3:I3"/>
    <mergeCell ref="J3:L3"/>
    <mergeCell ref="E16:J16"/>
  </mergeCells>
  <dataValidations count="1">
    <dataValidation type="custom" showInputMessage="1" showErrorMessage="1" error="hbFehler" sqref="D13" xr:uid="{AB7F7F61-2411-4300-BFAA-9E2DB14C4CF0}">
      <formula1>D12=2</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14B2-2753-4F21-864F-F0C654E41A48}">
  <sheetPr codeName="Tabelle12"/>
  <dimension ref="A1:AH35"/>
  <sheetViews>
    <sheetView workbookViewId="0">
      <selection activeCell="A3" sqref="A3"/>
    </sheetView>
  </sheetViews>
  <sheetFormatPr defaultColWidth="10.88671875" defaultRowHeight="14.4"/>
  <cols>
    <col min="1" max="1" width="9.4414062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3.21875" customWidth="1"/>
    <col min="12" max="12" width="5" customWidth="1"/>
    <col min="13" max="13" width="7.77734375" customWidth="1"/>
    <col min="14" max="14" width="4.44140625" style="51" customWidth="1"/>
    <col min="15" max="15" width="14" customWidth="1"/>
    <col min="20" max="20" width="14.21875" customWidth="1"/>
    <col min="22" max="22" width="10.77734375" customWidth="1"/>
    <col min="25" max="25" width="12.21875" customWidth="1"/>
    <col min="27" max="27" width="12.77734375" customWidth="1"/>
    <col min="28" max="28" width="9" customWidth="1"/>
    <col min="30" max="30" width="11.77734375" customWidth="1"/>
    <col min="31" max="31" width="3.21875" customWidth="1"/>
    <col min="32" max="32" width="4.5546875" customWidth="1"/>
    <col min="33" max="33" width="0.77734375" customWidth="1"/>
    <col min="34" max="34" width="3.5546875" customWidth="1"/>
  </cols>
  <sheetData>
    <row r="1" spans="1:34" ht="23.4">
      <c r="A1" s="136" t="s">
        <v>211</v>
      </c>
      <c r="B1" s="135" t="s">
        <v>104</v>
      </c>
      <c r="D1" s="135" t="s">
        <v>105</v>
      </c>
      <c r="O1" s="130" t="s">
        <v>4</v>
      </c>
    </row>
    <row r="2" spans="1:34" ht="8.25" customHeight="1"/>
    <row r="3" spans="1:34">
      <c r="B3" s="357" t="s">
        <v>89</v>
      </c>
      <c r="C3" s="357"/>
      <c r="D3" s="357"/>
      <c r="E3" s="357" t="s">
        <v>88</v>
      </c>
      <c r="F3" s="357"/>
      <c r="G3" s="357"/>
      <c r="H3" s="357" t="s">
        <v>73</v>
      </c>
      <c r="I3" s="357"/>
      <c r="J3" s="357" t="s">
        <v>85</v>
      </c>
      <c r="K3" s="357"/>
      <c r="L3" s="357"/>
      <c r="M3" s="232" t="s">
        <v>118</v>
      </c>
      <c r="N3" s="128"/>
      <c r="O3" s="127"/>
      <c r="P3" s="129" t="s">
        <v>73</v>
      </c>
      <c r="Q3" s="129" t="s">
        <v>84</v>
      </c>
      <c r="R3" s="129" t="s">
        <v>83</v>
      </c>
      <c r="S3" s="129" t="s">
        <v>82</v>
      </c>
      <c r="T3" s="129" t="s">
        <v>81</v>
      </c>
      <c r="U3" s="140" t="s">
        <v>287</v>
      </c>
      <c r="V3" s="140" t="s">
        <v>288</v>
      </c>
      <c r="W3" s="140" t="s">
        <v>87</v>
      </c>
      <c r="X3" s="140" t="s">
        <v>80</v>
      </c>
      <c r="Y3" s="140" t="s">
        <v>94</v>
      </c>
      <c r="Z3" s="140" t="s">
        <v>95</v>
      </c>
      <c r="AA3" s="140" t="s">
        <v>98</v>
      </c>
      <c r="AC3" s="140" t="s">
        <v>96</v>
      </c>
    </row>
    <row r="4" spans="1:34">
      <c r="B4" s="124" t="str">
        <f ca="1">INDIRECT("'"&amp;$A$1&amp;"'!"&amp;$B$1&amp;"12")</f>
        <v>Polen</v>
      </c>
      <c r="C4" s="51" t="s">
        <v>76</v>
      </c>
      <c r="D4" s="123" t="str">
        <f ca="1">INDIRECT("'"&amp;$A$1&amp;"'!"&amp;$D$1&amp;"12")</f>
        <v>Slowakije</v>
      </c>
      <c r="E4" s="122">
        <f ca="1">IF(OR(INDIRECT("'"&amp;$A$1&amp;"'!"&amp;$B$1&amp;"13")="",INDIRECT("'"&amp;$A$1&amp;"'!"&amp;$D$1&amp;"13")=""),"",INDIRECT("'"&amp;$A$1&amp;"'!"&amp;$B$1&amp;"13"))</f>
        <v>4</v>
      </c>
      <c r="F4" s="51" t="s">
        <v>75</v>
      </c>
      <c r="G4" s="111">
        <f ca="1">IF(OR(INDIRECT("'"&amp;$A$1&amp;"'!"&amp;$B$1&amp;"13")="",INDIRECT("'"&amp;$A$1&amp;"'!"&amp;$D$1&amp;"13")=""),"",INDIRECT("'"&amp;$A$1&amp;"'!"&amp;$D$1&amp;"13"))</f>
        <v>1</v>
      </c>
      <c r="H4" s="51">
        <f ca="1">IF($M4&gt;0,IF($E4&gt;$G4,3,IF($E4=$G4,1,0)),0)</f>
        <v>3</v>
      </c>
      <c r="I4" s="51">
        <f ca="1">IF($M4&gt;0,IF($E4&lt;$G4,3,IF($E4=$G4,1,0)),0)</f>
        <v>0</v>
      </c>
      <c r="K4" s="51"/>
      <c r="L4" s="111"/>
      <c r="M4" s="111">
        <f ca="1">IF(AND($E4&lt;&gt;"",$G4&lt;&gt;""),1,0)</f>
        <v>1</v>
      </c>
      <c r="N4" s="51" t="s">
        <v>66</v>
      </c>
      <c r="O4" t="str">
        <f ca="1">Mann1</f>
        <v>Polen</v>
      </c>
      <c r="P4" s="51">
        <f ca="1">SUMIF(MschnLinks,O4,PkteLinks)+SUMIF(MschnRechts,O4,PkteRechts)</f>
        <v>4</v>
      </c>
      <c r="Q4" s="51">
        <f ca="1">R4-S4</f>
        <v>2</v>
      </c>
      <c r="R4" s="51">
        <f ca="1">SUMIF(MschnLinks,$O4,ToreLinks)+SUMIF(MschnRechts,$O4,ToreRechts)</f>
        <v>7</v>
      </c>
      <c r="S4" s="51">
        <f ca="1">SUMIF(MschnLinks,$O4,ToreRechts)+SUMIF(MschnRechts,$O4,ToreLinks)</f>
        <v>5</v>
      </c>
      <c r="T4" s="131">
        <f ca="1">$P4*FaktorPkte+Y4+Z4+AA4+$Q4*FaktorTDiff+$R4*FaktorTErz+V4+U4+W4*FaktorFairPlay+X4*FaktorRngLi</f>
        <v>4000207.0991099998</v>
      </c>
      <c r="U4">
        <f ca="1">IF(AND($X$12&gt;0,OR(AND($B$8=O4,$J$8&gt;$L$8),AND($D$8=O4,$J$8&lt;$L$8))),FaktorElfm,0)</f>
        <v>0</v>
      </c>
      <c r="V4" s="148">
        <f ca="1">IF(AND($X$11&gt;0,OR(AND(LetzteBegLinks=O4,ElfmLinks&gt;ElfmRechts),AND(LetzteBegRechts=O4,ElfmLinks&lt;ElfmRechts))),FaktorElfm,0)</f>
        <v>0</v>
      </c>
      <c r="W4" s="148">
        <f ca="1">99-SUMIFS(FairPlayPkte1,FairPlayMn1,O4)-SUMIFS(FairPlayPkte2,FairPlayMn2,O4)</f>
        <v>99</v>
      </c>
      <c r="X4" s="148">
        <f ca="1">25-INDEX(RngLiRang,MATCH(GrpA!O4,RngLiLand,0))</f>
        <v>11</v>
      </c>
      <c r="Y4" s="126">
        <f ca="1">SUMIFS(DirVergleich3,DirVglMschn,O4)</f>
        <v>0</v>
      </c>
      <c r="Z4" s="126">
        <f ca="1">L17*FaktordirV2</f>
        <v>0</v>
      </c>
      <c r="AA4" s="126">
        <f ca="1">SUMIFS(DirVergleich4,DirVglMschn,O4)</f>
        <v>0</v>
      </c>
      <c r="AC4" s="150">
        <f ca="1">$P4*FaktorPkte+$Q4*FaktorTDiff+$R4*FaktorTErz</f>
        <v>4000207</v>
      </c>
    </row>
    <row r="5" spans="1:34">
      <c r="B5" s="124" t="str">
        <f ca="1">INDIRECT("'"&amp;$A$1&amp;"'!"&amp;$B$1&amp;"17")</f>
        <v>Spanje</v>
      </c>
      <c r="C5" s="51" t="s">
        <v>76</v>
      </c>
      <c r="D5" s="123" t="str">
        <f ca="1">INDIRECT("'"&amp;$A$1&amp;"'!"&amp;$D$1&amp;"17")</f>
        <v>Zweden</v>
      </c>
      <c r="E5" s="122">
        <f ca="1">IF(OR(INDIRECT("'"&amp;$A$1&amp;"'!"&amp;$B$1&amp;"18")="",INDIRECT("'"&amp;$A$1&amp;"'!"&amp;$D$1&amp;"18")=""),"",INDIRECT("'"&amp;$A$1&amp;"'!"&amp;$B$1&amp;"18"))</f>
        <v>3</v>
      </c>
      <c r="F5" s="51" t="s">
        <v>75</v>
      </c>
      <c r="G5" s="111">
        <f ca="1">IF(OR(INDIRECT("'"&amp;$A$1&amp;"'!"&amp;$B$1&amp;"18")="",INDIRECT("'"&amp;$A$1&amp;"'!"&amp;$D$1&amp;"18")=""),"",INDIRECT("'"&amp;$A$1&amp;"'!"&amp;$D$1&amp;"18"))</f>
        <v>1</v>
      </c>
      <c r="H5" s="51">
        <f t="shared" ref="H5:H9" ca="1" si="0">IF($M5&gt;0,IF($E5&gt;$G5,3,IF($E5=$G5,1,0)),0)</f>
        <v>3</v>
      </c>
      <c r="I5" s="51">
        <f t="shared" ref="I5:I9" ca="1" si="1">IF($M5&gt;0,IF($E5&lt;$G5,3,IF($E5=$G5,1,0)),0)</f>
        <v>0</v>
      </c>
      <c r="K5" s="51"/>
      <c r="L5" s="111"/>
      <c r="M5" s="111">
        <f t="shared" ref="M5:M9" ca="1" si="2">IF(AND($E5&lt;&gt;"",$G5&lt;&gt;""),1,0)</f>
        <v>1</v>
      </c>
      <c r="N5" s="51" t="s">
        <v>67</v>
      </c>
      <c r="O5" t="str">
        <f ca="1">Mann2</f>
        <v>Slowakije</v>
      </c>
      <c r="P5" s="51">
        <f ca="1">SUMIF(MschnLinks,O5,PkteLinks)+SUMIF(MschnRechts,O5,PkteRechts)</f>
        <v>0</v>
      </c>
      <c r="Q5" s="51">
        <f ca="1">R5-S5</f>
        <v>-6</v>
      </c>
      <c r="R5" s="51">
        <f ca="1">SUMIF(MschnLinks,$O5,ToreLinks)+SUMIF(MschnRechts,$O5,ToreRechts)</f>
        <v>1</v>
      </c>
      <c r="S5" s="51">
        <f ca="1">SUMIF(MschnLinks,$O5,ToreRechts)+SUMIF(MschnRechts,$O5,ToreLinks)</f>
        <v>7</v>
      </c>
      <c r="T5" s="131">
        <f ca="1">$P5*FaktorPkte+Y5+Z5+AA5+$Q5*FaktorTDiff+$R5*FaktorTErz+V5+U5+W5*FaktorFairPlay+X5*FaktorRngLi</f>
        <v>-598.90076999999997</v>
      </c>
      <c r="U5">
        <f ca="1">IF(AND($X$12&gt;0,OR(AND($B$8=O5,$J$8&gt;$L$8),AND($D$8=O5,$J$8&lt;$L$8))),FaktorElfm,0)</f>
        <v>0</v>
      </c>
      <c r="V5" s="148">
        <f ca="1">IF(AND($X$11&gt;0,OR(AND(LetzteBegLinks=O5,ElfmLinks&gt;ElfmRechts),AND(LetzteBegRechts=O5,ElfmLinks&lt;ElfmRechts))),FaktorElfm,0)</f>
        <v>0</v>
      </c>
      <c r="W5" s="148">
        <f ca="1">99-SUMIFS(FairPlayPkte1,FairPlayMn1,O5)-SUMIFS(FairPlayPkte2,FairPlayMn2,O5)</f>
        <v>99</v>
      </c>
      <c r="X5" s="148">
        <f ca="1">25-INDEX(RngLiRang,MATCH(GrpA!O5,RngLiLand,0))</f>
        <v>23</v>
      </c>
      <c r="Y5" s="126">
        <f ca="1">SUMIFS(DirVergleich3,DirVglMschn,O5)</f>
        <v>0</v>
      </c>
      <c r="Z5" s="126">
        <f ca="1">L18*FaktordirV2</f>
        <v>0</v>
      </c>
      <c r="AA5" s="126">
        <f ca="1">SUMIFS(DirVergleich4,DirVglMschn,O5)</f>
        <v>0</v>
      </c>
      <c r="AC5" s="150">
        <f ca="1">$P5*FaktorPkte+$Q5*FaktorTDiff+$R5*FaktorTErz</f>
        <v>-599</v>
      </c>
    </row>
    <row r="6" spans="1:34">
      <c r="B6" s="122" t="str">
        <f ca="1">INDIRECT("'"&amp;$A$1&amp;"'!"&amp;$B$1&amp;"22")</f>
        <v>Zweden</v>
      </c>
      <c r="C6" s="51" t="s">
        <v>76</v>
      </c>
      <c r="D6" t="str">
        <f ca="1">INDIRECT("'"&amp;$A$1&amp;"'!"&amp;$D$1&amp;"22")</f>
        <v>Slowakije</v>
      </c>
      <c r="E6" s="122">
        <f ca="1">IF(OR(INDIRECT("'"&amp;$A$1&amp;"'!"&amp;$B$1&amp;"23")="",INDIRECT("'"&amp;$A$1&amp;"'!"&amp;$D$1&amp;"23")=""),"",INDIRECT("'"&amp;$A$1&amp;"'!"&amp;$B$1&amp;"23"))</f>
        <v>1</v>
      </c>
      <c r="F6" s="51" t="s">
        <v>75</v>
      </c>
      <c r="G6" s="111">
        <f ca="1">IF(OR(INDIRECT("'"&amp;$A$1&amp;"'!"&amp;$B$1&amp;"23")="",INDIRECT("'"&amp;$A$1&amp;"'!"&amp;$D$1&amp;"23")=""),"",INDIRECT("'"&amp;$A$1&amp;"'!"&amp;$D$1&amp;"23"))</f>
        <v>0</v>
      </c>
      <c r="H6" s="51">
        <f t="shared" ca="1" si="0"/>
        <v>3</v>
      </c>
      <c r="I6" s="51">
        <f t="shared" ca="1" si="1"/>
        <v>0</v>
      </c>
      <c r="K6" s="51"/>
      <c r="L6" s="111"/>
      <c r="M6" s="111">
        <f t="shared" ca="1" si="2"/>
        <v>1</v>
      </c>
      <c r="N6" s="51" t="s">
        <v>68</v>
      </c>
      <c r="O6" t="str">
        <f ca="1">Mann3</f>
        <v>Spanje</v>
      </c>
      <c r="P6" s="51">
        <f ca="1">SUMIF(MschnLinks,O6,PkteLinks)+SUMIF(MschnRechts,O6,PkteRechts)</f>
        <v>9</v>
      </c>
      <c r="Q6" s="51">
        <f ca="1">R6-S6</f>
        <v>5</v>
      </c>
      <c r="R6" s="51">
        <f ca="1">SUMIF(MschnLinks,$O6,ToreLinks)+SUMIF(MschnRechts,$O6,ToreRechts)</f>
        <v>8</v>
      </c>
      <c r="S6" s="51">
        <f ca="1">SUMIF(MschnLinks,$O6,ToreRechts)+SUMIF(MschnRechts,$O6,ToreLinks)</f>
        <v>3</v>
      </c>
      <c r="T6" s="131">
        <f ca="1">$P6*FaktorPkte+Y6+Z6+AA6+$Q6*FaktorTDiff+$R6*FaktorTErz+V6+U6+W6*FaktorFairPlay+X6*FaktorRngLi</f>
        <v>9000508.099059999</v>
      </c>
      <c r="U6">
        <f ca="1">IF(AND($X$12&gt;0,OR(AND($B$8=O6,$J$8&gt;$L$8),AND($D$8=O6,$J$8&lt;$L$8))),FaktorElfm,0)</f>
        <v>0</v>
      </c>
      <c r="V6" s="148">
        <f ca="1">IF(AND($X$11&gt;0,OR(AND(LetzteBegLinks=O6,ElfmLinks&gt;ElfmRechts),AND(LetzteBegRechts=O6,ElfmLinks&lt;ElfmRechts))),FaktorElfm,0)</f>
        <v>0</v>
      </c>
      <c r="W6" s="148">
        <f ca="1">99-SUMIFS(FairPlayPkte1,FairPlayMn1,O6)-SUMIFS(FairPlayPkte2,FairPlayMn2,O6)</f>
        <v>99</v>
      </c>
      <c r="X6" s="148">
        <f ca="1">25-INDEX(RngLiRang,MATCH(GrpA!O6,RngLiLand,0))</f>
        <v>6</v>
      </c>
      <c r="Y6" s="126">
        <f ca="1">SUMIFS(DirVergleich3,DirVglMschn,O6)</f>
        <v>0</v>
      </c>
      <c r="Z6" s="126">
        <f ca="1">L19*FaktordirV2</f>
        <v>0</v>
      </c>
      <c r="AA6" s="126">
        <f ca="1">SUMIFS(DirVergleich4,DirVglMschn,O6)</f>
        <v>0</v>
      </c>
      <c r="AC6" s="150">
        <f ca="1">$P6*FaktorPkte+$Q6*FaktorTDiff+$R6*FaktorTErz</f>
        <v>9000508</v>
      </c>
    </row>
    <row r="7" spans="1:34">
      <c r="B7" s="122" t="str">
        <f ca="1">INDIRECT("'"&amp;$A$1&amp;"'!"&amp;$B$1&amp;"27")</f>
        <v>Spanje</v>
      </c>
      <c r="C7" s="51" t="s">
        <v>76</v>
      </c>
      <c r="D7" t="str">
        <f ca="1">INDIRECT("'"&amp;$A$1&amp;"'!"&amp;$D$1&amp;"27")</f>
        <v>Polen</v>
      </c>
      <c r="E7" s="122">
        <f ca="1">IF(OR(INDIRECT("'"&amp;$A$1&amp;"'!"&amp;$B$1&amp;"28")="",INDIRECT("'"&amp;$A$1&amp;"'!"&amp;$D$1&amp;"28")=""),"",INDIRECT("'"&amp;$A$1&amp;"'!"&amp;$B$1&amp;"28"))</f>
        <v>3</v>
      </c>
      <c r="F7" s="51" t="s">
        <v>75</v>
      </c>
      <c r="G7" s="111">
        <f ca="1">IF(OR(INDIRECT("'"&amp;$A$1&amp;"'!"&amp;$B$1&amp;"28")="",INDIRECT("'"&amp;$A$1&amp;"'!"&amp;$D$1&amp;"28")=""),"",INDIRECT("'"&amp;$A$1&amp;"'!"&amp;$D$1&amp;"28"))</f>
        <v>2</v>
      </c>
      <c r="H7" s="51">
        <f t="shared" ca="1" si="0"/>
        <v>3</v>
      </c>
      <c r="I7" s="51">
        <f t="shared" ca="1" si="1"/>
        <v>0</v>
      </c>
      <c r="K7" s="51"/>
      <c r="L7" s="111"/>
      <c r="M7" s="111">
        <f t="shared" ca="1" si="2"/>
        <v>1</v>
      </c>
      <c r="N7" s="51" t="s">
        <v>69</v>
      </c>
      <c r="O7" t="str">
        <f ca="1">Mann4</f>
        <v>Zweden</v>
      </c>
      <c r="P7" s="51">
        <f ca="1">SUMIF(MschnLinks,O7,PkteLinks)+SUMIF(MschnRechts,O7,PkteRechts)</f>
        <v>4</v>
      </c>
      <c r="Q7" s="51">
        <f ca="1">R7-S7</f>
        <v>-1</v>
      </c>
      <c r="R7" s="51">
        <f ca="1">SUMIF(MschnLinks,$O7,ToreLinks)+SUMIF(MschnRechts,$O7,ToreRechts)</f>
        <v>3</v>
      </c>
      <c r="S7" s="51">
        <f ca="1">SUMIF(MschnLinks,$O7,ToreRechts)+SUMIF(MschnRechts,$O7,ToreLinks)</f>
        <v>4</v>
      </c>
      <c r="T7" s="131">
        <f ca="1">$P7*FaktorPkte+Y7+Z7+AA7+$Q7*FaktorTDiff+$R7*FaktorTErz+V7+U7+W7*FaktorFairPlay+X7*FaktorRngLi</f>
        <v>3999903.0991599998</v>
      </c>
      <c r="U7">
        <f ca="1">IF(AND($X$12&gt;0,OR(AND($B$8=O7,$J$8&gt;$L$8),AND($D$8=O7,$J$8&lt;$L$8))),FaktorElfm,0)</f>
        <v>0</v>
      </c>
      <c r="V7" s="148">
        <f ca="1">IF(AND($X$11&gt;0,OR(AND(LetzteBegLinks=O7,ElfmLinks&gt;ElfmRechts),AND(LetzteBegRechts=O7,ElfmLinks&lt;ElfmRechts))),FaktorElfm,0)</f>
        <v>0</v>
      </c>
      <c r="W7" s="148">
        <f ca="1">99-SUMIFS(FairPlayPkte1,FairPlayMn1,O7)-SUMIFS(FairPlayPkte2,FairPlayMn2,O7)</f>
        <v>99</v>
      </c>
      <c r="X7" s="148">
        <f ca="1">25-INDEX(RngLiRang,MATCH(GrpA!O7,RngLiLand,0))</f>
        <v>16</v>
      </c>
      <c r="Y7" s="126">
        <f ca="1">SUMIFS(DirVergleich3,DirVglMschn,O7)</f>
        <v>0</v>
      </c>
      <c r="Z7" s="126">
        <f ca="1">L20*FaktordirV2</f>
        <v>0</v>
      </c>
      <c r="AA7" s="126">
        <f ca="1">SUMIFS(DirVergleich4,DirVglMschn,O7)</f>
        <v>0</v>
      </c>
      <c r="AC7" s="150">
        <f ca="1">$P7*FaktorPkte+$Q7*FaktorTDiff+$R7*FaktorTErz</f>
        <v>3999903</v>
      </c>
    </row>
    <row r="8" spans="1:34">
      <c r="B8" s="122" t="str">
        <f ca="1">INDIRECT("'"&amp;$A$1&amp;"'!"&amp;$B$1&amp;"32")</f>
        <v>Slowakije</v>
      </c>
      <c r="C8" s="51" t="s">
        <v>76</v>
      </c>
      <c r="D8" t="str">
        <f ca="1">INDIRECT("'"&amp;$A$1&amp;"'!"&amp;$D$1&amp;"32")</f>
        <v>Spanje</v>
      </c>
      <c r="E8" s="122">
        <f ca="1">IF(OR(INDIRECT("'"&amp;$A$1&amp;"'!"&amp;$B$1&amp;"33")="",INDIRECT("'"&amp;$A$1&amp;"'!"&amp;$D$1&amp;"33")=""),"",INDIRECT("'"&amp;$A$1&amp;"'!"&amp;$B$1&amp;"33"))</f>
        <v>0</v>
      </c>
      <c r="F8" s="51" t="s">
        <v>75</v>
      </c>
      <c r="G8" s="111">
        <f ca="1">IF(OR(INDIRECT("'"&amp;$A$1&amp;"'!"&amp;$B$1&amp;"33")="",INDIRECT("'"&amp;$A$1&amp;"'!"&amp;$D$1&amp;"33")=""),"",INDIRECT("'"&amp;$A$1&amp;"'!"&amp;$D$1&amp;"33"))</f>
        <v>2</v>
      </c>
      <c r="H8" s="51">
        <f t="shared" ca="1" si="0"/>
        <v>0</v>
      </c>
      <c r="I8" s="51">
        <f t="shared" ca="1" si="1"/>
        <v>3</v>
      </c>
      <c r="J8" s="122" t="str">
        <f ca="1">IF(OR(INDIRECT("'"&amp;$A$1&amp;"'!"&amp;$B$1&amp;"35")="",INDIRECT("'"&amp;$A$1&amp;"'!"&amp;$D$1&amp;"35")=""),"",INDIRECT("'"&amp;$A$1&amp;"'!"&amp;$B$1&amp;"35"))</f>
        <v/>
      </c>
      <c r="K8" s="51" t="s">
        <v>75</v>
      </c>
      <c r="L8" s="111" t="str">
        <f ca="1">IF(OR(INDIRECT("'"&amp;$A$1&amp;"'!"&amp;$B$1&amp;"35")="",INDIRECT("'"&amp;$A$1&amp;"'!"&amp;$D$1&amp;"35")=""),"",INDIRECT("'"&amp;$A$1&amp;"'!"&amp;$D$1&amp;"35"))</f>
        <v/>
      </c>
      <c r="M8" s="111">
        <f t="shared" ca="1" si="2"/>
        <v>1</v>
      </c>
    </row>
    <row r="9" spans="1:34">
      <c r="B9" s="122" t="str">
        <f ca="1">INDIRECT("'"&amp;$A$1&amp;"'!"&amp;$B$1&amp;"39")</f>
        <v>Zweden</v>
      </c>
      <c r="C9" s="51" t="s">
        <v>76</v>
      </c>
      <c r="D9" t="str">
        <f ca="1">INDIRECT("'"&amp;$A$1&amp;"'!"&amp;$D$1&amp;"39")</f>
        <v>Polen</v>
      </c>
      <c r="E9" s="122">
        <f ca="1">IF(OR(INDIRECT("'"&amp;$A$1&amp;"'!"&amp;$B$1&amp;"40")="",INDIRECT("'"&amp;$A$1&amp;"'!"&amp;$D$1&amp;"40")=""),"",INDIRECT("'"&amp;$A$1&amp;"'!"&amp;$B$1&amp;"40"))</f>
        <v>1</v>
      </c>
      <c r="F9" s="51" t="s">
        <v>75</v>
      </c>
      <c r="G9" s="111">
        <f ca="1">IF(OR(INDIRECT("'"&amp;$A$1&amp;"'!"&amp;$B$1&amp;"40")="",INDIRECT("'"&amp;$A$1&amp;"'!"&amp;$D$1&amp;"40")=""),"",INDIRECT("'"&amp;$A$1&amp;"'!"&amp;$D$1&amp;"40"))</f>
        <v>1</v>
      </c>
      <c r="H9" s="51">
        <f t="shared" ca="1" si="0"/>
        <v>1</v>
      </c>
      <c r="I9" s="51">
        <f t="shared" ca="1" si="1"/>
        <v>1</v>
      </c>
      <c r="J9" s="122" t="str">
        <f ca="1">IF(OR(INDIRECT("'"&amp;$A$1&amp;"'!"&amp;$B$1&amp;"42")="",INDIRECT("'"&amp;$A$1&amp;"'!"&amp;$D$1&amp;"42")=""),"",INDIRECT("'"&amp;$A$1&amp;"'!"&amp;$B$1&amp;"42"))</f>
        <v/>
      </c>
      <c r="K9" s="51" t="s">
        <v>75</v>
      </c>
      <c r="L9" s="111" t="str">
        <f ca="1">IF(OR(INDIRECT("'"&amp;$A$1&amp;"'!"&amp;$B$1&amp;"42")="",INDIRECT("'"&amp;$A$1&amp;"'!"&amp;$D$1&amp;"42")=""),"",INDIRECT("'"&amp;$A$1&amp;"'!"&amp;$D$1&amp;"42"))</f>
        <v/>
      </c>
      <c r="M9" s="111">
        <f t="shared" ca="1" si="2"/>
        <v>1</v>
      </c>
    </row>
    <row r="10" spans="1:34" ht="15" thickBot="1">
      <c r="M10" s="186"/>
      <c r="V10" s="149" t="s">
        <v>122</v>
      </c>
      <c r="X10" s="149" t="s">
        <v>85</v>
      </c>
      <c r="Y10" s="51"/>
      <c r="Z10" s="149" t="s">
        <v>119</v>
      </c>
      <c r="AA10" s="51"/>
    </row>
    <row r="11" spans="1:34" ht="15" thickTop="1">
      <c r="N11" s="121" t="s">
        <v>66</v>
      </c>
      <c r="O11" s="120" t="str">
        <f t="shared" ref="O11:S14" ca="1" si="3">INDEX(O$4:O$7,MATCH($T11,$T$4:$T$7,0))</f>
        <v>Spanje</v>
      </c>
      <c r="P11" s="119">
        <f t="shared" ca="1" si="3"/>
        <v>9</v>
      </c>
      <c r="Q11" s="119">
        <f t="shared" ca="1" si="3"/>
        <v>5</v>
      </c>
      <c r="R11" s="119">
        <f t="shared" ca="1" si="3"/>
        <v>8</v>
      </c>
      <c r="S11" s="119">
        <f t="shared" ca="1" si="3"/>
        <v>3</v>
      </c>
      <c r="T11" s="132">
        <f ca="1">LARGE($T$4:$T$7,ROW($T4)-3)</f>
        <v>9000508.099059999</v>
      </c>
      <c r="V11" s="179">
        <f ca="1">IF(AND(OR(TRUNC($T$11,1)=TRUNC($T$12,1),TRUNC($T$11,1)=TRUNC($T$13,1),TRUNC($T$11,1)=TRUNC($T$14,1),TRUNC($T$12,1)=TRUNC($T$13,1),TRUNC($T$12,1)=TRUNC($T$14,1),TRUNC($T$13,1)=TRUNC($T$14,1)),$Z$11&gt;0),1,0)</f>
        <v>0</v>
      </c>
      <c r="W11" s="226" t="s">
        <v>286</v>
      </c>
      <c r="X11" s="51">
        <f ca="1">IF(AND(VLOOKUP($B$9,$O$4:$AC$7,15,0)=VLOOKUP($D$9,$O$4:$AC$7,15,0),$E$9=$G$9,COUNTIF($P$4:$P$7,VLOOKUP($B$9,$O$4:$P$7,2,0))=2,$M$9&gt;0),1,0)</f>
        <v>0</v>
      </c>
      <c r="Y11" s="51"/>
      <c r="Z11" s="185">
        <f ca="1">SUM($M$4:$M$9)</f>
        <v>6</v>
      </c>
      <c r="AA11" s="51"/>
      <c r="AE11" s="163">
        <f ca="1">P11</f>
        <v>9</v>
      </c>
      <c r="AF11" s="162">
        <f ca="1">R11</f>
        <v>8</v>
      </c>
      <c r="AG11" s="160" t="s">
        <v>75</v>
      </c>
      <c r="AH11" s="161">
        <f ca="1">S11</f>
        <v>3</v>
      </c>
    </row>
    <row r="12" spans="1:34">
      <c r="D12" s="51"/>
      <c r="N12" s="118" t="s">
        <v>67</v>
      </c>
      <c r="O12" s="60" t="str">
        <f t="shared" ca="1" si="3"/>
        <v>Polen</v>
      </c>
      <c r="P12" s="231">
        <f t="shared" ca="1" si="3"/>
        <v>4</v>
      </c>
      <c r="Q12" s="231">
        <f t="shared" ca="1" si="3"/>
        <v>2</v>
      </c>
      <c r="R12" s="231">
        <f t="shared" ca="1" si="3"/>
        <v>7</v>
      </c>
      <c r="S12" s="231">
        <f t="shared" ca="1" si="3"/>
        <v>5</v>
      </c>
      <c r="T12" s="133">
        <f ca="1">LARGE($T$4:$T$7,ROW($T5)-3)</f>
        <v>4000207.0991099998</v>
      </c>
      <c r="W12" s="226" t="s">
        <v>285</v>
      </c>
      <c r="X12" s="51">
        <f ca="1">IF(AND(VLOOKUP($B$8,$O$4:$AC$7,15,0)=VLOOKUP($D$8,$O$4:$AC$7,15,0),$E$8=$G$8,COUNTIF($P$4:$P$7,VLOOKUP($B$8,$O$4:$P$7,2,0))=2,$M$8&gt;0),1,0)</f>
        <v>0</v>
      </c>
      <c r="AE12" s="163">
        <f t="shared" ref="AE12:AE14" ca="1" si="4">P12</f>
        <v>4</v>
      </c>
      <c r="AF12" s="162">
        <f t="shared" ref="AF12:AF14" ca="1" si="5">R12</f>
        <v>7</v>
      </c>
      <c r="AG12" s="160" t="s">
        <v>75</v>
      </c>
      <c r="AH12" s="161">
        <f t="shared" ref="AH12:AH14" ca="1" si="6">S12</f>
        <v>5</v>
      </c>
    </row>
    <row r="13" spans="1:34">
      <c r="D13" s="183"/>
      <c r="N13" s="118" t="s">
        <v>68</v>
      </c>
      <c r="O13" s="60" t="str">
        <f t="shared" ca="1" si="3"/>
        <v>Zweden</v>
      </c>
      <c r="P13" s="231">
        <f t="shared" ca="1" si="3"/>
        <v>4</v>
      </c>
      <c r="Q13" s="231">
        <f t="shared" ca="1" si="3"/>
        <v>-1</v>
      </c>
      <c r="R13" s="231">
        <f t="shared" ca="1" si="3"/>
        <v>3</v>
      </c>
      <c r="S13" s="231">
        <f t="shared" ca="1" si="3"/>
        <v>4</v>
      </c>
      <c r="T13" s="133">
        <f ca="1">LARGE($T$4:$T$7,ROW($T6)-3)</f>
        <v>3999903.0991599998</v>
      </c>
      <c r="AE13" s="163">
        <f t="shared" ca="1" si="4"/>
        <v>4</v>
      </c>
      <c r="AF13" s="162">
        <f t="shared" ca="1" si="5"/>
        <v>3</v>
      </c>
      <c r="AG13" s="160" t="s">
        <v>75</v>
      </c>
      <c r="AH13" s="161">
        <f t="shared" ca="1" si="6"/>
        <v>4</v>
      </c>
    </row>
    <row r="14" spans="1:34" ht="15" thickBot="1">
      <c r="D14" s="50"/>
      <c r="F14" s="51"/>
      <c r="G14" s="111"/>
      <c r="N14" s="116" t="s">
        <v>69</v>
      </c>
      <c r="O14" s="115" t="str">
        <f t="shared" ca="1" si="3"/>
        <v>Slowakije</v>
      </c>
      <c r="P14" s="114">
        <f t="shared" ca="1" si="3"/>
        <v>0</v>
      </c>
      <c r="Q14" s="114">
        <f t="shared" ca="1" si="3"/>
        <v>-6</v>
      </c>
      <c r="R14" s="114">
        <f t="shared" ca="1" si="3"/>
        <v>1</v>
      </c>
      <c r="S14" s="114">
        <f t="shared" ca="1" si="3"/>
        <v>7</v>
      </c>
      <c r="T14" s="134">
        <f ca="1">LARGE($T$4:$T$7,ROW($T7)-3)</f>
        <v>-598.90076999999997</v>
      </c>
      <c r="AE14" s="163">
        <f t="shared" ca="1" si="4"/>
        <v>0</v>
      </c>
      <c r="AF14" s="162">
        <f t="shared" ca="1" si="5"/>
        <v>1</v>
      </c>
      <c r="AG14" s="160" t="s">
        <v>75</v>
      </c>
      <c r="AH14" s="161">
        <f t="shared" ca="1" si="6"/>
        <v>7</v>
      </c>
    </row>
    <row r="15" spans="1:34" ht="15" thickTop="1">
      <c r="D15" s="141" t="s">
        <v>93</v>
      </c>
      <c r="F15" s="51"/>
      <c r="G15" s="111"/>
    </row>
    <row r="16" spans="1:34" ht="15" thickBot="1">
      <c r="D16" s="142" t="s">
        <v>91</v>
      </c>
      <c r="E16" s="357" t="s">
        <v>92</v>
      </c>
      <c r="F16" s="357"/>
      <c r="G16" s="357"/>
      <c r="H16" s="357"/>
      <c r="I16" s="357"/>
      <c r="J16" s="357"/>
      <c r="K16" s="127"/>
      <c r="L16" s="149" t="s">
        <v>95</v>
      </c>
      <c r="X16" s="113" t="s">
        <v>94</v>
      </c>
      <c r="Y16" s="356" t="s">
        <v>97</v>
      </c>
      <c r="Z16" s="356"/>
      <c r="AA16" s="356"/>
      <c r="AC16" s="149" t="s">
        <v>98</v>
      </c>
    </row>
    <row r="17" spans="2:29">
      <c r="D17" t="str">
        <f ca="1">Mann1</f>
        <v>Polen</v>
      </c>
      <c r="E17" s="51">
        <f ca="1">Y17</f>
        <v>4</v>
      </c>
      <c r="F17" s="51">
        <f ca="1">Z17</f>
        <v>2</v>
      </c>
      <c r="G17" s="51">
        <f ca="1">Z22</f>
        <v>1</v>
      </c>
      <c r="H17" s="51"/>
      <c r="I17" s="51"/>
      <c r="J17" s="51"/>
      <c r="L17" s="112">
        <f ca="1">IF(AND(Pkte1=Pkte2,Pkte1&lt;&gt;Pkte3,Pkte1&lt;&gt;Pkte4,E17&gt;E18),1,0)+IF(AND(Pkte1=Pkte3,Pkte1&lt;&gt;Pkte2,Pkte1&lt;&gt;Pkte4,F17&gt;F19),1,0)+IF(AND(Pkte1=Pkte4,Pkte1&lt;&gt;Pkte2,Pkte1&lt;&gt;Pkte3,G17&gt;G20),1,0)</f>
        <v>0</v>
      </c>
      <c r="N17" s="51" t="s">
        <v>66</v>
      </c>
      <c r="O17" t="str">
        <f ca="1">Mann1</f>
        <v>Polen</v>
      </c>
      <c r="P17" s="51">
        <f t="array" aca="1" ref="P17" ca="1">SUM(IF((MschnLinks=$O17)*(MschnRechts&lt;&gt;$O$20),PkteLinks,0))+SUM(IF((MschnLinks&lt;&gt;$O$20)*(MschnRechts=$O17),PkteRechts,0))</f>
        <v>3</v>
      </c>
      <c r="Q17" s="51">
        <f ca="1">R17-S17</f>
        <v>2</v>
      </c>
      <c r="R17" s="51">
        <f t="array" aca="1" ref="R17" ca="1">SUM(IF((MschnLinks=$O17)*(MschnRechts&lt;&gt;$O$20),ToreLinks,0))+SUM(IF((MschnLinks&lt;&gt;$O$20)*(MschnRechts=$O17),ToreRechts,0))</f>
        <v>6</v>
      </c>
      <c r="S17" s="51">
        <f t="array" aca="1" ref="S17" ca="1">SUM(IF((MschnLinks=$O17)*(MschnRechts&lt;&gt;$O$20),ToreRechts,0))+SUM(IF((MschnLinks&lt;&gt;$O$20)*(MschnRechts=$O17),ToreLinks,0))</f>
        <v>4</v>
      </c>
      <c r="T17">
        <f ca="1">P17*FaktorPkte+Q17*FaktorTDiff+R17*FaktorTErz</f>
        <v>3000206</v>
      </c>
      <c r="U17" s="51">
        <f ca="1">RANK(T17,T$17:T$19,1)</f>
        <v>2</v>
      </c>
      <c r="V17" s="51">
        <f ca="1">IF(AND(Pkte1=Pkte2,Pkte1=Pkte3,Pkte1&lt;&gt;Pkte4),U17,0)</f>
        <v>0</v>
      </c>
      <c r="W17" s="51">
        <f ca="1">IF(AND(T17=T18,T17&lt;&gt;T19,Y17&gt;Y18),1,0)+IF(AND(T17=T19,T17&lt;&gt;T18,Z17&gt;Z19),1,0)</f>
        <v>0</v>
      </c>
      <c r="X17" s="112">
        <f ca="1">IF(V17&gt;0,V17*FaktordirV3+W17*FaktordirV2,0)</f>
        <v>0</v>
      </c>
      <c r="Y17" s="151">
        <f ca="1">SUMIFS(ToreLinks,MschnLinks,$O17,MschnRechts,$O18)+SUMIFS(ToreRechts,MschnLinks,$O18,MschnRechts,$O17)</f>
        <v>4</v>
      </c>
      <c r="Z17" s="152">
        <f ca="1">SUMIFS(ToreLinks,MschnLinks,$O17,MschnRechts,$O19)+SUMIFS(ToreRechts,MschnLinks,$O19,MschnRechts,$O17)</f>
        <v>2</v>
      </c>
      <c r="AA17" s="153"/>
      <c r="AB17" s="110">
        <f ca="1">IF(AND(Pkte1=Pkte2,Pkte1=Pkte3,Pkte1=Pkte4,GanzKoeff1=GanzKoeff2,GanzKoeff1=GanzKoeff3,GanzKoeff1&lt;&gt;GanzKoeff4),U17,0)</f>
        <v>0</v>
      </c>
      <c r="AC17" s="112">
        <f ca="1">IF(AB17&gt;0,AB17*FaktordirV3+W17*FaktordirV2,0)</f>
        <v>0</v>
      </c>
    </row>
    <row r="18" spans="2:29">
      <c r="D18" t="str">
        <f ca="1">Mann2</f>
        <v>Slowakije</v>
      </c>
      <c r="E18" s="51">
        <f ca="1">Y18</f>
        <v>1</v>
      </c>
      <c r="F18" s="51"/>
      <c r="G18" s="51"/>
      <c r="H18" s="51">
        <f ca="1">AA18</f>
        <v>0</v>
      </c>
      <c r="I18" s="51">
        <f ca="1">AA23</f>
        <v>0</v>
      </c>
      <c r="J18" s="51"/>
      <c r="L18" s="110">
        <f ca="1">IF(AND(Pkte2=Pkte1,Pkte2&lt;&gt;Pkte3,Pkte2&lt;&gt;Pkte4,E18&gt;E17),1,0)+IF(AND(Pkte2=Pkte3,Pkte2&lt;&gt;Pkte1,Pkte2&lt;&gt;Pkte4,H18&gt;H19),1,0)+IF(AND(Pkte2=Pkte4,Pkte2&lt;&gt;Pkte1,Pkte2&lt;&gt;Pkte3,I18&gt;I20),1,0)</f>
        <v>0</v>
      </c>
      <c r="N18" s="51" t="s">
        <v>67</v>
      </c>
      <c r="O18" t="str">
        <f ca="1">Mann2</f>
        <v>Slowakije</v>
      </c>
      <c r="P18" s="51">
        <f t="array" aca="1" ref="P18" ca="1">SUM(IF((MschnLinks=$O18)*(MschnRechts&lt;&gt;$O$20),PkteLinks,0))+SUM(IF((MschnLinks&lt;&gt;$O$20)*(MschnRechts=$O18),PkteRechts,0))</f>
        <v>0</v>
      </c>
      <c r="Q18" s="51">
        <f ca="1">R18-S18</f>
        <v>-5</v>
      </c>
      <c r="R18" s="51">
        <f t="array" aca="1" ref="R18" ca="1">SUM(IF((MschnLinks=$O18)*(MschnRechts&lt;&gt;$O$20),ToreLinks,0))+SUM(IF((MschnLinks&lt;&gt;$O$20)*(MschnRechts=$O18),ToreRechts,0))</f>
        <v>1</v>
      </c>
      <c r="S18" s="51">
        <f t="array" aca="1" ref="S18" ca="1">SUM(IF((MschnLinks=$O18)*(MschnRechts&lt;&gt;$O$20),ToreRechts,0))+SUM(IF((MschnLinks&lt;&gt;$O$20)*(MschnRechts=$O18),ToreLinks,0))</f>
        <v>6</v>
      </c>
      <c r="T18">
        <f ca="1">P18*FaktorPkte+Q18*FaktorTDiff+R18*FaktorTErz</f>
        <v>-499</v>
      </c>
      <c r="U18" s="51">
        <f ca="1">RANK(T18,T$17:T$19,1)</f>
        <v>1</v>
      </c>
      <c r="V18" s="51">
        <f ca="1">IF(AND(Pkte1=Pkte2,Pkte1=Pkte3,Pkte1&lt;&gt;Pkte4),U18,0)</f>
        <v>0</v>
      </c>
      <c r="W18" s="51">
        <f ca="1">IF(AND(T18=T17,T18&lt;&gt;T19,Y18&gt;Y17),1,0)+IF(AND(T18=T19,T18&lt;&gt;T17,AA18&gt;AA19),1,0)</f>
        <v>0</v>
      </c>
      <c r="X18" s="110">
        <f ca="1">IF(V18&gt;0,V18*FaktordirV3+W18*FaktordirV2,0)</f>
        <v>0</v>
      </c>
      <c r="Y18" s="154">
        <f ca="1">SUMIFS(ToreLinks,MschnLinks,$O18,MschnRechts,$O17)+SUMIFS(ToreRechts,MschnLinks,$O17,MschnRechts,$O18)</f>
        <v>1</v>
      </c>
      <c r="Z18" s="231"/>
      <c r="AA18" s="155">
        <f ca="1">SUMIFS(ToreLinks,MschnLinks,$O18,MschnRechts,$O19)+SUMIFS(ToreRechts,MschnLinks,$O19,MschnRechts,$O18)</f>
        <v>0</v>
      </c>
      <c r="AB18" s="110">
        <f ca="1">IF(AND(Pkte1=Pkte2,Pkte1=Pkte3,Pkte1=Pkte4,GanzKoeff1=GanzKoeff2,GanzKoeff1=GanzKoeff3,GanzKoeff1&lt;&gt;GanzKoeff4),U18,0)</f>
        <v>0</v>
      </c>
      <c r="AC18" s="110">
        <f ca="1">IF(AB18&gt;0,AB18*FaktordirV3+W18*FaktordirV2,0)</f>
        <v>0</v>
      </c>
    </row>
    <row r="19" spans="2:29">
      <c r="D19" t="str">
        <f ca="1">Mann3</f>
        <v>Spanje</v>
      </c>
      <c r="E19" s="51"/>
      <c r="F19" s="51">
        <f ca="1">Z19</f>
        <v>3</v>
      </c>
      <c r="G19" s="51"/>
      <c r="H19" s="51">
        <f ca="1">AA19</f>
        <v>2</v>
      </c>
      <c r="I19" s="51"/>
      <c r="J19" s="51">
        <f ca="1">AA28</f>
        <v>3</v>
      </c>
      <c r="L19" s="110">
        <f ca="1">IF(AND(Pkte3=Pkte1,Pkte3&lt;&gt;Pkte2,Pkte3&lt;&gt;Pkte4,F19&gt;F17),1,0)+IF(AND(Pkte3=Pkte2,Pkte3&lt;&gt;Pkte1,Pkte3&lt;&gt;Pkte4,H19&gt;H18),1,0)+IF(AND(Pkte3=Pkte4,Pkte3&lt;&gt;Pkte1,Pkte3&lt;&gt;Pkte2,J19&gt;J20),1,0)</f>
        <v>0</v>
      </c>
      <c r="N19" s="51" t="s">
        <v>68</v>
      </c>
      <c r="O19" t="str">
        <f ca="1">Mann3</f>
        <v>Spanje</v>
      </c>
      <c r="P19" s="51">
        <f t="array" aca="1" ref="P19" ca="1">SUM(IF((MschnLinks=$O19)*(MschnRechts&lt;&gt;$O$20),PkteLinks,0))+SUM(IF((MschnLinks&lt;&gt;$O$20)*(MschnRechts=$O19),PkteRechts,0))</f>
        <v>6</v>
      </c>
      <c r="Q19" s="51">
        <f ca="1">R19-S19</f>
        <v>3</v>
      </c>
      <c r="R19" s="51">
        <f t="array" aca="1" ref="R19" ca="1">SUM(IF((MschnLinks=$O19)*(MschnRechts&lt;&gt;$O$20),ToreLinks,0))+SUM(IF((MschnLinks&lt;&gt;$O$20)*(MschnRechts=$O19),ToreRechts,0))</f>
        <v>5</v>
      </c>
      <c r="S19" s="51">
        <f t="array" aca="1" ref="S19" ca="1">SUM(IF((MschnLinks=$O19)*(MschnRechts&lt;&gt;$O$20),ToreRechts,0))+SUM(IF((MschnLinks&lt;&gt;$O$20)*(MschnRechts=$O19),ToreLinks,0))</f>
        <v>2</v>
      </c>
      <c r="T19">
        <f ca="1">P19*FaktorPkte+Q19*FaktorTDiff+R19*FaktorTErz</f>
        <v>6000305</v>
      </c>
      <c r="U19" s="51">
        <f ca="1">RANK(T19,T$17:T$19,1)</f>
        <v>3</v>
      </c>
      <c r="V19" s="51">
        <f ca="1">IF(AND(Pkte1=Pkte2,Pkte1=Pkte3,Pkte1&lt;&gt;Pkte4),U19,0)</f>
        <v>0</v>
      </c>
      <c r="W19" s="51">
        <f ca="1">IF(AND(T19=T17,T19&lt;&gt;T18,Z19&gt;Z17),1,0)+IF(AND(T19=T18,T19&lt;&gt;T17,AA19&gt;AA18),1,0)</f>
        <v>0</v>
      </c>
      <c r="X19" s="110">
        <f ca="1">IF(V19&gt;0,V19*FaktordirV3+W19*FaktordirV2,0)</f>
        <v>0</v>
      </c>
      <c r="Y19" s="154"/>
      <c r="Z19" s="231">
        <f ca="1">SUMIFS(ToreLinks,MschnLinks,$O19,MschnRechts,$O17)+SUMIFS(ToreRechts,MschnLinks,$O17,MschnRechts,$O19)</f>
        <v>3</v>
      </c>
      <c r="AA19" s="155">
        <f ca="1">SUMIFS(ToreLinks,MschnLinks,$O19,MschnRechts,$O18)+SUMIFS(ToreRechts,MschnLinks,$O18,MschnRechts,$O19)</f>
        <v>2</v>
      </c>
      <c r="AB19" s="110">
        <f ca="1">IF(AND(Pkte1=Pkte2,Pkte1=Pkte3,Pkte1=Pkte4,GanzKoeff1=GanzKoeff2,GanzKoeff1=GanzKoeff3,GanzKoeff1&lt;&gt;GanzKoeff4),U19,0)</f>
        <v>0</v>
      </c>
      <c r="AC19" s="110">
        <f ca="1">IF(AB19&gt;0,AB19*FaktordirV3+W19*FaktordirV2,0)</f>
        <v>0</v>
      </c>
    </row>
    <row r="20" spans="2:29" ht="15" thickBot="1">
      <c r="D20" t="str">
        <f ca="1">Mann4</f>
        <v>Zweden</v>
      </c>
      <c r="E20" s="51"/>
      <c r="F20" s="51"/>
      <c r="G20" s="51">
        <f ca="1">Z24</f>
        <v>1</v>
      </c>
      <c r="H20" s="51"/>
      <c r="I20" s="51">
        <f ca="1">AA24</f>
        <v>1</v>
      </c>
      <c r="J20" s="51">
        <f ca="1">AA29</f>
        <v>1</v>
      </c>
      <c r="L20" s="109">
        <f ca="1">IF(AND(Pkte4=Pkte1,Pkte4&lt;&gt;Pkte2,Pkte4&lt;&gt;Pkte3,G20&gt;G17),1,0)+IF(AND(Pkte4=Pkte2,Pkte4&lt;&gt;Pkte1,Pkte4&lt;&gt;Pkte3,I20&gt;I18),1,0)+IF(AND(Pkte4=Pkte3,Pkte4&lt;&gt;Pkte1,Pkte4&lt;&gt;Pkte2,J20&gt;J19),1,0)</f>
        <v>0</v>
      </c>
      <c r="O20" s="108" t="str">
        <f ca="1">Mann4</f>
        <v>Zweden</v>
      </c>
      <c r="P20" s="51"/>
      <c r="Q20" s="51"/>
      <c r="R20" s="51"/>
      <c r="S20" s="51"/>
      <c r="V20" s="51"/>
      <c r="W20" s="51"/>
      <c r="X20" s="110"/>
      <c r="Y20" s="154"/>
      <c r="Z20" s="231"/>
      <c r="AA20" s="155"/>
      <c r="AB20" s="159"/>
      <c r="AC20" s="159"/>
    </row>
    <row r="21" spans="2:29">
      <c r="B21" s="137"/>
      <c r="C21" s="138"/>
      <c r="D21" s="139"/>
      <c r="F21" s="51"/>
      <c r="G21" s="111"/>
      <c r="V21" s="51"/>
      <c r="W21" s="51"/>
      <c r="X21" s="110"/>
      <c r="Y21" s="154"/>
      <c r="Z21" s="231"/>
      <c r="AA21" s="155"/>
      <c r="AB21" s="159"/>
      <c r="AC21" s="159"/>
    </row>
    <row r="22" spans="2:29">
      <c r="B22" s="137"/>
      <c r="C22" s="138"/>
      <c r="D22" s="139"/>
      <c r="F22" s="51"/>
      <c r="G22" s="111"/>
      <c r="N22" s="51" t="s">
        <v>66</v>
      </c>
      <c r="O22" t="str">
        <f ca="1">Mann1</f>
        <v>Polen</v>
      </c>
      <c r="P22" s="51">
        <f t="array" aca="1" ref="P22" ca="1">SUM(IF((MschnLinks=$O22)*(MschnRechts&lt;&gt;$O$25),PkteLinks,0))+SUM(IF((MschnLinks&lt;&gt;$O$25)*(MschnRechts=$O22),PkteRechts,0))</f>
        <v>4</v>
      </c>
      <c r="Q22" s="51">
        <f ca="1">R22-S22</f>
        <v>3</v>
      </c>
      <c r="R22" s="51">
        <f t="array" aca="1" ref="R22" ca="1">SUM(IF((MschnLinks=$O22)*(MschnRechts&lt;&gt;$O$25),ToreLinks,0))+SUM(IF((MschnLinks&lt;&gt;$O$25)*(MschnRechts=$O22),ToreRechts,0))</f>
        <v>5</v>
      </c>
      <c r="S22" s="51">
        <f t="array" aca="1" ref="S22" ca="1">SUM(IF((MschnLinks=$O22)*(MschnRechts&lt;&gt;$O$25),ToreRechts,0))+SUM(IF((MschnLinks&lt;&gt;$O$25)*(MschnRechts=$O22),ToreLinks,0))</f>
        <v>2</v>
      </c>
      <c r="T22">
        <f ca="1">P22*FaktorPkte+Q22*FaktorTDiff+R22*FaktorTErz</f>
        <v>4000305</v>
      </c>
      <c r="U22" s="51">
        <f ca="1">RANK(T22,T$22:T$24,1)</f>
        <v>3</v>
      </c>
      <c r="V22" s="51">
        <f ca="1">IF(AND(Pkte1=Pkte2,Pkte1=Pkte4,Pkte1&lt;&gt;Pkte3),U22,0)</f>
        <v>0</v>
      </c>
      <c r="W22" s="51">
        <f ca="1">IF(AND(T22=T23,T22&lt;&gt;T24,Y22&gt;Y23),1,0)+IF(AND(T22=T24,T22&lt;&gt;T23,Z22&gt;Z24),1,0)</f>
        <v>0</v>
      </c>
      <c r="X22" s="110">
        <f ca="1">IF(V22&gt;0,V22*FaktordirV3+W22*FaktordirV2,0)</f>
        <v>0</v>
      </c>
      <c r="Y22" s="154">
        <f ca="1">SUMIFS(ToreLinks,MschnLinks,$O22,MschnRechts,$O23)+SUMIFS(ToreRechts,MschnLinks,$O23,MschnRechts,$O22)</f>
        <v>4</v>
      </c>
      <c r="Z22" s="231">
        <f ca="1">SUMIFS(ToreLinks,MschnLinks,$O22,MschnRechts,$O24)+SUMIFS(ToreRechts,MschnLinks,$O24,MschnRechts,$O22)</f>
        <v>1</v>
      </c>
      <c r="AA22" s="155"/>
      <c r="AB22" s="110">
        <f ca="1">IF(AND(Pkte1=Pkte2,Pkte1=Pkte3,Pkte1=Pkte4,GanzKoeff1=GanzKoeff2,GanzKoeff1=GanzKoeff4,GanzKoeff1&lt;&gt;GanzKoeff3),U22,0)</f>
        <v>0</v>
      </c>
      <c r="AC22" s="110">
        <f ca="1">IF(AB22&gt;0,AB22*FaktordirV3+W22*FaktordirV2,0)</f>
        <v>0</v>
      </c>
    </row>
    <row r="23" spans="2:29">
      <c r="B23" s="122"/>
      <c r="C23" s="51"/>
      <c r="F23" s="51"/>
      <c r="G23" s="111"/>
      <c r="N23" s="51" t="s">
        <v>67</v>
      </c>
      <c r="O23" t="str">
        <f ca="1">Mann2</f>
        <v>Slowakije</v>
      </c>
      <c r="P23" s="51">
        <f t="array" aca="1" ref="P23" ca="1">SUM(IF((MschnLinks=$O23)*(MschnRechts&lt;&gt;$O$25),PkteLinks,0))+SUM(IF((MschnLinks&lt;&gt;$O$25)*(MschnRechts=$O23),PkteRechts,0))</f>
        <v>0</v>
      </c>
      <c r="Q23" s="51">
        <f ca="1">R23-S23</f>
        <v>-4</v>
      </c>
      <c r="R23" s="51">
        <f t="array" aca="1" ref="R23" ca="1">SUM(IF((MschnLinks=$O23)*(MschnRechts&lt;&gt;$O$25),ToreLinks,0))+SUM(IF((MschnLinks&lt;&gt;$O$25)*(MschnRechts=$O23),ToreRechts,0))</f>
        <v>1</v>
      </c>
      <c r="S23" s="51">
        <f t="array" aca="1" ref="S23" ca="1">SUM(IF((MschnLinks=$O23)*(MschnRechts&lt;&gt;$O$25),ToreRechts,0))+SUM(IF((MschnLinks&lt;&gt;$O$25)*(MschnRechts=$O23),ToreLinks,0))</f>
        <v>5</v>
      </c>
      <c r="T23">
        <f ca="1">P23*FaktorPkte+Q23*FaktorTDiff+R23*FaktorTErz</f>
        <v>-399</v>
      </c>
      <c r="U23" s="51">
        <f ca="1">RANK(T23,T$22:T$24,1)</f>
        <v>1</v>
      </c>
      <c r="V23" s="51">
        <f ca="1">IF(AND(Pkte1=Pkte2,Pkte1=Pkte4,Pkte1&lt;&gt;Pkte3),U23,0)</f>
        <v>0</v>
      </c>
      <c r="W23" s="51">
        <f ca="1">IF(AND(T23=T22,T23&lt;&gt;T24,Y23&gt;Y22),1,0)+IF(AND(T23=T24,T23&lt;&gt;T22,AA23&gt;AA24),1,0)</f>
        <v>0</v>
      </c>
      <c r="X23" s="110">
        <f ca="1">IF(V23&gt;0,V23*FaktordirV3+W23*FaktordirV2,0)</f>
        <v>0</v>
      </c>
      <c r="Y23" s="154">
        <f ca="1">SUMIFS(ToreLinks,MschnLinks,$O23,MschnRechts,$O22)+SUMIFS(ToreRechts,MschnLinks,$O22,MschnRechts,$O23)</f>
        <v>1</v>
      </c>
      <c r="Z23" s="231"/>
      <c r="AA23" s="155">
        <f ca="1">SUMIFS(ToreLinks,MschnLinks,$O23,MschnRechts,$O24)+SUMIFS(ToreRechts,MschnLinks,$O24,MschnRechts,$O23)</f>
        <v>0</v>
      </c>
      <c r="AB23" s="110">
        <f ca="1">IF(AND(Pkte1=Pkte2,Pkte1=Pkte3,Pkte1=Pkte4,GanzKoeff1=GanzKoeff2,GanzKoeff1=GanzKoeff4,GanzKoeff1&lt;&gt;GanzKoeff3),U23,0)</f>
        <v>0</v>
      </c>
      <c r="AC23" s="110">
        <f ca="1">IF(AB23&gt;0,AB23*FaktordirV3+W23*FaktordirV2,0)</f>
        <v>0</v>
      </c>
    </row>
    <row r="24" spans="2:29">
      <c r="B24" s="122"/>
      <c r="C24" s="51"/>
      <c r="F24" s="51"/>
      <c r="G24" s="111"/>
      <c r="N24" s="51" t="s">
        <v>68</v>
      </c>
      <c r="O24" t="str">
        <f ca="1">Mann4</f>
        <v>Zweden</v>
      </c>
      <c r="P24" s="51">
        <f t="array" aca="1" ref="P24" ca="1">SUM(IF((MschnLinks=$O24)*(MschnRechts&lt;&gt;$O$25),PkteLinks,0))+SUM(IF((MschnLinks&lt;&gt;$O$25)*(MschnRechts=$O24),PkteRechts,0))</f>
        <v>4</v>
      </c>
      <c r="Q24" s="51">
        <f ca="1">R24-S24</f>
        <v>1</v>
      </c>
      <c r="R24" s="51">
        <f t="array" aca="1" ref="R24" ca="1">SUM(IF((MschnLinks=$O24)*(MschnRechts&lt;&gt;$O$25),ToreLinks,0))+SUM(IF((MschnLinks&lt;&gt;$O$25)*(MschnRechts=$O24),ToreRechts,0))</f>
        <v>2</v>
      </c>
      <c r="S24" s="51">
        <f t="array" aca="1" ref="S24" ca="1">SUM(IF((MschnLinks=$O24)*(MschnRechts&lt;&gt;$O$25),ToreRechts,0))+SUM(IF((MschnLinks&lt;&gt;$O$25)*(MschnRechts=$O24),ToreLinks,0))</f>
        <v>1</v>
      </c>
      <c r="T24">
        <f ca="1">P24*FaktorPkte+Q24*FaktorTDiff+R24*FaktorTErz</f>
        <v>4000102</v>
      </c>
      <c r="U24" s="51">
        <f ca="1">RANK(T24,T$22:T$24,1)</f>
        <v>2</v>
      </c>
      <c r="V24" s="51">
        <f ca="1">IF(AND(Pkte1=Pkte2,Pkte1=Pkte4,Pkte1&lt;&gt;Pkte3),U24,0)</f>
        <v>0</v>
      </c>
      <c r="W24" s="51">
        <f ca="1">IF(AND(T24=T22,T24&lt;&gt;T23,Z24&gt;Z22),1,0)+IF(AND(T24=T23,T24&lt;&gt;T22,AA24&gt;AA23),1,0)</f>
        <v>0</v>
      </c>
      <c r="X24" s="110">
        <f ca="1">IF(V24&gt;0,V24*FaktordirV3+W24*FaktordirV2,0)</f>
        <v>0</v>
      </c>
      <c r="Y24" s="154"/>
      <c r="Z24" s="231">
        <f ca="1">SUMIFS(ToreLinks,MschnLinks,$O24,MschnRechts,$O22)+SUMIFS(ToreRechts,MschnLinks,$O22,MschnRechts,$O24)</f>
        <v>1</v>
      </c>
      <c r="AA24" s="155">
        <f ca="1">SUMIFS(ToreLinks,MschnLinks,$O24,MschnRechts,$O23)+SUMIFS(ToreRechts,MschnLinks,$O23,MschnRechts,$O24)</f>
        <v>1</v>
      </c>
      <c r="AB24" s="110">
        <f ca="1">IF(AND(Pkte1=Pkte2,Pkte1=Pkte3,Pkte1=Pkte4,GanzKoeff1=GanzKoeff2,GanzKoeff1=GanzKoeff4,GanzKoeff1&lt;&gt;GanzKoeff3),U24,0)</f>
        <v>0</v>
      </c>
      <c r="AC24" s="110">
        <f ca="1">IF(AB24&gt;0,AB24*FaktordirV3+W24*FaktordirV2,0)</f>
        <v>0</v>
      </c>
    </row>
    <row r="25" spans="2:29">
      <c r="B25" s="122"/>
      <c r="C25" s="51"/>
      <c r="F25" s="51"/>
      <c r="G25" s="111"/>
      <c r="O25" s="108" t="str">
        <f ca="1">Mann3</f>
        <v>Spanje</v>
      </c>
      <c r="P25" s="51"/>
      <c r="Q25" s="51"/>
      <c r="R25" s="51"/>
      <c r="S25" s="51"/>
      <c r="V25" s="51"/>
      <c r="W25" s="51"/>
      <c r="X25" s="110"/>
      <c r="Y25" s="154"/>
      <c r="Z25" s="231"/>
      <c r="AA25" s="155"/>
      <c r="AB25" s="159"/>
      <c r="AC25" s="159"/>
    </row>
    <row r="26" spans="2:29">
      <c r="B26" s="122"/>
      <c r="C26" s="51"/>
      <c r="F26" s="51"/>
      <c r="G26" s="111"/>
      <c r="V26" s="51"/>
      <c r="W26" s="51"/>
      <c r="X26" s="110"/>
      <c r="Y26" s="154"/>
      <c r="Z26" s="231"/>
      <c r="AA26" s="155"/>
      <c r="AB26" s="159"/>
      <c r="AC26" s="159"/>
    </row>
    <row r="27" spans="2:29">
      <c r="N27" s="51" t="s">
        <v>66</v>
      </c>
      <c r="O27" t="str">
        <f ca="1">Mann1</f>
        <v>Polen</v>
      </c>
      <c r="P27" s="51">
        <f t="array" aca="1" ref="P27" ca="1">SUM(IF((MschnLinks=$O27)*(MschnRechts&lt;&gt;$O$30),PkteLinks,0))+SUM(IF((MschnLinks&lt;&gt;$O$30)*(MschnRechts=$O27),PkteRechts,0))</f>
        <v>1</v>
      </c>
      <c r="Q27" s="51">
        <f ca="1">R27-S27</f>
        <v>-1</v>
      </c>
      <c r="R27" s="51">
        <f t="array" aca="1" ref="R27" ca="1">SUM(IF((MschnLinks=$O27)*(MschnRechts&lt;&gt;$O$30),ToreLinks,0))+SUM(IF((MschnLinks&lt;&gt;$O$30)*(MschnRechts=$O27),ToreRechts,0))</f>
        <v>3</v>
      </c>
      <c r="S27" s="51">
        <f t="array" aca="1" ref="S27" ca="1">SUM(IF((MschnLinks=$O27)*(MschnRechts&lt;&gt;$O$30),ToreRechts,0))+SUM(IF((MschnLinks&lt;&gt;$O$30)*(MschnRechts=$O27),ToreLinks,0))</f>
        <v>4</v>
      </c>
      <c r="T27">
        <f ca="1">P27*FaktorPkte+Q27*FaktorTDiff+R27*FaktorTErz</f>
        <v>999903</v>
      </c>
      <c r="U27" s="51">
        <f ca="1">RANK(T27,T$27:T$29,1)</f>
        <v>2</v>
      </c>
      <c r="V27" s="51">
        <f ca="1">IF(AND(Pkte1=Pkte3,Pkte1=Pkte4,Pkte1&lt;&gt;Pkte2),U27,0)</f>
        <v>0</v>
      </c>
      <c r="W27" s="51">
        <f ca="1">IF(AND(T27=T28,T27&lt;&gt;T29,Y27&gt;Y28),1,0)+IF(AND(T27=T29,T27&lt;&gt;T28,Z27&gt;Z29),1,0)</f>
        <v>0</v>
      </c>
      <c r="X27" s="110">
        <f ca="1">IF(V27&gt;0,V27*FaktordirV3+W27*FaktordirV2,0)</f>
        <v>0</v>
      </c>
      <c r="Y27" s="154">
        <f ca="1">SUMIFS(ToreLinks,MschnLinks,$O27,MschnRechts,$O28)+SUMIFS(ToreRechts,MschnLinks,$O28,MschnRechts,$O27)</f>
        <v>2</v>
      </c>
      <c r="Z27" s="231">
        <f ca="1">SUMIFS(ToreLinks,MschnLinks,$O27,MschnRechts,$O29)+SUMIFS(ToreRechts,MschnLinks,$O29,MschnRechts,$O27)</f>
        <v>1</v>
      </c>
      <c r="AA27" s="155"/>
      <c r="AB27" s="110">
        <f ca="1">IF(AND(Pkte1=Pkte2,Pkte1=Pkte3,Pkte1=Pkte4,GanzKoeff1=GanzKoeff3,GanzKoeff1=GanzKoeff4,GanzKoeff1&lt;&gt;GanzKoeff2),U27,0)</f>
        <v>0</v>
      </c>
      <c r="AC27" s="110">
        <f ca="1">IF(AB27&gt;0,AB27*FaktordirV3+W27*FaktordirV2,0)</f>
        <v>0</v>
      </c>
    </row>
    <row r="28" spans="2:29">
      <c r="N28" s="51" t="s">
        <v>67</v>
      </c>
      <c r="O28" t="str">
        <f ca="1">Mann3</f>
        <v>Spanje</v>
      </c>
      <c r="P28" s="51">
        <f t="array" aca="1" ref="P28" ca="1">SUM(IF((MschnLinks=$O28)*(MschnRechts&lt;&gt;$O$30),PkteLinks,0))+SUM(IF((MschnLinks&lt;&gt;$O$30)*(MschnRechts=$O28),PkteRechts,0))</f>
        <v>6</v>
      </c>
      <c r="Q28" s="51">
        <f ca="1">R28-S28</f>
        <v>3</v>
      </c>
      <c r="R28" s="51">
        <f t="array" aca="1" ref="R28" ca="1">SUM(IF((MschnLinks=$O28)*(MschnRechts&lt;&gt;$O$30),ToreLinks,0))+SUM(IF((MschnLinks&lt;&gt;$O$30)*(MschnRechts=$O28),ToreRechts,0))</f>
        <v>6</v>
      </c>
      <c r="S28" s="51">
        <f t="array" aca="1" ref="S28" ca="1">SUM(IF((MschnLinks=$O28)*(MschnRechts&lt;&gt;$O$30),ToreRechts,0))+SUM(IF((MschnLinks&lt;&gt;$O$30)*(MschnRechts=$O28),ToreLinks,0))</f>
        <v>3</v>
      </c>
      <c r="T28">
        <f ca="1">P28*FaktorPkte+Q28*FaktorTDiff+R28*FaktorTErz</f>
        <v>6000306</v>
      </c>
      <c r="U28" s="51">
        <f ca="1">RANK(T28,T$27:T$29,1)</f>
        <v>3</v>
      </c>
      <c r="V28" s="51">
        <f ca="1">IF(AND(Pkte1=Pkte3,Pkte1=Pkte4,Pkte1&lt;&gt;Pkte2),U28,0)</f>
        <v>0</v>
      </c>
      <c r="W28" s="51">
        <f ca="1">IF(AND(T28=T27,T28&lt;&gt;T29,Y28&gt;Y27),1,0)+IF(AND(T28=T29,T28&lt;&gt;T27,AA28&gt;AA29),1,0)</f>
        <v>0</v>
      </c>
      <c r="X28" s="110">
        <f ca="1">IF(V28&gt;0,V28*FaktordirV3+W28*FaktordirV2,0)</f>
        <v>0</v>
      </c>
      <c r="Y28" s="154">
        <f ca="1">SUMIFS(ToreLinks,MschnLinks,$O28,MschnRechts,$O27)+SUMIFS(ToreRechts,MschnLinks,$O27,MschnRechts,$O28)</f>
        <v>3</v>
      </c>
      <c r="Z28" s="231"/>
      <c r="AA28" s="155">
        <f ca="1">SUMIFS(ToreLinks,MschnLinks,$O28,MschnRechts,$O29)+SUMIFS(ToreRechts,MschnLinks,$O29,MschnRechts,$O28)</f>
        <v>3</v>
      </c>
      <c r="AB28" s="110">
        <f ca="1">IF(AND(Pkte1=Pkte2,Pkte1=Pkte3,Pkte1=Pkte4,GanzKoeff1=GanzKoeff3,GanzKoeff1=GanzKoeff4,GanzKoeff1&lt;&gt;GanzKoeff2),U28,0)</f>
        <v>0</v>
      </c>
      <c r="AC28" s="110">
        <f ca="1">IF(AB28&gt;0,AB28*FaktordirV3+W28*FaktordirV2,0)</f>
        <v>0</v>
      </c>
    </row>
    <row r="29" spans="2:29">
      <c r="N29" s="51" t="s">
        <v>68</v>
      </c>
      <c r="O29" t="str">
        <f ca="1">Mann4</f>
        <v>Zweden</v>
      </c>
      <c r="P29" s="51">
        <f t="array" aca="1" ref="P29" ca="1">SUM(IF((MschnLinks=$O29)*(MschnRechts&lt;&gt;$O$30),PkteLinks,0))+SUM(IF((MschnLinks&lt;&gt;$O$30)*(MschnRechts=$O29),PkteRechts,0))</f>
        <v>1</v>
      </c>
      <c r="Q29" s="51">
        <f ca="1">R29-S29</f>
        <v>-2</v>
      </c>
      <c r="R29" s="51">
        <f t="array" aca="1" ref="R29" ca="1">SUM(IF((MschnLinks=$O29)*(MschnRechts&lt;&gt;$O$30),ToreLinks,0))+SUM(IF((MschnLinks&lt;&gt;$O$30)*(MschnRechts=$O29),ToreRechts,0))</f>
        <v>2</v>
      </c>
      <c r="S29" s="51">
        <f t="array" aca="1" ref="S29" ca="1">SUM(IF((MschnLinks=$O29)*(MschnRechts&lt;&gt;$O$30),ToreRechts,0))+SUM(IF((MschnLinks&lt;&gt;$O$30)*(MschnRechts=$O29),ToreLinks,0))</f>
        <v>4</v>
      </c>
      <c r="T29">
        <f ca="1">P29*FaktorPkte+Q29*FaktorTDiff+R29*FaktorTErz</f>
        <v>999802</v>
      </c>
      <c r="U29" s="51">
        <f ca="1">RANK(T29,T$27:T$29,1)</f>
        <v>1</v>
      </c>
      <c r="V29" s="51">
        <f ca="1">IF(AND(Pkte1=Pkte3,Pkte1=Pkte4,Pkte1&lt;&gt;Pkte2),U29,0)</f>
        <v>0</v>
      </c>
      <c r="W29" s="51">
        <f ca="1">IF(AND(T29=T27,T29&lt;&gt;T28,Z29&gt;Z27),1,0)+IF(AND(T29=T28,T29&lt;&gt;T27,AA29&gt;AA28),1,0)</f>
        <v>0</v>
      </c>
      <c r="X29" s="110">
        <f ca="1">IF(V29&gt;0,V29*FaktordirV3+W29*FaktordirV2,0)</f>
        <v>0</v>
      </c>
      <c r="Y29" s="154"/>
      <c r="Z29" s="231">
        <f ca="1">SUMIFS(ToreLinks,MschnLinks,$O29,MschnRechts,$O27)+SUMIFS(ToreRechts,MschnLinks,$O27,MschnRechts,$O29)</f>
        <v>1</v>
      </c>
      <c r="AA29" s="155">
        <f ca="1">SUMIFS(ToreLinks,MschnLinks,$O29,MschnRechts,$O28)+SUMIFS(ToreRechts,MschnLinks,$O28,MschnRechts,$O29)</f>
        <v>1</v>
      </c>
      <c r="AB29" s="110">
        <f ca="1">IF(AND(Pkte1=Pkte2,Pkte1=Pkte3,Pkte1=Pkte4,GanzKoeff1=GanzKoeff3,GanzKoeff1=GanzKoeff4,GanzKoeff1&lt;&gt;GanzKoeff2),U29,0)</f>
        <v>0</v>
      </c>
      <c r="AC29" s="110">
        <f ca="1">IF(AB29&gt;0,AB29*FaktordirV3+W29*FaktordirV2,0)</f>
        <v>0</v>
      </c>
    </row>
    <row r="30" spans="2:29">
      <c r="O30" s="108" t="str">
        <f ca="1">Mann2</f>
        <v>Slowakije</v>
      </c>
      <c r="P30" s="51"/>
      <c r="Q30" s="51"/>
      <c r="R30" s="51"/>
      <c r="S30" s="51"/>
      <c r="V30" s="51"/>
      <c r="W30" s="51"/>
      <c r="X30" s="110"/>
      <c r="Y30" s="154"/>
      <c r="Z30" s="231"/>
      <c r="AA30" s="155"/>
      <c r="AB30" s="159"/>
      <c r="AC30" s="159"/>
    </row>
    <row r="31" spans="2:29">
      <c r="V31" s="51"/>
      <c r="W31" s="51"/>
      <c r="X31" s="110"/>
      <c r="Y31" s="154"/>
      <c r="Z31" s="231"/>
      <c r="AA31" s="155"/>
      <c r="AB31" s="159"/>
      <c r="AC31" s="159"/>
    </row>
    <row r="32" spans="2:29">
      <c r="N32" s="51" t="s">
        <v>66</v>
      </c>
      <c r="O32" t="str">
        <f ca="1">Mann2</f>
        <v>Slowakije</v>
      </c>
      <c r="P32" s="51">
        <f t="array" aca="1" ref="P32" ca="1">SUM(IF((MschnLinks=$O32)*(MschnRechts&lt;&gt;$O$35),PkteLinks,0))+SUM(IF((MschnLinks&lt;&gt;$O$35)*(MschnRechts=$O32),PkteRechts,0))</f>
        <v>0</v>
      </c>
      <c r="Q32" s="51">
        <f ca="1">R32-S32</f>
        <v>-3</v>
      </c>
      <c r="R32" s="51">
        <f t="array" aca="1" ref="R32" ca="1">SUM(IF((MschnLinks=$O32)*(MschnRechts&lt;&gt;$O$35),ToreLinks,0))+SUM(IF((MschnLinks&lt;&gt;$O$35)*(MschnRechts=$O32),ToreRechts,0))</f>
        <v>0</v>
      </c>
      <c r="S32" s="51">
        <f t="array" aca="1" ref="S32" ca="1">SUM(IF((MschnLinks=$O32)*(MschnRechts&lt;&gt;$O$35),ToreRechts,0))+SUM(IF((MschnLinks&lt;&gt;$O$35)*(MschnRechts=$O32),ToreLinks,0))</f>
        <v>3</v>
      </c>
      <c r="T32">
        <f ca="1">P32*FaktorPkte+Q32*FaktorTDiff+R32*FaktorTErz</f>
        <v>-300</v>
      </c>
      <c r="U32" s="51">
        <f ca="1">RANK(T32,T$32:T$34,1)</f>
        <v>1</v>
      </c>
      <c r="V32" s="51">
        <f ca="1">IF(AND(Pkte2=Pkte3,Pkte2=Pkte4,Pkte2&lt;&gt;Pkte1),U32,0)</f>
        <v>0</v>
      </c>
      <c r="W32" s="51">
        <f ca="1">IF(AND(T32=T33,T32&lt;&gt;T34,Y32&gt;Y33),1,0)+IF(AND(T32=T34,T32&lt;&gt;T33,Z32&gt;Z34),1,0)</f>
        <v>0</v>
      </c>
      <c r="X32" s="110">
        <f ca="1">IF(V32&gt;0,V32*FaktordirV3+W32*FaktordirV2,0)</f>
        <v>0</v>
      </c>
      <c r="Y32" s="154">
        <f ca="1">SUMIFS(ToreLinks,MschnLinks,$O32,MschnRechts,$O33)+SUMIFS(ToreRechts,MschnLinks,$O33,MschnRechts,$O32)</f>
        <v>0</v>
      </c>
      <c r="Z32" s="231">
        <f ca="1">SUMIFS(ToreLinks,MschnLinks,$O32,MschnRechts,$O34)+SUMIFS(ToreRechts,MschnLinks,$O34,MschnRechts,$O32)</f>
        <v>0</v>
      </c>
      <c r="AA32" s="155"/>
      <c r="AB32" s="110">
        <f ca="1">IF(AND(Pkte1=Pkte2,Pkte1=Pkte3,Pkte1=Pkte4,GanzKoeff2=GanzKoeff3,GanzKoeff2=GanzKoeff4,GanzKoeff2&lt;&gt;GanzKoeff1),U32,0)</f>
        <v>0</v>
      </c>
      <c r="AC32" s="110">
        <f ca="1">IF(AB32&gt;0,AB32*FaktordirV3+W32*FaktordirV2,0)</f>
        <v>0</v>
      </c>
    </row>
    <row r="33" spans="14:29">
      <c r="N33" s="51" t="s">
        <v>67</v>
      </c>
      <c r="O33" t="str">
        <f ca="1">Mann3</f>
        <v>Spanje</v>
      </c>
      <c r="P33" s="51">
        <f t="array" aca="1" ref="P33" ca="1">SUM(IF((MschnLinks=$O33)*(MschnRechts&lt;&gt;$O$35),PkteLinks,0))+SUM(IF((MschnLinks&lt;&gt;$O$35)*(MschnRechts=$O33),PkteRechts,0))</f>
        <v>6</v>
      </c>
      <c r="Q33" s="51">
        <f ca="1">R33-S33</f>
        <v>4</v>
      </c>
      <c r="R33" s="51">
        <f t="array" aca="1" ref="R33" ca="1">SUM(IF((MschnLinks=$O33)*(MschnRechts&lt;&gt;$O$35),ToreLinks,0))+SUM(IF((MschnLinks&lt;&gt;$O$35)*(MschnRechts=$O33),ToreRechts,0))</f>
        <v>5</v>
      </c>
      <c r="S33" s="51">
        <f t="array" aca="1" ref="S33" ca="1">SUM(IF((MschnLinks=$O33)*(MschnRechts&lt;&gt;$O$35),ToreRechts,0))+SUM(IF((MschnLinks&lt;&gt;$O$35)*(MschnRechts=$O33),ToreLinks,0))</f>
        <v>1</v>
      </c>
      <c r="T33">
        <f ca="1">P33*FaktorPkte+Q33*FaktorTDiff+R33*FaktorTErz</f>
        <v>6000405</v>
      </c>
      <c r="U33" s="51">
        <f ca="1">RANK(T33,T$32:T$34,1)</f>
        <v>3</v>
      </c>
      <c r="V33" s="51">
        <f ca="1">IF(AND(Pkte2=Pkte3,Pkte2=Pkte4,Pkte2&lt;&gt;Pkte1),U33,0)</f>
        <v>0</v>
      </c>
      <c r="W33" s="51">
        <f ca="1">IF(AND(T33=T32,T33&lt;&gt;T34,Y33&gt;Y32),1,0)+IF(AND(T33=T34,T33&lt;&gt;T32,AA33&gt;AA34),1,0)</f>
        <v>0</v>
      </c>
      <c r="X33" s="110">
        <f ca="1">IF(V33&gt;0,V33*FaktordirV3+W33*FaktordirV2,0)</f>
        <v>0</v>
      </c>
      <c r="Y33" s="154">
        <f ca="1">SUMIFS(ToreLinks,MschnLinks,$O33,MschnRechts,$O32)+SUMIFS(ToreRechts,MschnLinks,$O32,MschnRechts,$O33)</f>
        <v>2</v>
      </c>
      <c r="Z33" s="231"/>
      <c r="AA33" s="155">
        <f ca="1">SUMIFS(ToreLinks,MschnLinks,$O33,MschnRechts,$O34)+SUMIFS(ToreRechts,MschnLinks,$O34,MschnRechts,$O33)</f>
        <v>3</v>
      </c>
      <c r="AB33" s="110">
        <f ca="1">IF(AND(Pkte1=Pkte2,Pkte1=Pkte3,Pkte1=Pkte4,GanzKoeff2=GanzKoeff3,GanzKoeff2=GanzKoeff4,GanzKoeff2&lt;&gt;GanzKoeff1),U33,0)</f>
        <v>0</v>
      </c>
      <c r="AC33" s="110">
        <f ca="1">IF(AB33&gt;0,AB33*FaktordirV3+W33*FaktordirV2,0)</f>
        <v>0</v>
      </c>
    </row>
    <row r="34" spans="14:29" ht="15" thickBot="1">
      <c r="N34" s="51" t="s">
        <v>68</v>
      </c>
      <c r="O34" t="str">
        <f ca="1">Mann4</f>
        <v>Zweden</v>
      </c>
      <c r="P34" s="51">
        <f t="array" aca="1" ref="P34" ca="1">SUM(IF((MschnLinks=$O34)*(MschnRechts&lt;&gt;$O$35),PkteLinks,0))+SUM(IF((MschnLinks&lt;&gt;$O$35)*(MschnRechts=$O34),PkteRechts,0))</f>
        <v>3</v>
      </c>
      <c r="Q34" s="51">
        <f ca="1">R34-S34</f>
        <v>-1</v>
      </c>
      <c r="R34" s="51">
        <f t="array" aca="1" ref="R34" ca="1">SUM(IF((MschnLinks=$O34)*(MschnRechts&lt;&gt;$O$35),ToreLinks,0))+SUM(IF((MschnLinks&lt;&gt;$O$35)*(MschnRechts=$O34),ToreRechts,0))</f>
        <v>2</v>
      </c>
      <c r="S34" s="51">
        <f t="array" aca="1" ref="S34" ca="1">SUM(IF((MschnLinks=$O34)*(MschnRechts&lt;&gt;$O$35),ToreRechts,0))+SUM(IF((MschnLinks&lt;&gt;$O$35)*(MschnRechts=$O34),ToreLinks,0))</f>
        <v>3</v>
      </c>
      <c r="T34">
        <f ca="1">P34*FaktorPkte+Q34*FaktorTDiff+R34*FaktorTErz</f>
        <v>2999902</v>
      </c>
      <c r="U34" s="51">
        <f ca="1">RANK(T34,T$32:T$34,1)</f>
        <v>2</v>
      </c>
      <c r="V34" s="51">
        <f ca="1">IF(AND(Pkte2=Pkte3,Pkte2=Pkte4,Pkte2&lt;&gt;Pkte1),U34,0)</f>
        <v>0</v>
      </c>
      <c r="W34" s="51">
        <f ca="1">IF(AND(T34=T32,T34&lt;&gt;T33,Z34&gt;Z32),1,0)+IF(AND(T34=T33,T34&lt;&gt;T32,AA34&gt;AA33),1,0)</f>
        <v>0</v>
      </c>
      <c r="X34" s="109">
        <f ca="1">IF(V34&gt;0,V34*FaktordirV3+W34*FaktordirV2,0)</f>
        <v>0</v>
      </c>
      <c r="Y34" s="156"/>
      <c r="Z34" s="157">
        <f ca="1">SUMIFS(ToreLinks,MschnLinks,$O34,MschnRechts,$O32)+SUMIFS(ToreRechts,MschnLinks,$O32,MschnRechts,$O34)</f>
        <v>1</v>
      </c>
      <c r="AA34" s="158">
        <f ca="1">SUMIFS(ToreLinks,MschnLinks,$O34,MschnRechts,$O33)+SUMIFS(ToreRechts,MschnLinks,$O33,MschnRechts,$O34)</f>
        <v>1</v>
      </c>
      <c r="AB34" s="110">
        <f ca="1">IF(AND(Pkte1=Pkte2,Pkte1=Pkte3,Pkte1=Pkte4,GanzKoeff2=GanzKoeff3,GanzKoeff2=GanzKoeff4,GanzKoeff2&lt;&gt;GanzKoeff1),U34,0)</f>
        <v>0</v>
      </c>
      <c r="AC34" s="109">
        <f ca="1">IF(AB34&gt;0,AB34*FaktordirV3+W34*FaktordirV2,0)</f>
        <v>0</v>
      </c>
    </row>
    <row r="35" spans="14:29">
      <c r="O35" s="108" t="str">
        <f ca="1">Mann1</f>
        <v>Polen</v>
      </c>
      <c r="P35" s="51"/>
      <c r="Q35" s="51"/>
      <c r="R35" s="51"/>
      <c r="S35" s="51"/>
    </row>
  </sheetData>
  <mergeCells count="6">
    <mergeCell ref="Y16:AA16"/>
    <mergeCell ref="B3:D3"/>
    <mergeCell ref="E3:G3"/>
    <mergeCell ref="H3:I3"/>
    <mergeCell ref="J3:L3"/>
    <mergeCell ref="E16:J16"/>
  </mergeCells>
  <dataValidations count="1">
    <dataValidation type="custom" showInputMessage="1" showErrorMessage="1" error="hbFehler" sqref="D13" xr:uid="{DC4DF5DA-1F66-4931-B8C4-C119F7286E96}">
      <formula1>D12=2</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A0BD-C159-4A95-8B18-794C4FA7B1DC}">
  <sheetPr codeName="Tabelle13"/>
  <dimension ref="A1:AH35"/>
  <sheetViews>
    <sheetView workbookViewId="0">
      <selection activeCell="A3" sqref="A3"/>
    </sheetView>
  </sheetViews>
  <sheetFormatPr defaultColWidth="10.88671875" defaultRowHeight="14.4"/>
  <cols>
    <col min="1" max="1" width="9.4414062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3.21875" customWidth="1"/>
    <col min="12" max="12" width="5" customWidth="1"/>
    <col min="13" max="13" width="7.77734375" customWidth="1"/>
    <col min="14" max="14" width="4.44140625" style="51" customWidth="1"/>
    <col min="15" max="15" width="14" customWidth="1"/>
    <col min="20" max="20" width="14.21875" customWidth="1"/>
    <col min="22" max="22" width="10.77734375" customWidth="1"/>
    <col min="25" max="25" width="12.21875" customWidth="1"/>
    <col min="27" max="27" width="12.77734375" customWidth="1"/>
    <col min="28" max="28" width="9" customWidth="1"/>
    <col min="30" max="30" width="11.77734375" customWidth="1"/>
    <col min="31" max="31" width="3.21875" customWidth="1"/>
    <col min="32" max="32" width="4.5546875" customWidth="1"/>
    <col min="33" max="33" width="0.77734375" customWidth="1"/>
    <col min="34" max="34" width="3.5546875" customWidth="1"/>
  </cols>
  <sheetData>
    <row r="1" spans="1:34" ht="23.4">
      <c r="A1" s="136" t="s">
        <v>211</v>
      </c>
      <c r="B1" s="135" t="s">
        <v>106</v>
      </c>
      <c r="D1" s="135" t="s">
        <v>107</v>
      </c>
      <c r="O1" s="130" t="s">
        <v>5</v>
      </c>
    </row>
    <row r="2" spans="1:34" ht="8.25" customHeight="1"/>
    <row r="3" spans="1:34">
      <c r="B3" s="357" t="s">
        <v>89</v>
      </c>
      <c r="C3" s="357"/>
      <c r="D3" s="357"/>
      <c r="E3" s="357" t="s">
        <v>88</v>
      </c>
      <c r="F3" s="357"/>
      <c r="G3" s="357"/>
      <c r="H3" s="357" t="s">
        <v>73</v>
      </c>
      <c r="I3" s="357"/>
      <c r="J3" s="357" t="s">
        <v>85</v>
      </c>
      <c r="K3" s="357"/>
      <c r="L3" s="357"/>
      <c r="M3" s="232" t="s">
        <v>118</v>
      </c>
      <c r="N3" s="128"/>
      <c r="O3" s="127"/>
      <c r="P3" s="129" t="s">
        <v>73</v>
      </c>
      <c r="Q3" s="129" t="s">
        <v>84</v>
      </c>
      <c r="R3" s="129" t="s">
        <v>83</v>
      </c>
      <c r="S3" s="129" t="s">
        <v>82</v>
      </c>
      <c r="T3" s="129" t="s">
        <v>81</v>
      </c>
      <c r="U3" s="140" t="s">
        <v>287</v>
      </c>
      <c r="V3" s="140" t="s">
        <v>288</v>
      </c>
      <c r="W3" s="140" t="s">
        <v>87</v>
      </c>
      <c r="X3" s="140" t="s">
        <v>80</v>
      </c>
      <c r="Y3" s="140" t="s">
        <v>94</v>
      </c>
      <c r="Z3" s="140" t="s">
        <v>95</v>
      </c>
      <c r="AA3" s="140" t="s">
        <v>98</v>
      </c>
      <c r="AC3" s="140" t="s">
        <v>96</v>
      </c>
    </row>
    <row r="4" spans="1:34">
      <c r="B4" s="124" t="str">
        <f ca="1">INDIRECT("'"&amp;$A$1&amp;"'!"&amp;$B$1&amp;"12")</f>
        <v>Hongarije</v>
      </c>
      <c r="C4" s="51" t="s">
        <v>76</v>
      </c>
      <c r="D4" s="123" t="str">
        <f ca="1">INDIRECT("'"&amp;$A$1&amp;"'!"&amp;$D$1&amp;"12")</f>
        <v>Portugal</v>
      </c>
      <c r="E4" s="122">
        <f ca="1">IF(OR(INDIRECT("'"&amp;$A$1&amp;"'!"&amp;$B$1&amp;"13")="",INDIRECT("'"&amp;$A$1&amp;"'!"&amp;$D$1&amp;"13")=""),"",INDIRECT("'"&amp;$A$1&amp;"'!"&amp;$B$1&amp;"13"))</f>
        <v>0</v>
      </c>
      <c r="F4" s="51" t="s">
        <v>75</v>
      </c>
      <c r="G4" s="111">
        <f ca="1">IF(OR(INDIRECT("'"&amp;$A$1&amp;"'!"&amp;$B$1&amp;"13")="",INDIRECT("'"&amp;$A$1&amp;"'!"&amp;$D$1&amp;"13")=""),"",INDIRECT("'"&amp;$A$1&amp;"'!"&amp;$D$1&amp;"13"))</f>
        <v>1</v>
      </c>
      <c r="H4" s="51">
        <f ca="1">IF($M4&gt;0,IF($E4&gt;$G4,3,IF($E4=$G4,1,0)),0)</f>
        <v>0</v>
      </c>
      <c r="I4" s="51">
        <f ca="1">IF($M4&gt;0,IF($E4&lt;$G4,3,IF($E4=$G4,1,0)),0)</f>
        <v>3</v>
      </c>
      <c r="K4" s="51"/>
      <c r="L4" s="111"/>
      <c r="M4" s="111">
        <f ca="1">IF(AND($E4&lt;&gt;"",$G4&lt;&gt;""),1,0)</f>
        <v>1</v>
      </c>
      <c r="N4" s="51" t="s">
        <v>66</v>
      </c>
      <c r="O4" t="str">
        <f ca="1">Mann1</f>
        <v>Hongarije</v>
      </c>
      <c r="P4" s="51">
        <f ca="1">SUMIF(MschnLinks,O4,PkteLinks)+SUMIF(MschnRechts,O4,PkteRechts)</f>
        <v>0</v>
      </c>
      <c r="Q4" s="51">
        <f ca="1">R4-S4</f>
        <v>-8</v>
      </c>
      <c r="R4" s="51">
        <f ca="1">SUMIF(MschnLinks,$O4,ToreLinks)+SUMIF(MschnRechts,$O4,ToreRechts)</f>
        <v>0</v>
      </c>
      <c r="S4" s="51">
        <f ca="1">SUMIF(MschnLinks,$O4,ToreRechts)+SUMIF(MschnRechts,$O4,ToreLinks)</f>
        <v>8</v>
      </c>
      <c r="T4" s="131">
        <f ca="1">$P4*FaktorPkte+Y4+Z4+AA4+$Q4*FaktorTDiff+$R4*FaktorTErz+V4+U4+W4*FaktorFairPlay+X4*FaktorRngLi</f>
        <v>-799.90089</v>
      </c>
      <c r="U4">
        <f ca="1">IF(AND($X$12&gt;0,OR(AND($B$8=O4,$J$8&gt;$L$8),AND($D$8=O4,$J$8&lt;$L$8))),FaktorElfm,0)</f>
        <v>0</v>
      </c>
      <c r="V4" s="148">
        <f ca="1">IF(AND($X$11&gt;0,OR(AND(LetzteBegLinks=O4,ElfmLinks&gt;ElfmRechts),AND(LetzteBegRechts=O4,ElfmLinks&lt;ElfmRechts))),FaktorElfm,0)</f>
        <v>0</v>
      </c>
      <c r="W4" s="148">
        <f ca="1">99-SUMIFS(FairPlayPkte1,FairPlayMn1,O4)-SUMIFS(FairPlayPkte2,FairPlayMn2,O4)</f>
        <v>99</v>
      </c>
      <c r="X4" s="148">
        <f ca="1">25-INDEX(RngLiRang,MATCH(GrpA!O4,RngLiLand,0))</f>
        <v>11</v>
      </c>
      <c r="Y4" s="126">
        <f ca="1">SUMIFS(DirVergleich3,DirVglMschn,O4)</f>
        <v>0</v>
      </c>
      <c r="Z4" s="126">
        <f ca="1">L17*FaktordirV2</f>
        <v>0</v>
      </c>
      <c r="AA4" s="126">
        <f ca="1">SUMIFS(DirVergleich4,DirVglMschn,O4)</f>
        <v>0</v>
      </c>
      <c r="AC4" s="150">
        <f ca="1">$P4*FaktorPkte+$Q4*FaktorTDiff+$R4*FaktorTErz</f>
        <v>-800</v>
      </c>
    </row>
    <row r="5" spans="1:34">
      <c r="B5" s="124" t="str">
        <f ca="1">INDIRECT("'"&amp;$A$1&amp;"'!"&amp;$B$1&amp;"17")</f>
        <v>Frankrijk</v>
      </c>
      <c r="C5" s="51" t="s">
        <v>76</v>
      </c>
      <c r="D5" s="123" t="str">
        <f ca="1">INDIRECT("'"&amp;$A$1&amp;"'!"&amp;$D$1&amp;"17")</f>
        <v>Duitsland</v>
      </c>
      <c r="E5" s="122">
        <f ca="1">IF(OR(INDIRECT("'"&amp;$A$1&amp;"'!"&amp;$B$1&amp;"18")="",INDIRECT("'"&amp;$A$1&amp;"'!"&amp;$D$1&amp;"18")=""),"",INDIRECT("'"&amp;$A$1&amp;"'!"&amp;$B$1&amp;"18"))</f>
        <v>2</v>
      </c>
      <c r="F5" s="51" t="s">
        <v>75</v>
      </c>
      <c r="G5" s="111">
        <f ca="1">IF(OR(INDIRECT("'"&amp;$A$1&amp;"'!"&amp;$B$1&amp;"18")="",INDIRECT("'"&amp;$A$1&amp;"'!"&amp;$D$1&amp;"18")=""),"",INDIRECT("'"&amp;$A$1&amp;"'!"&amp;$D$1&amp;"18"))</f>
        <v>2</v>
      </c>
      <c r="H5" s="51">
        <f t="shared" ref="H5:H9" ca="1" si="0">IF($M5&gt;0,IF($E5&gt;$G5,3,IF($E5=$G5,1,0)),0)</f>
        <v>1</v>
      </c>
      <c r="I5" s="51">
        <f t="shared" ref="I5:I9" ca="1" si="1">IF($M5&gt;0,IF($E5&lt;$G5,3,IF($E5=$G5,1,0)),0)</f>
        <v>1</v>
      </c>
      <c r="K5" s="51"/>
      <c r="L5" s="111"/>
      <c r="M5" s="111">
        <f t="shared" ref="M5:M9" ca="1" si="2">IF(AND($E5&lt;&gt;"",$G5&lt;&gt;""),1,0)</f>
        <v>1</v>
      </c>
      <c r="N5" s="51" t="s">
        <v>67</v>
      </c>
      <c r="O5" t="str">
        <f ca="1">Mann2</f>
        <v>Portugal</v>
      </c>
      <c r="P5" s="51">
        <f ca="1">SUMIF(MschnLinks,O5,PkteLinks)+SUMIF(MschnRechts,O5,PkteRechts)</f>
        <v>4</v>
      </c>
      <c r="Q5" s="51">
        <f ca="1">R5-S5</f>
        <v>0</v>
      </c>
      <c r="R5" s="51">
        <f ca="1">SUMIF(MschnLinks,$O5,ToreLinks)+SUMIF(MschnRechts,$O5,ToreRechts)</f>
        <v>4</v>
      </c>
      <c r="S5" s="51">
        <f ca="1">SUMIF(MschnLinks,$O5,ToreRechts)+SUMIF(MschnRechts,$O5,ToreLinks)</f>
        <v>4</v>
      </c>
      <c r="T5" s="131">
        <f ca="1">$P5*FaktorPkte+Y5+Z5+AA5+$Q5*FaktorTDiff+$R5*FaktorTErz+V5+U5+W5*FaktorFairPlay+X5*FaktorRngLi</f>
        <v>4000004.0992299998</v>
      </c>
      <c r="U5">
        <f ca="1">IF(AND($X$12&gt;0,OR(AND($B$8=O5,$J$8&gt;$L$8),AND($D$8=O5,$J$8&lt;$L$8))),FaktorElfm,0)</f>
        <v>0</v>
      </c>
      <c r="V5" s="148">
        <f ca="1">IF(AND($X$11&gt;0,OR(AND(LetzteBegLinks=O5,ElfmLinks&gt;ElfmRechts),AND(LetzteBegRechts=O5,ElfmLinks&lt;ElfmRechts))),FaktorElfm,0)</f>
        <v>0</v>
      </c>
      <c r="W5" s="148">
        <f ca="1">99-SUMIFS(FairPlayPkte1,FairPlayMn1,O5)-SUMIFS(FairPlayPkte2,FairPlayMn2,O5)</f>
        <v>99</v>
      </c>
      <c r="X5" s="148">
        <f ca="1">25-INDEX(RngLiRang,MATCH(GrpA!O5,RngLiLand,0))</f>
        <v>23</v>
      </c>
      <c r="Y5" s="126">
        <f ca="1">SUMIFS(DirVergleich3,DirVglMschn,O5)</f>
        <v>0</v>
      </c>
      <c r="Z5" s="126">
        <f ca="1">L18*FaktordirV2</f>
        <v>0</v>
      </c>
      <c r="AA5" s="126">
        <f ca="1">SUMIFS(DirVergleich4,DirVglMschn,O5)</f>
        <v>0</v>
      </c>
      <c r="AC5" s="150">
        <f ca="1">$P5*FaktorPkte+$Q5*FaktorTDiff+$R5*FaktorTErz</f>
        <v>4000004</v>
      </c>
    </row>
    <row r="6" spans="1:34">
      <c r="B6" s="122" t="str">
        <f ca="1">INDIRECT("'"&amp;$A$1&amp;"'!"&amp;$B$1&amp;"22")</f>
        <v>Hongarije</v>
      </c>
      <c r="C6" s="51" t="s">
        <v>76</v>
      </c>
      <c r="D6" t="str">
        <f ca="1">INDIRECT("'"&amp;$A$1&amp;"'!"&amp;$D$1&amp;"22")</f>
        <v>Frankrijk</v>
      </c>
      <c r="E6" s="122">
        <f ca="1">IF(OR(INDIRECT("'"&amp;$A$1&amp;"'!"&amp;$B$1&amp;"23")="",INDIRECT("'"&amp;$A$1&amp;"'!"&amp;$D$1&amp;"23")=""),"",INDIRECT("'"&amp;$A$1&amp;"'!"&amp;$B$1&amp;"23"))</f>
        <v>0</v>
      </c>
      <c r="F6" s="51" t="s">
        <v>75</v>
      </c>
      <c r="G6" s="111">
        <f ca="1">IF(OR(INDIRECT("'"&amp;$A$1&amp;"'!"&amp;$B$1&amp;"23")="",INDIRECT("'"&amp;$A$1&amp;"'!"&amp;$D$1&amp;"23")=""),"",INDIRECT("'"&amp;$A$1&amp;"'!"&amp;$D$1&amp;"23"))</f>
        <v>4</v>
      </c>
      <c r="H6" s="51">
        <f t="shared" ca="1" si="0"/>
        <v>0</v>
      </c>
      <c r="I6" s="51">
        <f t="shared" ca="1" si="1"/>
        <v>3</v>
      </c>
      <c r="K6" s="51"/>
      <c r="L6" s="111"/>
      <c r="M6" s="111">
        <f t="shared" ca="1" si="2"/>
        <v>1</v>
      </c>
      <c r="N6" s="51" t="s">
        <v>68</v>
      </c>
      <c r="O6" t="str">
        <f ca="1">Mann3</f>
        <v>Frankrijk</v>
      </c>
      <c r="P6" s="51">
        <f ca="1">SUMIF(MschnLinks,O6,PkteLinks)+SUMIF(MschnRechts,O6,PkteRechts)</f>
        <v>7</v>
      </c>
      <c r="Q6" s="51">
        <f ca="1">R6-S6</f>
        <v>5</v>
      </c>
      <c r="R6" s="51">
        <f ca="1">SUMIF(MschnLinks,$O6,ToreLinks)+SUMIF(MschnRechts,$O6,ToreRechts)</f>
        <v>8</v>
      </c>
      <c r="S6" s="51">
        <f ca="1">SUMIF(MschnLinks,$O6,ToreRechts)+SUMIF(MschnRechts,$O6,ToreLinks)</f>
        <v>3</v>
      </c>
      <c r="T6" s="131">
        <f ca="1">$P6*FaktorPkte+Y6+Z6+AA6+$Q6*FaktorTDiff+$R6*FaktorTErz+V6+U6+W6*FaktorFairPlay+X6*FaktorRngLi</f>
        <v>7000508.0990600009</v>
      </c>
      <c r="U6">
        <f ca="1">IF(AND($X$12&gt;0,OR(AND($B$8=O6,$J$8&gt;$L$8),AND($D$8=O6,$J$8&lt;$L$8))),FaktorElfm,0)</f>
        <v>0</v>
      </c>
      <c r="V6" s="148">
        <f ca="1">IF(AND($X$11&gt;0,OR(AND(LetzteBegLinks=O6,ElfmLinks&gt;ElfmRechts),AND(LetzteBegRechts=O6,ElfmLinks&lt;ElfmRechts))),FaktorElfm,0)</f>
        <v>0</v>
      </c>
      <c r="W6" s="148">
        <f ca="1">99-SUMIFS(FairPlayPkte1,FairPlayMn1,O6)-SUMIFS(FairPlayPkte2,FairPlayMn2,O6)</f>
        <v>99</v>
      </c>
      <c r="X6" s="148">
        <f ca="1">25-INDEX(RngLiRang,MATCH(GrpA!O6,RngLiLand,0))</f>
        <v>6</v>
      </c>
      <c r="Y6" s="126">
        <f ca="1">SUMIFS(DirVergleich3,DirVglMschn,O6)</f>
        <v>0</v>
      </c>
      <c r="Z6" s="126">
        <f ca="1">L19*FaktordirV2</f>
        <v>0</v>
      </c>
      <c r="AA6" s="126">
        <f ca="1">SUMIFS(DirVergleich4,DirVglMschn,O6)</f>
        <v>0</v>
      </c>
      <c r="AC6" s="150">
        <f ca="1">$P6*FaktorPkte+$Q6*FaktorTDiff+$R6*FaktorTErz</f>
        <v>7000508</v>
      </c>
    </row>
    <row r="7" spans="1:34">
      <c r="B7" s="122" t="str">
        <f ca="1">INDIRECT("'"&amp;$A$1&amp;"'!"&amp;$B$1&amp;"27")</f>
        <v>Portugal</v>
      </c>
      <c r="C7" s="51" t="s">
        <v>76</v>
      </c>
      <c r="D7" t="str">
        <f ca="1">INDIRECT("'"&amp;$A$1&amp;"'!"&amp;$D$1&amp;"27")</f>
        <v>Duitsland</v>
      </c>
      <c r="E7" s="122">
        <f ca="1">IF(OR(INDIRECT("'"&amp;$A$1&amp;"'!"&amp;$B$1&amp;"28")="",INDIRECT("'"&amp;$A$1&amp;"'!"&amp;$D$1&amp;"28")=""),"",INDIRECT("'"&amp;$A$1&amp;"'!"&amp;$B$1&amp;"28"))</f>
        <v>2</v>
      </c>
      <c r="F7" s="51" t="s">
        <v>75</v>
      </c>
      <c r="G7" s="111">
        <f ca="1">IF(OR(INDIRECT("'"&amp;$A$1&amp;"'!"&amp;$B$1&amp;"28")="",INDIRECT("'"&amp;$A$1&amp;"'!"&amp;$D$1&amp;"28")=""),"",INDIRECT("'"&amp;$A$1&amp;"'!"&amp;$D$1&amp;"28"))</f>
        <v>2</v>
      </c>
      <c r="H7" s="51">
        <f t="shared" ca="1" si="0"/>
        <v>1</v>
      </c>
      <c r="I7" s="51">
        <f t="shared" ca="1" si="1"/>
        <v>1</v>
      </c>
      <c r="K7" s="51"/>
      <c r="L7" s="111"/>
      <c r="M7" s="111">
        <f t="shared" ca="1" si="2"/>
        <v>1</v>
      </c>
      <c r="N7" s="51" t="s">
        <v>69</v>
      </c>
      <c r="O7" t="str">
        <f ca="1">Mann4</f>
        <v>Duitsland</v>
      </c>
      <c r="P7" s="51">
        <f ca="1">SUMIF(MschnLinks,O7,PkteLinks)+SUMIF(MschnRechts,O7,PkteRechts)</f>
        <v>5</v>
      </c>
      <c r="Q7" s="51">
        <f ca="1">R7-S7</f>
        <v>3</v>
      </c>
      <c r="R7" s="51">
        <f ca="1">SUMIF(MschnLinks,$O7,ToreLinks)+SUMIF(MschnRechts,$O7,ToreRechts)</f>
        <v>7</v>
      </c>
      <c r="S7" s="51">
        <f ca="1">SUMIF(MschnLinks,$O7,ToreRechts)+SUMIF(MschnRechts,$O7,ToreLinks)</f>
        <v>4</v>
      </c>
      <c r="T7" s="131">
        <f ca="1">$P7*FaktorPkte+Y7+Z7+AA7+$Q7*FaktorTDiff+$R7*FaktorTErz+V7+U7+W7*FaktorFairPlay+X7*FaktorRngLi</f>
        <v>5000307.0991600007</v>
      </c>
      <c r="U7">
        <f ca="1">IF(AND($X$12&gt;0,OR(AND($B$8=O7,$J$8&gt;$L$8),AND($D$8=O7,$J$8&lt;$L$8))),FaktorElfm,0)</f>
        <v>0</v>
      </c>
      <c r="V7" s="148">
        <f ca="1">IF(AND($X$11&gt;0,OR(AND(LetzteBegLinks=O7,ElfmLinks&gt;ElfmRechts),AND(LetzteBegRechts=O7,ElfmLinks&lt;ElfmRechts))),FaktorElfm,0)</f>
        <v>0</v>
      </c>
      <c r="W7" s="148">
        <f ca="1">99-SUMIFS(FairPlayPkte1,FairPlayMn1,O7)-SUMIFS(FairPlayPkte2,FairPlayMn2,O7)</f>
        <v>99</v>
      </c>
      <c r="X7" s="148">
        <f ca="1">25-INDEX(RngLiRang,MATCH(GrpA!O7,RngLiLand,0))</f>
        <v>16</v>
      </c>
      <c r="Y7" s="126">
        <f ca="1">SUMIFS(DirVergleich3,DirVglMschn,O7)</f>
        <v>0</v>
      </c>
      <c r="Z7" s="126">
        <f ca="1">L20*FaktordirV2</f>
        <v>0</v>
      </c>
      <c r="AA7" s="126">
        <f ca="1">SUMIFS(DirVergleich4,DirVglMschn,O7)</f>
        <v>0</v>
      </c>
      <c r="AC7" s="150">
        <f ca="1">$P7*FaktorPkte+$Q7*FaktorTDiff+$R7*FaktorTErz</f>
        <v>5000307</v>
      </c>
    </row>
    <row r="8" spans="1:34">
      <c r="B8" s="122" t="str">
        <f ca="1">INDIRECT("'"&amp;$A$1&amp;"'!"&amp;$B$1&amp;"32")</f>
        <v>Duitsland</v>
      </c>
      <c r="C8" s="51" t="s">
        <v>76</v>
      </c>
      <c r="D8" t="str">
        <f ca="1">INDIRECT("'"&amp;$A$1&amp;"'!"&amp;$D$1&amp;"32")</f>
        <v>Hongarije</v>
      </c>
      <c r="E8" s="122">
        <f ca="1">IF(OR(INDIRECT("'"&amp;$A$1&amp;"'!"&amp;$B$1&amp;"33")="",INDIRECT("'"&amp;$A$1&amp;"'!"&amp;$D$1&amp;"33")=""),"",INDIRECT("'"&amp;$A$1&amp;"'!"&amp;$B$1&amp;"33"))</f>
        <v>3</v>
      </c>
      <c r="F8" s="51" t="s">
        <v>75</v>
      </c>
      <c r="G8" s="111">
        <f ca="1">IF(OR(INDIRECT("'"&amp;$A$1&amp;"'!"&amp;$B$1&amp;"33")="",INDIRECT("'"&amp;$A$1&amp;"'!"&amp;$D$1&amp;"33")=""),"",INDIRECT("'"&amp;$A$1&amp;"'!"&amp;$D$1&amp;"33"))</f>
        <v>0</v>
      </c>
      <c r="H8" s="51">
        <f t="shared" ca="1" si="0"/>
        <v>3</v>
      </c>
      <c r="I8" s="51">
        <f t="shared" ca="1" si="1"/>
        <v>0</v>
      </c>
      <c r="J8" s="122" t="str">
        <f ca="1">IF(OR(INDIRECT("'"&amp;$A$1&amp;"'!"&amp;$B$1&amp;"35")="",INDIRECT("'"&amp;$A$1&amp;"'!"&amp;$D$1&amp;"35")=""),"",INDIRECT("'"&amp;$A$1&amp;"'!"&amp;$B$1&amp;"35"))</f>
        <v/>
      </c>
      <c r="K8" s="51" t="s">
        <v>75</v>
      </c>
      <c r="L8" s="111" t="str">
        <f ca="1">IF(OR(INDIRECT("'"&amp;$A$1&amp;"'!"&amp;$B$1&amp;"35")="",INDIRECT("'"&amp;$A$1&amp;"'!"&amp;$D$1&amp;"35")=""),"",INDIRECT("'"&amp;$A$1&amp;"'!"&amp;$D$1&amp;"35"))</f>
        <v/>
      </c>
      <c r="M8" s="111">
        <f t="shared" ca="1" si="2"/>
        <v>1</v>
      </c>
    </row>
    <row r="9" spans="1:34">
      <c r="B9" s="122" t="str">
        <f ca="1">INDIRECT("'"&amp;$A$1&amp;"'!"&amp;$B$1&amp;"39")</f>
        <v>Portugal</v>
      </c>
      <c r="C9" s="51" t="s">
        <v>76</v>
      </c>
      <c r="D9" t="str">
        <f ca="1">INDIRECT("'"&amp;$A$1&amp;"'!"&amp;$D$1&amp;"39")</f>
        <v>Frankrijk</v>
      </c>
      <c r="E9" s="122">
        <f ca="1">IF(OR(INDIRECT("'"&amp;$A$1&amp;"'!"&amp;$B$1&amp;"40")="",INDIRECT("'"&amp;$A$1&amp;"'!"&amp;$D$1&amp;"40")=""),"",INDIRECT("'"&amp;$A$1&amp;"'!"&amp;$B$1&amp;"40"))</f>
        <v>1</v>
      </c>
      <c r="F9" s="51" t="s">
        <v>75</v>
      </c>
      <c r="G9" s="111">
        <f ca="1">IF(OR(INDIRECT("'"&amp;$A$1&amp;"'!"&amp;$B$1&amp;"40")="",INDIRECT("'"&amp;$A$1&amp;"'!"&amp;$D$1&amp;"40")=""),"",INDIRECT("'"&amp;$A$1&amp;"'!"&amp;$D$1&amp;"40"))</f>
        <v>2</v>
      </c>
      <c r="H9" s="51">
        <f t="shared" ca="1" si="0"/>
        <v>0</v>
      </c>
      <c r="I9" s="51">
        <f t="shared" ca="1" si="1"/>
        <v>3</v>
      </c>
      <c r="J9" s="122" t="str">
        <f ca="1">IF(OR(INDIRECT("'"&amp;$A$1&amp;"'!"&amp;$B$1&amp;"42")="",INDIRECT("'"&amp;$A$1&amp;"'!"&amp;$D$1&amp;"42")=""),"",INDIRECT("'"&amp;$A$1&amp;"'!"&amp;$B$1&amp;"42"))</f>
        <v/>
      </c>
      <c r="K9" s="51" t="s">
        <v>75</v>
      </c>
      <c r="L9" s="111" t="str">
        <f ca="1">IF(OR(INDIRECT("'"&amp;$A$1&amp;"'!"&amp;$B$1&amp;"42")="",INDIRECT("'"&amp;$A$1&amp;"'!"&amp;$D$1&amp;"42")=""),"",INDIRECT("'"&amp;$A$1&amp;"'!"&amp;$D$1&amp;"42"))</f>
        <v/>
      </c>
      <c r="M9" s="111">
        <f t="shared" ca="1" si="2"/>
        <v>1</v>
      </c>
    </row>
    <row r="10" spans="1:34" ht="15" thickBot="1">
      <c r="M10" s="186"/>
      <c r="V10" s="149" t="s">
        <v>122</v>
      </c>
      <c r="X10" s="149" t="s">
        <v>85</v>
      </c>
      <c r="Y10" s="51"/>
      <c r="Z10" s="149" t="s">
        <v>119</v>
      </c>
      <c r="AA10" s="51"/>
    </row>
    <row r="11" spans="1:34" ht="15" thickTop="1">
      <c r="N11" s="121" t="s">
        <v>66</v>
      </c>
      <c r="O11" s="120" t="str">
        <f t="shared" ref="O11:S14" ca="1" si="3">INDEX(O$4:O$7,MATCH($T11,$T$4:$T$7,0))</f>
        <v>Frankrijk</v>
      </c>
      <c r="P11" s="119">
        <f t="shared" ca="1" si="3"/>
        <v>7</v>
      </c>
      <c r="Q11" s="119">
        <f t="shared" ca="1" si="3"/>
        <v>5</v>
      </c>
      <c r="R11" s="119">
        <f t="shared" ca="1" si="3"/>
        <v>8</v>
      </c>
      <c r="S11" s="119">
        <f t="shared" ca="1" si="3"/>
        <v>3</v>
      </c>
      <c r="T11" s="132">
        <f ca="1">LARGE($T$4:$T$7,ROW($T4)-3)</f>
        <v>7000508.0990600009</v>
      </c>
      <c r="V11" s="179">
        <f ca="1">IF(AND(OR(TRUNC($T$11,1)=TRUNC($T$12,1),TRUNC($T$11,1)=TRUNC($T$13,1),TRUNC($T$11,1)=TRUNC($T$14,1),TRUNC($T$12,1)=TRUNC($T$13,1),TRUNC($T$12,1)=TRUNC($T$14,1),TRUNC($T$13,1)=TRUNC($T$14,1)),$Z$11&gt;0),1,0)</f>
        <v>0</v>
      </c>
      <c r="W11" s="226" t="s">
        <v>286</v>
      </c>
      <c r="X11" s="51">
        <f ca="1">IF(AND(VLOOKUP($B$9,$O$4:$AC$7,15,0)=VLOOKUP($D$9,$O$4:$AC$7,15,0),$E$9=$G$9,COUNTIF($P$4:$P$7,VLOOKUP($B$9,$O$4:$P$7,2,0))=2,$M$9&gt;0),1,0)</f>
        <v>0</v>
      </c>
      <c r="Y11" s="51"/>
      <c r="Z11" s="185">
        <f ca="1">SUM($M$4:$M$9)</f>
        <v>6</v>
      </c>
      <c r="AA11" s="51"/>
      <c r="AE11" s="163">
        <f ca="1">P11</f>
        <v>7</v>
      </c>
      <c r="AF11" s="162">
        <f ca="1">R11</f>
        <v>8</v>
      </c>
      <c r="AG11" s="160" t="s">
        <v>75</v>
      </c>
      <c r="AH11" s="161">
        <f ca="1">S11</f>
        <v>3</v>
      </c>
    </row>
    <row r="12" spans="1:34">
      <c r="D12" s="51"/>
      <c r="N12" s="118" t="s">
        <v>67</v>
      </c>
      <c r="O12" s="60" t="str">
        <f t="shared" ca="1" si="3"/>
        <v>Duitsland</v>
      </c>
      <c r="P12" s="231">
        <f t="shared" ca="1" si="3"/>
        <v>5</v>
      </c>
      <c r="Q12" s="231">
        <f t="shared" ca="1" si="3"/>
        <v>3</v>
      </c>
      <c r="R12" s="231">
        <f t="shared" ca="1" si="3"/>
        <v>7</v>
      </c>
      <c r="S12" s="231">
        <f t="shared" ca="1" si="3"/>
        <v>4</v>
      </c>
      <c r="T12" s="133">
        <f ca="1">LARGE($T$4:$T$7,ROW($T5)-3)</f>
        <v>5000307.0991600007</v>
      </c>
      <c r="W12" s="226" t="s">
        <v>285</v>
      </c>
      <c r="X12" s="51">
        <f ca="1">IF(AND(VLOOKUP($B$8,$O$4:$AC$7,15,0)=VLOOKUP($D$8,$O$4:$AC$7,15,0),$E$8=$G$8,COUNTIF($P$4:$P$7,VLOOKUP($B$8,$O$4:$P$7,2,0))=2,$M$8&gt;0),1,0)</f>
        <v>0</v>
      </c>
      <c r="AE12" s="163">
        <f t="shared" ref="AE12:AE14" ca="1" si="4">P12</f>
        <v>5</v>
      </c>
      <c r="AF12" s="162">
        <f t="shared" ref="AF12:AF14" ca="1" si="5">R12</f>
        <v>7</v>
      </c>
      <c r="AG12" s="160" t="s">
        <v>75</v>
      </c>
      <c r="AH12" s="161">
        <f t="shared" ref="AH12:AH14" ca="1" si="6">S12</f>
        <v>4</v>
      </c>
    </row>
    <row r="13" spans="1:34">
      <c r="D13" s="183"/>
      <c r="N13" s="118" t="s">
        <v>68</v>
      </c>
      <c r="O13" s="60" t="str">
        <f t="shared" ca="1" si="3"/>
        <v>Portugal</v>
      </c>
      <c r="P13" s="231">
        <f t="shared" ca="1" si="3"/>
        <v>4</v>
      </c>
      <c r="Q13" s="231">
        <f t="shared" ca="1" si="3"/>
        <v>0</v>
      </c>
      <c r="R13" s="231">
        <f t="shared" ca="1" si="3"/>
        <v>4</v>
      </c>
      <c r="S13" s="231">
        <f t="shared" ca="1" si="3"/>
        <v>4</v>
      </c>
      <c r="T13" s="133">
        <f ca="1">LARGE($T$4:$T$7,ROW($T6)-3)</f>
        <v>4000004.0992299998</v>
      </c>
      <c r="AE13" s="163">
        <f t="shared" ca="1" si="4"/>
        <v>4</v>
      </c>
      <c r="AF13" s="162">
        <f t="shared" ca="1" si="5"/>
        <v>4</v>
      </c>
      <c r="AG13" s="160" t="s">
        <v>75</v>
      </c>
      <c r="AH13" s="161">
        <f t="shared" ca="1" si="6"/>
        <v>4</v>
      </c>
    </row>
    <row r="14" spans="1:34" ht="15" thickBot="1">
      <c r="D14" s="50"/>
      <c r="F14" s="51"/>
      <c r="G14" s="111"/>
      <c r="N14" s="116" t="s">
        <v>69</v>
      </c>
      <c r="O14" s="115" t="str">
        <f t="shared" ca="1" si="3"/>
        <v>Hongarije</v>
      </c>
      <c r="P14" s="114">
        <f t="shared" ca="1" si="3"/>
        <v>0</v>
      </c>
      <c r="Q14" s="114">
        <f t="shared" ca="1" si="3"/>
        <v>-8</v>
      </c>
      <c r="R14" s="114">
        <f t="shared" ca="1" si="3"/>
        <v>0</v>
      </c>
      <c r="S14" s="114">
        <f t="shared" ca="1" si="3"/>
        <v>8</v>
      </c>
      <c r="T14" s="134">
        <f ca="1">LARGE($T$4:$T$7,ROW($T7)-3)</f>
        <v>-799.90089</v>
      </c>
      <c r="AE14" s="163">
        <f t="shared" ca="1" si="4"/>
        <v>0</v>
      </c>
      <c r="AF14" s="162">
        <f t="shared" ca="1" si="5"/>
        <v>0</v>
      </c>
      <c r="AG14" s="160" t="s">
        <v>75</v>
      </c>
      <c r="AH14" s="161">
        <f t="shared" ca="1" si="6"/>
        <v>8</v>
      </c>
    </row>
    <row r="15" spans="1:34" ht="15" thickTop="1">
      <c r="D15" s="141" t="s">
        <v>93</v>
      </c>
      <c r="F15" s="51"/>
      <c r="G15" s="111"/>
    </row>
    <row r="16" spans="1:34" ht="15" thickBot="1">
      <c r="D16" s="142" t="s">
        <v>91</v>
      </c>
      <c r="E16" s="357" t="s">
        <v>92</v>
      </c>
      <c r="F16" s="357"/>
      <c r="G16" s="357"/>
      <c r="H16" s="357"/>
      <c r="I16" s="357"/>
      <c r="J16" s="357"/>
      <c r="K16" s="127"/>
      <c r="L16" s="149" t="s">
        <v>95</v>
      </c>
      <c r="X16" s="113" t="s">
        <v>94</v>
      </c>
      <c r="Y16" s="356" t="s">
        <v>97</v>
      </c>
      <c r="Z16" s="356"/>
      <c r="AA16" s="356"/>
      <c r="AC16" s="149" t="s">
        <v>98</v>
      </c>
    </row>
    <row r="17" spans="2:29">
      <c r="D17" t="str">
        <f ca="1">Mann1</f>
        <v>Hongarije</v>
      </c>
      <c r="E17" s="51">
        <f ca="1">Y17</f>
        <v>0</v>
      </c>
      <c r="F17" s="51">
        <f ca="1">Z17</f>
        <v>0</v>
      </c>
      <c r="G17" s="51">
        <f ca="1">Z22</f>
        <v>0</v>
      </c>
      <c r="H17" s="51"/>
      <c r="I17" s="51"/>
      <c r="J17" s="51"/>
      <c r="L17" s="112">
        <f ca="1">IF(AND(Pkte1=Pkte2,Pkte1&lt;&gt;Pkte3,Pkte1&lt;&gt;Pkte4,E17&gt;E18),1,0)+IF(AND(Pkte1=Pkte3,Pkte1&lt;&gt;Pkte2,Pkte1&lt;&gt;Pkte4,F17&gt;F19),1,0)+IF(AND(Pkte1=Pkte4,Pkte1&lt;&gt;Pkte2,Pkte1&lt;&gt;Pkte3,G17&gt;G20),1,0)</f>
        <v>0</v>
      </c>
      <c r="N17" s="51" t="s">
        <v>66</v>
      </c>
      <c r="O17" t="str">
        <f ca="1">Mann1</f>
        <v>Hongarije</v>
      </c>
      <c r="P17" s="51">
        <f t="array" aca="1" ref="P17" ca="1">SUM(IF((MschnLinks=$O17)*(MschnRechts&lt;&gt;$O$20),PkteLinks,0))+SUM(IF((MschnLinks&lt;&gt;$O$20)*(MschnRechts=$O17),PkteRechts,0))</f>
        <v>0</v>
      </c>
      <c r="Q17" s="51">
        <f ca="1">R17-S17</f>
        <v>-5</v>
      </c>
      <c r="R17" s="51">
        <f t="array" aca="1" ref="R17" ca="1">SUM(IF((MschnLinks=$O17)*(MschnRechts&lt;&gt;$O$20),ToreLinks,0))+SUM(IF((MschnLinks&lt;&gt;$O$20)*(MschnRechts=$O17),ToreRechts,0))</f>
        <v>0</v>
      </c>
      <c r="S17" s="51">
        <f t="array" aca="1" ref="S17" ca="1">SUM(IF((MschnLinks=$O17)*(MschnRechts&lt;&gt;$O$20),ToreRechts,0))+SUM(IF((MschnLinks&lt;&gt;$O$20)*(MschnRechts=$O17),ToreLinks,0))</f>
        <v>5</v>
      </c>
      <c r="T17">
        <f ca="1">P17*FaktorPkte+Q17*FaktorTDiff+R17*FaktorTErz</f>
        <v>-500</v>
      </c>
      <c r="U17" s="51">
        <f ca="1">RANK(T17,T$17:T$19,1)</f>
        <v>1</v>
      </c>
      <c r="V17" s="51">
        <f ca="1">IF(AND(Pkte1=Pkte2,Pkte1=Pkte3,Pkte1&lt;&gt;Pkte4),U17,0)</f>
        <v>0</v>
      </c>
      <c r="W17" s="51">
        <f ca="1">IF(AND(T17=T18,T17&lt;&gt;T19,Y17&gt;Y18),1,0)+IF(AND(T17=T19,T17&lt;&gt;T18,Z17&gt;Z19),1,0)</f>
        <v>0</v>
      </c>
      <c r="X17" s="112">
        <f ca="1">IF(V17&gt;0,V17*FaktordirV3+W17*FaktordirV2,0)</f>
        <v>0</v>
      </c>
      <c r="Y17" s="151">
        <f ca="1">SUMIFS(ToreLinks,MschnLinks,$O17,MschnRechts,$O18)+SUMIFS(ToreRechts,MschnLinks,$O18,MschnRechts,$O17)</f>
        <v>0</v>
      </c>
      <c r="Z17" s="152">
        <f ca="1">SUMIFS(ToreLinks,MschnLinks,$O17,MschnRechts,$O19)+SUMIFS(ToreRechts,MschnLinks,$O19,MschnRechts,$O17)</f>
        <v>0</v>
      </c>
      <c r="AA17" s="153"/>
      <c r="AB17" s="110">
        <f ca="1">IF(AND(Pkte1=Pkte2,Pkte1=Pkte3,Pkte1=Pkte4,GanzKoeff1=GanzKoeff2,GanzKoeff1=GanzKoeff3,GanzKoeff1&lt;&gt;GanzKoeff4),U17,0)</f>
        <v>0</v>
      </c>
      <c r="AC17" s="112">
        <f ca="1">IF(AB17&gt;0,AB17*FaktordirV3+W17*FaktordirV2,0)</f>
        <v>0</v>
      </c>
    </row>
    <row r="18" spans="2:29">
      <c r="D18" t="str">
        <f ca="1">Mann2</f>
        <v>Portugal</v>
      </c>
      <c r="E18" s="51">
        <f ca="1">Y18</f>
        <v>1</v>
      </c>
      <c r="F18" s="51"/>
      <c r="G18" s="51"/>
      <c r="H18" s="51">
        <f ca="1">AA18</f>
        <v>1</v>
      </c>
      <c r="I18" s="51">
        <f ca="1">AA23</f>
        <v>2</v>
      </c>
      <c r="J18" s="51"/>
      <c r="L18" s="110">
        <f ca="1">IF(AND(Pkte2=Pkte1,Pkte2&lt;&gt;Pkte3,Pkte2&lt;&gt;Pkte4,E18&gt;E17),1,0)+IF(AND(Pkte2=Pkte3,Pkte2&lt;&gt;Pkte1,Pkte2&lt;&gt;Pkte4,H18&gt;H19),1,0)+IF(AND(Pkte2=Pkte4,Pkte2&lt;&gt;Pkte1,Pkte2&lt;&gt;Pkte3,I18&gt;I20),1,0)</f>
        <v>0</v>
      </c>
      <c r="N18" s="51" t="s">
        <v>67</v>
      </c>
      <c r="O18" t="str">
        <f ca="1">Mann2</f>
        <v>Portugal</v>
      </c>
      <c r="P18" s="51">
        <f t="array" aca="1" ref="P18" ca="1">SUM(IF((MschnLinks=$O18)*(MschnRechts&lt;&gt;$O$20),PkteLinks,0))+SUM(IF((MschnLinks&lt;&gt;$O$20)*(MschnRechts=$O18),PkteRechts,0))</f>
        <v>3</v>
      </c>
      <c r="Q18" s="51">
        <f ca="1">R18-S18</f>
        <v>0</v>
      </c>
      <c r="R18" s="51">
        <f t="array" aca="1" ref="R18" ca="1">SUM(IF((MschnLinks=$O18)*(MschnRechts&lt;&gt;$O$20),ToreLinks,0))+SUM(IF((MschnLinks&lt;&gt;$O$20)*(MschnRechts=$O18),ToreRechts,0))</f>
        <v>2</v>
      </c>
      <c r="S18" s="51">
        <f t="array" aca="1" ref="S18" ca="1">SUM(IF((MschnLinks=$O18)*(MschnRechts&lt;&gt;$O$20),ToreRechts,0))+SUM(IF((MschnLinks&lt;&gt;$O$20)*(MschnRechts=$O18),ToreLinks,0))</f>
        <v>2</v>
      </c>
      <c r="T18">
        <f ca="1">P18*FaktorPkte+Q18*FaktorTDiff+R18*FaktorTErz</f>
        <v>3000002</v>
      </c>
      <c r="U18" s="51">
        <f ca="1">RANK(T18,T$17:T$19,1)</f>
        <v>2</v>
      </c>
      <c r="V18" s="51">
        <f ca="1">IF(AND(Pkte1=Pkte2,Pkte1=Pkte3,Pkte1&lt;&gt;Pkte4),U18,0)</f>
        <v>0</v>
      </c>
      <c r="W18" s="51">
        <f ca="1">IF(AND(T18=T17,T18&lt;&gt;T19,Y18&gt;Y17),1,0)+IF(AND(T18=T19,T18&lt;&gt;T17,AA18&gt;AA19),1,0)</f>
        <v>0</v>
      </c>
      <c r="X18" s="110">
        <f ca="1">IF(V18&gt;0,V18*FaktordirV3+W18*FaktordirV2,0)</f>
        <v>0</v>
      </c>
      <c r="Y18" s="154">
        <f ca="1">SUMIFS(ToreLinks,MschnLinks,$O18,MschnRechts,$O17)+SUMIFS(ToreRechts,MschnLinks,$O17,MschnRechts,$O18)</f>
        <v>1</v>
      </c>
      <c r="Z18" s="231"/>
      <c r="AA18" s="155">
        <f ca="1">SUMIFS(ToreLinks,MschnLinks,$O18,MschnRechts,$O19)+SUMIFS(ToreRechts,MschnLinks,$O19,MschnRechts,$O18)</f>
        <v>1</v>
      </c>
      <c r="AB18" s="110">
        <f ca="1">IF(AND(Pkte1=Pkte2,Pkte1=Pkte3,Pkte1=Pkte4,GanzKoeff1=GanzKoeff2,GanzKoeff1=GanzKoeff3,GanzKoeff1&lt;&gt;GanzKoeff4),U18,0)</f>
        <v>0</v>
      </c>
      <c r="AC18" s="110">
        <f ca="1">IF(AB18&gt;0,AB18*FaktordirV3+W18*FaktordirV2,0)</f>
        <v>0</v>
      </c>
    </row>
    <row r="19" spans="2:29">
      <c r="D19" t="str">
        <f ca="1">Mann3</f>
        <v>Frankrijk</v>
      </c>
      <c r="E19" s="51"/>
      <c r="F19" s="51">
        <f ca="1">Z19</f>
        <v>4</v>
      </c>
      <c r="G19" s="51"/>
      <c r="H19" s="51">
        <f ca="1">AA19</f>
        <v>2</v>
      </c>
      <c r="I19" s="51"/>
      <c r="J19" s="51">
        <f ca="1">AA28</f>
        <v>2</v>
      </c>
      <c r="L19" s="110">
        <f ca="1">IF(AND(Pkte3=Pkte1,Pkte3&lt;&gt;Pkte2,Pkte3&lt;&gt;Pkte4,F19&gt;F17),1,0)+IF(AND(Pkte3=Pkte2,Pkte3&lt;&gt;Pkte1,Pkte3&lt;&gt;Pkte4,H19&gt;H18),1,0)+IF(AND(Pkte3=Pkte4,Pkte3&lt;&gt;Pkte1,Pkte3&lt;&gt;Pkte2,J19&gt;J20),1,0)</f>
        <v>0</v>
      </c>
      <c r="N19" s="51" t="s">
        <v>68</v>
      </c>
      <c r="O19" t="str">
        <f ca="1">Mann3</f>
        <v>Frankrijk</v>
      </c>
      <c r="P19" s="51">
        <f t="array" aca="1" ref="P19" ca="1">SUM(IF((MschnLinks=$O19)*(MschnRechts&lt;&gt;$O$20),PkteLinks,0))+SUM(IF((MschnLinks&lt;&gt;$O$20)*(MschnRechts=$O19),PkteRechts,0))</f>
        <v>6</v>
      </c>
      <c r="Q19" s="51">
        <f ca="1">R19-S19</f>
        <v>5</v>
      </c>
      <c r="R19" s="51">
        <f t="array" aca="1" ref="R19" ca="1">SUM(IF((MschnLinks=$O19)*(MschnRechts&lt;&gt;$O$20),ToreLinks,0))+SUM(IF((MschnLinks&lt;&gt;$O$20)*(MschnRechts=$O19),ToreRechts,0))</f>
        <v>6</v>
      </c>
      <c r="S19" s="51">
        <f t="array" aca="1" ref="S19" ca="1">SUM(IF((MschnLinks=$O19)*(MschnRechts&lt;&gt;$O$20),ToreRechts,0))+SUM(IF((MschnLinks&lt;&gt;$O$20)*(MschnRechts=$O19),ToreLinks,0))</f>
        <v>1</v>
      </c>
      <c r="T19">
        <f ca="1">P19*FaktorPkte+Q19*FaktorTDiff+R19*FaktorTErz</f>
        <v>6000506</v>
      </c>
      <c r="U19" s="51">
        <f ca="1">RANK(T19,T$17:T$19,1)</f>
        <v>3</v>
      </c>
      <c r="V19" s="51">
        <f ca="1">IF(AND(Pkte1=Pkte2,Pkte1=Pkte3,Pkte1&lt;&gt;Pkte4),U19,0)</f>
        <v>0</v>
      </c>
      <c r="W19" s="51">
        <f ca="1">IF(AND(T19=T17,T19&lt;&gt;T18,Z19&gt;Z17),1,0)+IF(AND(T19=T18,T19&lt;&gt;T17,AA19&gt;AA18),1,0)</f>
        <v>0</v>
      </c>
      <c r="X19" s="110">
        <f ca="1">IF(V19&gt;0,V19*FaktordirV3+W19*FaktordirV2,0)</f>
        <v>0</v>
      </c>
      <c r="Y19" s="154"/>
      <c r="Z19" s="231">
        <f ca="1">SUMIFS(ToreLinks,MschnLinks,$O19,MschnRechts,$O17)+SUMIFS(ToreRechts,MschnLinks,$O17,MschnRechts,$O19)</f>
        <v>4</v>
      </c>
      <c r="AA19" s="155">
        <f ca="1">SUMIFS(ToreLinks,MschnLinks,$O19,MschnRechts,$O18)+SUMIFS(ToreRechts,MschnLinks,$O18,MschnRechts,$O19)</f>
        <v>2</v>
      </c>
      <c r="AB19" s="110">
        <f ca="1">IF(AND(Pkte1=Pkte2,Pkte1=Pkte3,Pkte1=Pkte4,GanzKoeff1=GanzKoeff2,GanzKoeff1=GanzKoeff3,GanzKoeff1&lt;&gt;GanzKoeff4),U19,0)</f>
        <v>0</v>
      </c>
      <c r="AC19" s="110">
        <f ca="1">IF(AB19&gt;0,AB19*FaktordirV3+W19*FaktordirV2,0)</f>
        <v>0</v>
      </c>
    </row>
    <row r="20" spans="2:29" ht="15" thickBot="1">
      <c r="D20" t="str">
        <f ca="1">Mann4</f>
        <v>Duitsland</v>
      </c>
      <c r="E20" s="51"/>
      <c r="F20" s="51"/>
      <c r="G20" s="51">
        <f ca="1">Z24</f>
        <v>3</v>
      </c>
      <c r="H20" s="51"/>
      <c r="I20" s="51">
        <f ca="1">AA24</f>
        <v>2</v>
      </c>
      <c r="J20" s="51">
        <f ca="1">AA29</f>
        <v>2</v>
      </c>
      <c r="L20" s="109">
        <f ca="1">IF(AND(Pkte4=Pkte1,Pkte4&lt;&gt;Pkte2,Pkte4&lt;&gt;Pkte3,G20&gt;G17),1,0)+IF(AND(Pkte4=Pkte2,Pkte4&lt;&gt;Pkte1,Pkte4&lt;&gt;Pkte3,I20&gt;I18),1,0)+IF(AND(Pkte4=Pkte3,Pkte4&lt;&gt;Pkte1,Pkte4&lt;&gt;Pkte2,J20&gt;J19),1,0)</f>
        <v>0</v>
      </c>
      <c r="O20" s="108" t="str">
        <f ca="1">Mann4</f>
        <v>Duitsland</v>
      </c>
      <c r="P20" s="51"/>
      <c r="Q20" s="51"/>
      <c r="R20" s="51"/>
      <c r="S20" s="51"/>
      <c r="V20" s="51"/>
      <c r="W20" s="51"/>
      <c r="X20" s="110"/>
      <c r="Y20" s="154"/>
      <c r="Z20" s="231"/>
      <c r="AA20" s="155"/>
      <c r="AB20" s="159"/>
      <c r="AC20" s="159"/>
    </row>
    <row r="21" spans="2:29">
      <c r="B21" s="137"/>
      <c r="C21" s="138"/>
      <c r="D21" s="139"/>
      <c r="F21" s="51"/>
      <c r="G21" s="111"/>
      <c r="V21" s="51"/>
      <c r="W21" s="51"/>
      <c r="X21" s="110"/>
      <c r="Y21" s="154"/>
      <c r="Z21" s="231"/>
      <c r="AA21" s="155"/>
      <c r="AB21" s="159"/>
      <c r="AC21" s="159"/>
    </row>
    <row r="22" spans="2:29">
      <c r="B22" s="137"/>
      <c r="C22" s="138"/>
      <c r="D22" s="139"/>
      <c r="F22" s="51"/>
      <c r="G22" s="111"/>
      <c r="N22" s="51" t="s">
        <v>66</v>
      </c>
      <c r="O22" t="str">
        <f ca="1">Mann1</f>
        <v>Hongarije</v>
      </c>
      <c r="P22" s="51">
        <f t="array" aca="1" ref="P22" ca="1">SUM(IF((MschnLinks=$O22)*(MschnRechts&lt;&gt;$O$25),PkteLinks,0))+SUM(IF((MschnLinks&lt;&gt;$O$25)*(MschnRechts=$O22),PkteRechts,0))</f>
        <v>0</v>
      </c>
      <c r="Q22" s="51">
        <f ca="1">R22-S22</f>
        <v>-4</v>
      </c>
      <c r="R22" s="51">
        <f t="array" aca="1" ref="R22" ca="1">SUM(IF((MschnLinks=$O22)*(MschnRechts&lt;&gt;$O$25),ToreLinks,0))+SUM(IF((MschnLinks&lt;&gt;$O$25)*(MschnRechts=$O22),ToreRechts,0))</f>
        <v>0</v>
      </c>
      <c r="S22" s="51">
        <f t="array" aca="1" ref="S22" ca="1">SUM(IF((MschnLinks=$O22)*(MschnRechts&lt;&gt;$O$25),ToreRechts,0))+SUM(IF((MschnLinks&lt;&gt;$O$25)*(MschnRechts=$O22),ToreLinks,0))</f>
        <v>4</v>
      </c>
      <c r="T22">
        <f ca="1">P22*FaktorPkte+Q22*FaktorTDiff+R22*FaktorTErz</f>
        <v>-400</v>
      </c>
      <c r="U22" s="51">
        <f ca="1">RANK(T22,T$22:T$24,1)</f>
        <v>1</v>
      </c>
      <c r="V22" s="51">
        <f ca="1">IF(AND(Pkte1=Pkte2,Pkte1=Pkte4,Pkte1&lt;&gt;Pkte3),U22,0)</f>
        <v>0</v>
      </c>
      <c r="W22" s="51">
        <f ca="1">IF(AND(T22=T23,T22&lt;&gt;T24,Y22&gt;Y23),1,0)+IF(AND(T22=T24,T22&lt;&gt;T23,Z22&gt;Z24),1,0)</f>
        <v>0</v>
      </c>
      <c r="X22" s="110">
        <f ca="1">IF(V22&gt;0,V22*FaktordirV3+W22*FaktordirV2,0)</f>
        <v>0</v>
      </c>
      <c r="Y22" s="154">
        <f ca="1">SUMIFS(ToreLinks,MschnLinks,$O22,MschnRechts,$O23)+SUMIFS(ToreRechts,MschnLinks,$O23,MschnRechts,$O22)</f>
        <v>0</v>
      </c>
      <c r="Z22" s="231">
        <f ca="1">SUMIFS(ToreLinks,MschnLinks,$O22,MschnRechts,$O24)+SUMIFS(ToreRechts,MschnLinks,$O24,MschnRechts,$O22)</f>
        <v>0</v>
      </c>
      <c r="AA22" s="155"/>
      <c r="AB22" s="110">
        <f ca="1">IF(AND(Pkte1=Pkte2,Pkte1=Pkte3,Pkte1=Pkte4,GanzKoeff1=GanzKoeff2,GanzKoeff1=GanzKoeff4,GanzKoeff1&lt;&gt;GanzKoeff3),U22,0)</f>
        <v>0</v>
      </c>
      <c r="AC22" s="110">
        <f ca="1">IF(AB22&gt;0,AB22*FaktordirV3+W22*FaktordirV2,0)</f>
        <v>0</v>
      </c>
    </row>
    <row r="23" spans="2:29">
      <c r="B23" s="122"/>
      <c r="C23" s="51"/>
      <c r="F23" s="51"/>
      <c r="G23" s="111"/>
      <c r="N23" s="51" t="s">
        <v>67</v>
      </c>
      <c r="O23" t="str">
        <f ca="1">Mann2</f>
        <v>Portugal</v>
      </c>
      <c r="P23" s="51">
        <f t="array" aca="1" ref="P23" ca="1">SUM(IF((MschnLinks=$O23)*(MschnRechts&lt;&gt;$O$25),PkteLinks,0))+SUM(IF((MschnLinks&lt;&gt;$O$25)*(MschnRechts=$O23),PkteRechts,0))</f>
        <v>4</v>
      </c>
      <c r="Q23" s="51">
        <f ca="1">R23-S23</f>
        <v>1</v>
      </c>
      <c r="R23" s="51">
        <f t="array" aca="1" ref="R23" ca="1">SUM(IF((MschnLinks=$O23)*(MschnRechts&lt;&gt;$O$25),ToreLinks,0))+SUM(IF((MschnLinks&lt;&gt;$O$25)*(MschnRechts=$O23),ToreRechts,0))</f>
        <v>3</v>
      </c>
      <c r="S23" s="51">
        <f t="array" aca="1" ref="S23" ca="1">SUM(IF((MschnLinks=$O23)*(MschnRechts&lt;&gt;$O$25),ToreRechts,0))+SUM(IF((MschnLinks&lt;&gt;$O$25)*(MschnRechts=$O23),ToreLinks,0))</f>
        <v>2</v>
      </c>
      <c r="T23">
        <f ca="1">P23*FaktorPkte+Q23*FaktorTDiff+R23*FaktorTErz</f>
        <v>4000103</v>
      </c>
      <c r="U23" s="51">
        <f ca="1">RANK(T23,T$22:T$24,1)</f>
        <v>2</v>
      </c>
      <c r="V23" s="51">
        <f ca="1">IF(AND(Pkte1=Pkte2,Pkte1=Pkte4,Pkte1&lt;&gt;Pkte3),U23,0)</f>
        <v>0</v>
      </c>
      <c r="W23" s="51">
        <f ca="1">IF(AND(T23=T22,T23&lt;&gt;T24,Y23&gt;Y22),1,0)+IF(AND(T23=T24,T23&lt;&gt;T22,AA23&gt;AA24),1,0)</f>
        <v>0</v>
      </c>
      <c r="X23" s="110">
        <f ca="1">IF(V23&gt;0,V23*FaktordirV3+W23*FaktordirV2,0)</f>
        <v>0</v>
      </c>
      <c r="Y23" s="154">
        <f ca="1">SUMIFS(ToreLinks,MschnLinks,$O23,MschnRechts,$O22)+SUMIFS(ToreRechts,MschnLinks,$O22,MschnRechts,$O23)</f>
        <v>1</v>
      </c>
      <c r="Z23" s="231"/>
      <c r="AA23" s="155">
        <f ca="1">SUMIFS(ToreLinks,MschnLinks,$O23,MschnRechts,$O24)+SUMIFS(ToreRechts,MschnLinks,$O24,MschnRechts,$O23)</f>
        <v>2</v>
      </c>
      <c r="AB23" s="110">
        <f ca="1">IF(AND(Pkte1=Pkte2,Pkte1=Pkte3,Pkte1=Pkte4,GanzKoeff1=GanzKoeff2,GanzKoeff1=GanzKoeff4,GanzKoeff1&lt;&gt;GanzKoeff3),U23,0)</f>
        <v>0</v>
      </c>
      <c r="AC23" s="110">
        <f ca="1">IF(AB23&gt;0,AB23*FaktordirV3+W23*FaktordirV2,0)</f>
        <v>0</v>
      </c>
    </row>
    <row r="24" spans="2:29">
      <c r="B24" s="122"/>
      <c r="C24" s="51"/>
      <c r="F24" s="51"/>
      <c r="G24" s="111"/>
      <c r="N24" s="51" t="s">
        <v>68</v>
      </c>
      <c r="O24" t="str">
        <f ca="1">Mann4</f>
        <v>Duitsland</v>
      </c>
      <c r="P24" s="51">
        <f t="array" aca="1" ref="P24" ca="1">SUM(IF((MschnLinks=$O24)*(MschnRechts&lt;&gt;$O$25),PkteLinks,0))+SUM(IF((MschnLinks&lt;&gt;$O$25)*(MschnRechts=$O24),PkteRechts,0))</f>
        <v>4</v>
      </c>
      <c r="Q24" s="51">
        <f ca="1">R24-S24</f>
        <v>3</v>
      </c>
      <c r="R24" s="51">
        <f t="array" aca="1" ref="R24" ca="1">SUM(IF((MschnLinks=$O24)*(MschnRechts&lt;&gt;$O$25),ToreLinks,0))+SUM(IF((MschnLinks&lt;&gt;$O$25)*(MschnRechts=$O24),ToreRechts,0))</f>
        <v>5</v>
      </c>
      <c r="S24" s="51">
        <f t="array" aca="1" ref="S24" ca="1">SUM(IF((MschnLinks=$O24)*(MschnRechts&lt;&gt;$O$25),ToreRechts,0))+SUM(IF((MschnLinks&lt;&gt;$O$25)*(MschnRechts=$O24),ToreLinks,0))</f>
        <v>2</v>
      </c>
      <c r="T24">
        <f ca="1">P24*FaktorPkte+Q24*FaktorTDiff+R24*FaktorTErz</f>
        <v>4000305</v>
      </c>
      <c r="U24" s="51">
        <f ca="1">RANK(T24,T$22:T$24,1)</f>
        <v>3</v>
      </c>
      <c r="V24" s="51">
        <f ca="1">IF(AND(Pkte1=Pkte2,Pkte1=Pkte4,Pkte1&lt;&gt;Pkte3),U24,0)</f>
        <v>0</v>
      </c>
      <c r="W24" s="51">
        <f ca="1">IF(AND(T24=T22,T24&lt;&gt;T23,Z24&gt;Z22),1,0)+IF(AND(T24=T23,T24&lt;&gt;T22,AA24&gt;AA23),1,0)</f>
        <v>0</v>
      </c>
      <c r="X24" s="110">
        <f ca="1">IF(V24&gt;0,V24*FaktordirV3+W24*FaktordirV2,0)</f>
        <v>0</v>
      </c>
      <c r="Y24" s="154"/>
      <c r="Z24" s="231">
        <f ca="1">SUMIFS(ToreLinks,MschnLinks,$O24,MschnRechts,$O22)+SUMIFS(ToreRechts,MschnLinks,$O22,MschnRechts,$O24)</f>
        <v>3</v>
      </c>
      <c r="AA24" s="155">
        <f ca="1">SUMIFS(ToreLinks,MschnLinks,$O24,MschnRechts,$O23)+SUMIFS(ToreRechts,MschnLinks,$O23,MschnRechts,$O24)</f>
        <v>2</v>
      </c>
      <c r="AB24" s="110">
        <f ca="1">IF(AND(Pkte1=Pkte2,Pkte1=Pkte3,Pkte1=Pkte4,GanzKoeff1=GanzKoeff2,GanzKoeff1=GanzKoeff4,GanzKoeff1&lt;&gt;GanzKoeff3),U24,0)</f>
        <v>0</v>
      </c>
      <c r="AC24" s="110">
        <f ca="1">IF(AB24&gt;0,AB24*FaktordirV3+W24*FaktordirV2,0)</f>
        <v>0</v>
      </c>
    </row>
    <row r="25" spans="2:29">
      <c r="B25" s="122"/>
      <c r="C25" s="51"/>
      <c r="F25" s="51"/>
      <c r="G25" s="111"/>
      <c r="O25" s="108" t="str">
        <f ca="1">Mann3</f>
        <v>Frankrijk</v>
      </c>
      <c r="P25" s="51"/>
      <c r="Q25" s="51"/>
      <c r="R25" s="51"/>
      <c r="S25" s="51"/>
      <c r="V25" s="51"/>
      <c r="W25" s="51"/>
      <c r="X25" s="110"/>
      <c r="Y25" s="154"/>
      <c r="Z25" s="231"/>
      <c r="AA25" s="155"/>
      <c r="AB25" s="159"/>
      <c r="AC25" s="159"/>
    </row>
    <row r="26" spans="2:29">
      <c r="B26" s="122"/>
      <c r="C26" s="51"/>
      <c r="F26" s="51"/>
      <c r="G26" s="111"/>
      <c r="V26" s="51"/>
      <c r="W26" s="51"/>
      <c r="X26" s="110"/>
      <c r="Y26" s="154"/>
      <c r="Z26" s="231"/>
      <c r="AA26" s="155"/>
      <c r="AB26" s="159"/>
      <c r="AC26" s="159"/>
    </row>
    <row r="27" spans="2:29">
      <c r="N27" s="51" t="s">
        <v>66</v>
      </c>
      <c r="O27" t="str">
        <f ca="1">Mann1</f>
        <v>Hongarije</v>
      </c>
      <c r="P27" s="51">
        <f t="array" aca="1" ref="P27" ca="1">SUM(IF((MschnLinks=$O27)*(MschnRechts&lt;&gt;$O$30),PkteLinks,0))+SUM(IF((MschnLinks&lt;&gt;$O$30)*(MschnRechts=$O27),PkteRechts,0))</f>
        <v>0</v>
      </c>
      <c r="Q27" s="51">
        <f ca="1">R27-S27</f>
        <v>-7</v>
      </c>
      <c r="R27" s="51">
        <f t="array" aca="1" ref="R27" ca="1">SUM(IF((MschnLinks=$O27)*(MschnRechts&lt;&gt;$O$30),ToreLinks,0))+SUM(IF((MschnLinks&lt;&gt;$O$30)*(MschnRechts=$O27),ToreRechts,0))</f>
        <v>0</v>
      </c>
      <c r="S27" s="51">
        <f t="array" aca="1" ref="S27" ca="1">SUM(IF((MschnLinks=$O27)*(MschnRechts&lt;&gt;$O$30),ToreRechts,0))+SUM(IF((MschnLinks&lt;&gt;$O$30)*(MschnRechts=$O27),ToreLinks,0))</f>
        <v>7</v>
      </c>
      <c r="T27">
        <f ca="1">P27*FaktorPkte+Q27*FaktorTDiff+R27*FaktorTErz</f>
        <v>-700</v>
      </c>
      <c r="U27" s="51">
        <f ca="1">RANK(T27,T$27:T$29,1)</f>
        <v>1</v>
      </c>
      <c r="V27" s="51">
        <f ca="1">IF(AND(Pkte1=Pkte3,Pkte1=Pkte4,Pkte1&lt;&gt;Pkte2),U27,0)</f>
        <v>0</v>
      </c>
      <c r="W27" s="51">
        <f ca="1">IF(AND(T27=T28,T27&lt;&gt;T29,Y27&gt;Y28),1,0)+IF(AND(T27=T29,T27&lt;&gt;T28,Z27&gt;Z29),1,0)</f>
        <v>0</v>
      </c>
      <c r="X27" s="110">
        <f ca="1">IF(V27&gt;0,V27*FaktordirV3+W27*FaktordirV2,0)</f>
        <v>0</v>
      </c>
      <c r="Y27" s="154">
        <f ca="1">SUMIFS(ToreLinks,MschnLinks,$O27,MschnRechts,$O28)+SUMIFS(ToreRechts,MschnLinks,$O28,MschnRechts,$O27)</f>
        <v>0</v>
      </c>
      <c r="Z27" s="231">
        <f ca="1">SUMIFS(ToreLinks,MschnLinks,$O27,MschnRechts,$O29)+SUMIFS(ToreRechts,MschnLinks,$O29,MschnRechts,$O27)</f>
        <v>0</v>
      </c>
      <c r="AA27" s="155"/>
      <c r="AB27" s="110">
        <f ca="1">IF(AND(Pkte1=Pkte2,Pkte1=Pkte3,Pkte1=Pkte4,GanzKoeff1=GanzKoeff3,GanzKoeff1=GanzKoeff4,GanzKoeff1&lt;&gt;GanzKoeff2),U27,0)</f>
        <v>0</v>
      </c>
      <c r="AC27" s="110">
        <f ca="1">IF(AB27&gt;0,AB27*FaktordirV3+W27*FaktordirV2,0)</f>
        <v>0</v>
      </c>
    </row>
    <row r="28" spans="2:29">
      <c r="N28" s="51" t="s">
        <v>67</v>
      </c>
      <c r="O28" t="str">
        <f ca="1">Mann3</f>
        <v>Frankrijk</v>
      </c>
      <c r="P28" s="51">
        <f t="array" aca="1" ref="P28" ca="1">SUM(IF((MschnLinks=$O28)*(MschnRechts&lt;&gt;$O$30),PkteLinks,0))+SUM(IF((MschnLinks&lt;&gt;$O$30)*(MschnRechts=$O28),PkteRechts,0))</f>
        <v>4</v>
      </c>
      <c r="Q28" s="51">
        <f ca="1">R28-S28</f>
        <v>4</v>
      </c>
      <c r="R28" s="51">
        <f t="array" aca="1" ref="R28" ca="1">SUM(IF((MschnLinks=$O28)*(MschnRechts&lt;&gt;$O$30),ToreLinks,0))+SUM(IF((MschnLinks&lt;&gt;$O$30)*(MschnRechts=$O28),ToreRechts,0))</f>
        <v>6</v>
      </c>
      <c r="S28" s="51">
        <f t="array" aca="1" ref="S28" ca="1">SUM(IF((MschnLinks=$O28)*(MschnRechts&lt;&gt;$O$30),ToreRechts,0))+SUM(IF((MschnLinks&lt;&gt;$O$30)*(MschnRechts=$O28),ToreLinks,0))</f>
        <v>2</v>
      </c>
      <c r="T28">
        <f ca="1">P28*FaktorPkte+Q28*FaktorTDiff+R28*FaktorTErz</f>
        <v>4000406</v>
      </c>
      <c r="U28" s="51">
        <f ca="1">RANK(T28,T$27:T$29,1)</f>
        <v>3</v>
      </c>
      <c r="V28" s="51">
        <f ca="1">IF(AND(Pkte1=Pkte3,Pkte1=Pkte4,Pkte1&lt;&gt;Pkte2),U28,0)</f>
        <v>0</v>
      </c>
      <c r="W28" s="51">
        <f ca="1">IF(AND(T28=T27,T28&lt;&gt;T29,Y28&gt;Y27),1,0)+IF(AND(T28=T29,T28&lt;&gt;T27,AA28&gt;AA29),1,0)</f>
        <v>0</v>
      </c>
      <c r="X28" s="110">
        <f ca="1">IF(V28&gt;0,V28*FaktordirV3+W28*FaktordirV2,0)</f>
        <v>0</v>
      </c>
      <c r="Y28" s="154">
        <f ca="1">SUMIFS(ToreLinks,MschnLinks,$O28,MschnRechts,$O27)+SUMIFS(ToreRechts,MschnLinks,$O27,MschnRechts,$O28)</f>
        <v>4</v>
      </c>
      <c r="Z28" s="231"/>
      <c r="AA28" s="155">
        <f ca="1">SUMIFS(ToreLinks,MschnLinks,$O28,MschnRechts,$O29)+SUMIFS(ToreRechts,MschnLinks,$O29,MschnRechts,$O28)</f>
        <v>2</v>
      </c>
      <c r="AB28" s="110">
        <f ca="1">IF(AND(Pkte1=Pkte2,Pkte1=Pkte3,Pkte1=Pkte4,GanzKoeff1=GanzKoeff3,GanzKoeff1=GanzKoeff4,GanzKoeff1&lt;&gt;GanzKoeff2),U28,0)</f>
        <v>0</v>
      </c>
      <c r="AC28" s="110">
        <f ca="1">IF(AB28&gt;0,AB28*FaktordirV3+W28*FaktordirV2,0)</f>
        <v>0</v>
      </c>
    </row>
    <row r="29" spans="2:29">
      <c r="N29" s="51" t="s">
        <v>68</v>
      </c>
      <c r="O29" t="str">
        <f ca="1">Mann4</f>
        <v>Duitsland</v>
      </c>
      <c r="P29" s="51">
        <f t="array" aca="1" ref="P29" ca="1">SUM(IF((MschnLinks=$O29)*(MschnRechts&lt;&gt;$O$30),PkteLinks,0))+SUM(IF((MschnLinks&lt;&gt;$O$30)*(MschnRechts=$O29),PkteRechts,0))</f>
        <v>4</v>
      </c>
      <c r="Q29" s="51">
        <f ca="1">R29-S29</f>
        <v>3</v>
      </c>
      <c r="R29" s="51">
        <f t="array" aca="1" ref="R29" ca="1">SUM(IF((MschnLinks=$O29)*(MschnRechts&lt;&gt;$O$30),ToreLinks,0))+SUM(IF((MschnLinks&lt;&gt;$O$30)*(MschnRechts=$O29),ToreRechts,0))</f>
        <v>5</v>
      </c>
      <c r="S29" s="51">
        <f t="array" aca="1" ref="S29" ca="1">SUM(IF((MschnLinks=$O29)*(MschnRechts&lt;&gt;$O$30),ToreRechts,0))+SUM(IF((MschnLinks&lt;&gt;$O$30)*(MschnRechts=$O29),ToreLinks,0))</f>
        <v>2</v>
      </c>
      <c r="T29">
        <f ca="1">P29*FaktorPkte+Q29*FaktorTDiff+R29*FaktorTErz</f>
        <v>4000305</v>
      </c>
      <c r="U29" s="51">
        <f ca="1">RANK(T29,T$27:T$29,1)</f>
        <v>2</v>
      </c>
      <c r="V29" s="51">
        <f ca="1">IF(AND(Pkte1=Pkte3,Pkte1=Pkte4,Pkte1&lt;&gt;Pkte2),U29,0)</f>
        <v>0</v>
      </c>
      <c r="W29" s="51">
        <f ca="1">IF(AND(T29=T27,T29&lt;&gt;T28,Z29&gt;Z27),1,0)+IF(AND(T29=T28,T29&lt;&gt;T27,AA29&gt;AA28),1,0)</f>
        <v>0</v>
      </c>
      <c r="X29" s="110">
        <f ca="1">IF(V29&gt;0,V29*FaktordirV3+W29*FaktordirV2,0)</f>
        <v>0</v>
      </c>
      <c r="Y29" s="154"/>
      <c r="Z29" s="231">
        <f ca="1">SUMIFS(ToreLinks,MschnLinks,$O29,MschnRechts,$O27)+SUMIFS(ToreRechts,MschnLinks,$O27,MschnRechts,$O29)</f>
        <v>3</v>
      </c>
      <c r="AA29" s="155">
        <f ca="1">SUMIFS(ToreLinks,MschnLinks,$O29,MschnRechts,$O28)+SUMIFS(ToreRechts,MschnLinks,$O28,MschnRechts,$O29)</f>
        <v>2</v>
      </c>
      <c r="AB29" s="110">
        <f ca="1">IF(AND(Pkte1=Pkte2,Pkte1=Pkte3,Pkte1=Pkte4,GanzKoeff1=GanzKoeff3,GanzKoeff1=GanzKoeff4,GanzKoeff1&lt;&gt;GanzKoeff2),U29,0)</f>
        <v>0</v>
      </c>
      <c r="AC29" s="110">
        <f ca="1">IF(AB29&gt;0,AB29*FaktordirV3+W29*FaktordirV2,0)</f>
        <v>0</v>
      </c>
    </row>
    <row r="30" spans="2:29">
      <c r="O30" s="108" t="str">
        <f ca="1">Mann2</f>
        <v>Portugal</v>
      </c>
      <c r="P30" s="51"/>
      <c r="Q30" s="51"/>
      <c r="R30" s="51"/>
      <c r="S30" s="51"/>
      <c r="V30" s="51"/>
      <c r="W30" s="51"/>
      <c r="X30" s="110"/>
      <c r="Y30" s="154"/>
      <c r="Z30" s="231"/>
      <c r="AA30" s="155"/>
      <c r="AB30" s="159"/>
      <c r="AC30" s="159"/>
    </row>
    <row r="31" spans="2:29">
      <c r="V31" s="51"/>
      <c r="W31" s="51"/>
      <c r="X31" s="110"/>
      <c r="Y31" s="154"/>
      <c r="Z31" s="231"/>
      <c r="AA31" s="155"/>
      <c r="AB31" s="159"/>
      <c r="AC31" s="159"/>
    </row>
    <row r="32" spans="2:29">
      <c r="N32" s="51" t="s">
        <v>66</v>
      </c>
      <c r="O32" t="str">
        <f ca="1">Mann2</f>
        <v>Portugal</v>
      </c>
      <c r="P32" s="51">
        <f t="array" aca="1" ref="P32" ca="1">SUM(IF((MschnLinks=$O32)*(MschnRechts&lt;&gt;$O$35),PkteLinks,0))+SUM(IF((MschnLinks&lt;&gt;$O$35)*(MschnRechts=$O32),PkteRechts,0))</f>
        <v>1</v>
      </c>
      <c r="Q32" s="51">
        <f ca="1">R32-S32</f>
        <v>-1</v>
      </c>
      <c r="R32" s="51">
        <f t="array" aca="1" ref="R32" ca="1">SUM(IF((MschnLinks=$O32)*(MschnRechts&lt;&gt;$O$35),ToreLinks,0))+SUM(IF((MschnLinks&lt;&gt;$O$35)*(MschnRechts=$O32),ToreRechts,0))</f>
        <v>3</v>
      </c>
      <c r="S32" s="51">
        <f t="array" aca="1" ref="S32" ca="1">SUM(IF((MschnLinks=$O32)*(MschnRechts&lt;&gt;$O$35),ToreRechts,0))+SUM(IF((MschnLinks&lt;&gt;$O$35)*(MschnRechts=$O32),ToreLinks,0))</f>
        <v>4</v>
      </c>
      <c r="T32">
        <f ca="1">P32*FaktorPkte+Q32*FaktorTDiff+R32*FaktorTErz</f>
        <v>999903</v>
      </c>
      <c r="U32" s="51">
        <f ca="1">RANK(T32,T$32:T$34,1)</f>
        <v>1</v>
      </c>
      <c r="V32" s="51">
        <f ca="1">IF(AND(Pkte2=Pkte3,Pkte2=Pkte4,Pkte2&lt;&gt;Pkte1),U32,0)</f>
        <v>0</v>
      </c>
      <c r="W32" s="51">
        <f ca="1">IF(AND(T32=T33,T32&lt;&gt;T34,Y32&gt;Y33),1,0)+IF(AND(T32=T34,T32&lt;&gt;T33,Z32&gt;Z34),1,0)</f>
        <v>0</v>
      </c>
      <c r="X32" s="110">
        <f ca="1">IF(V32&gt;0,V32*FaktordirV3+W32*FaktordirV2,0)</f>
        <v>0</v>
      </c>
      <c r="Y32" s="154">
        <f ca="1">SUMIFS(ToreLinks,MschnLinks,$O32,MschnRechts,$O33)+SUMIFS(ToreRechts,MschnLinks,$O33,MschnRechts,$O32)</f>
        <v>1</v>
      </c>
      <c r="Z32" s="231">
        <f ca="1">SUMIFS(ToreLinks,MschnLinks,$O32,MschnRechts,$O34)+SUMIFS(ToreRechts,MschnLinks,$O34,MschnRechts,$O32)</f>
        <v>2</v>
      </c>
      <c r="AA32" s="155"/>
      <c r="AB32" s="110">
        <f ca="1">IF(AND(Pkte1=Pkte2,Pkte1=Pkte3,Pkte1=Pkte4,GanzKoeff2=GanzKoeff3,GanzKoeff2=GanzKoeff4,GanzKoeff2&lt;&gt;GanzKoeff1),U32,0)</f>
        <v>0</v>
      </c>
      <c r="AC32" s="110">
        <f ca="1">IF(AB32&gt;0,AB32*FaktordirV3+W32*FaktordirV2,0)</f>
        <v>0</v>
      </c>
    </row>
    <row r="33" spans="14:29">
      <c r="N33" s="51" t="s">
        <v>67</v>
      </c>
      <c r="O33" t="str">
        <f ca="1">Mann3</f>
        <v>Frankrijk</v>
      </c>
      <c r="P33" s="51">
        <f t="array" aca="1" ref="P33" ca="1">SUM(IF((MschnLinks=$O33)*(MschnRechts&lt;&gt;$O$35),PkteLinks,0))+SUM(IF((MschnLinks&lt;&gt;$O$35)*(MschnRechts=$O33),PkteRechts,0))</f>
        <v>4</v>
      </c>
      <c r="Q33" s="51">
        <f ca="1">R33-S33</f>
        <v>1</v>
      </c>
      <c r="R33" s="51">
        <f t="array" aca="1" ref="R33" ca="1">SUM(IF((MschnLinks=$O33)*(MschnRechts&lt;&gt;$O$35),ToreLinks,0))+SUM(IF((MschnLinks&lt;&gt;$O$35)*(MschnRechts=$O33),ToreRechts,0))</f>
        <v>4</v>
      </c>
      <c r="S33" s="51">
        <f t="array" aca="1" ref="S33" ca="1">SUM(IF((MschnLinks=$O33)*(MschnRechts&lt;&gt;$O$35),ToreRechts,0))+SUM(IF((MschnLinks&lt;&gt;$O$35)*(MschnRechts=$O33),ToreLinks,0))</f>
        <v>3</v>
      </c>
      <c r="T33">
        <f ca="1">P33*FaktorPkte+Q33*FaktorTDiff+R33*FaktorTErz</f>
        <v>4000104</v>
      </c>
      <c r="U33" s="51">
        <f ca="1">RANK(T33,T$32:T$34,1)</f>
        <v>3</v>
      </c>
      <c r="V33" s="51">
        <f ca="1">IF(AND(Pkte2=Pkte3,Pkte2=Pkte4,Pkte2&lt;&gt;Pkte1),U33,0)</f>
        <v>0</v>
      </c>
      <c r="W33" s="51">
        <f ca="1">IF(AND(T33=T32,T33&lt;&gt;T34,Y33&gt;Y32),1,0)+IF(AND(T33=T34,T33&lt;&gt;T32,AA33&gt;AA34),1,0)</f>
        <v>0</v>
      </c>
      <c r="X33" s="110">
        <f ca="1">IF(V33&gt;0,V33*FaktordirV3+W33*FaktordirV2,0)</f>
        <v>0</v>
      </c>
      <c r="Y33" s="154">
        <f ca="1">SUMIFS(ToreLinks,MschnLinks,$O33,MschnRechts,$O32)+SUMIFS(ToreRechts,MschnLinks,$O32,MschnRechts,$O33)</f>
        <v>2</v>
      </c>
      <c r="Z33" s="231"/>
      <c r="AA33" s="155">
        <f ca="1">SUMIFS(ToreLinks,MschnLinks,$O33,MschnRechts,$O34)+SUMIFS(ToreRechts,MschnLinks,$O34,MschnRechts,$O33)</f>
        <v>2</v>
      </c>
      <c r="AB33" s="110">
        <f ca="1">IF(AND(Pkte1=Pkte2,Pkte1=Pkte3,Pkte1=Pkte4,GanzKoeff2=GanzKoeff3,GanzKoeff2=GanzKoeff4,GanzKoeff2&lt;&gt;GanzKoeff1),U33,0)</f>
        <v>0</v>
      </c>
      <c r="AC33" s="110">
        <f ca="1">IF(AB33&gt;0,AB33*FaktordirV3+W33*FaktordirV2,0)</f>
        <v>0</v>
      </c>
    </row>
    <row r="34" spans="14:29" ht="15" thickBot="1">
      <c r="N34" s="51" t="s">
        <v>68</v>
      </c>
      <c r="O34" t="str">
        <f ca="1">Mann4</f>
        <v>Duitsland</v>
      </c>
      <c r="P34" s="51">
        <f t="array" aca="1" ref="P34" ca="1">SUM(IF((MschnLinks=$O34)*(MschnRechts&lt;&gt;$O$35),PkteLinks,0))+SUM(IF((MschnLinks&lt;&gt;$O$35)*(MschnRechts=$O34),PkteRechts,0))</f>
        <v>2</v>
      </c>
      <c r="Q34" s="51">
        <f ca="1">R34-S34</f>
        <v>0</v>
      </c>
      <c r="R34" s="51">
        <f t="array" aca="1" ref="R34" ca="1">SUM(IF((MschnLinks=$O34)*(MschnRechts&lt;&gt;$O$35),ToreLinks,0))+SUM(IF((MschnLinks&lt;&gt;$O$35)*(MschnRechts=$O34),ToreRechts,0))</f>
        <v>4</v>
      </c>
      <c r="S34" s="51">
        <f t="array" aca="1" ref="S34" ca="1">SUM(IF((MschnLinks=$O34)*(MschnRechts&lt;&gt;$O$35),ToreRechts,0))+SUM(IF((MschnLinks&lt;&gt;$O$35)*(MschnRechts=$O34),ToreLinks,0))</f>
        <v>4</v>
      </c>
      <c r="T34">
        <f ca="1">P34*FaktorPkte+Q34*FaktorTDiff+R34*FaktorTErz</f>
        <v>2000004</v>
      </c>
      <c r="U34" s="51">
        <f ca="1">RANK(T34,T$32:T$34,1)</f>
        <v>2</v>
      </c>
      <c r="V34" s="51">
        <f ca="1">IF(AND(Pkte2=Pkte3,Pkte2=Pkte4,Pkte2&lt;&gt;Pkte1),U34,0)</f>
        <v>0</v>
      </c>
      <c r="W34" s="51">
        <f ca="1">IF(AND(T34=T32,T34&lt;&gt;T33,Z34&gt;Z32),1,0)+IF(AND(T34=T33,T34&lt;&gt;T32,AA34&gt;AA33),1,0)</f>
        <v>0</v>
      </c>
      <c r="X34" s="109">
        <f ca="1">IF(V34&gt;0,V34*FaktordirV3+W34*FaktordirV2,0)</f>
        <v>0</v>
      </c>
      <c r="Y34" s="156"/>
      <c r="Z34" s="157">
        <f ca="1">SUMIFS(ToreLinks,MschnLinks,$O34,MschnRechts,$O32)+SUMIFS(ToreRechts,MschnLinks,$O32,MschnRechts,$O34)</f>
        <v>2</v>
      </c>
      <c r="AA34" s="158">
        <f ca="1">SUMIFS(ToreLinks,MschnLinks,$O34,MschnRechts,$O33)+SUMIFS(ToreRechts,MschnLinks,$O33,MschnRechts,$O34)</f>
        <v>2</v>
      </c>
      <c r="AB34" s="110">
        <f ca="1">IF(AND(Pkte1=Pkte2,Pkte1=Pkte3,Pkte1=Pkte4,GanzKoeff2=GanzKoeff3,GanzKoeff2=GanzKoeff4,GanzKoeff2&lt;&gt;GanzKoeff1),U34,0)</f>
        <v>0</v>
      </c>
      <c r="AC34" s="109">
        <f ca="1">IF(AB34&gt;0,AB34*FaktordirV3+W34*FaktordirV2,0)</f>
        <v>0</v>
      </c>
    </row>
    <row r="35" spans="14:29">
      <c r="O35" s="108" t="str">
        <f ca="1">Mann1</f>
        <v>Hongarije</v>
      </c>
      <c r="P35" s="51"/>
      <c r="Q35" s="51"/>
      <c r="R35" s="51"/>
      <c r="S35" s="51"/>
    </row>
  </sheetData>
  <mergeCells count="6">
    <mergeCell ref="Y16:AA16"/>
    <mergeCell ref="B3:D3"/>
    <mergeCell ref="E3:G3"/>
    <mergeCell ref="H3:I3"/>
    <mergeCell ref="J3:L3"/>
    <mergeCell ref="E16:J16"/>
  </mergeCells>
  <dataValidations count="1">
    <dataValidation type="custom" showInputMessage="1" showErrorMessage="1" error="hbFehler" sqref="D13" xr:uid="{2648F44A-A4FD-4E90-9719-979B423C6F1F}">
      <formula1>D12=2</formula1>
    </dataValidation>
  </dataValidation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190</vt:i4>
      </vt:variant>
    </vt:vector>
  </HeadingPairs>
  <TitlesOfParts>
    <vt:vector size="205" baseType="lpstr">
      <vt:lpstr>EURO 2020 score sheet</vt:lpstr>
      <vt:lpstr>Country names</vt:lpstr>
      <vt:lpstr>Fair play rating</vt:lpstr>
      <vt:lpstr>European Qualifiers Rankings</vt:lpstr>
      <vt:lpstr>Allocation of 3rd-placed teams</vt:lpstr>
      <vt:lpstr>Hints</vt:lpstr>
      <vt:lpstr>Faktoren</vt:lpstr>
      <vt:lpstr>Gruppendritte</vt:lpstr>
      <vt:lpstr>Eindeutigkeit</vt:lpstr>
      <vt:lpstr>GrpA</vt:lpstr>
      <vt:lpstr>GrpB</vt:lpstr>
      <vt:lpstr>GrpC</vt:lpstr>
      <vt:lpstr>GrpD</vt:lpstr>
      <vt:lpstr>GrpE</vt:lpstr>
      <vt:lpstr>GrpF</vt:lpstr>
      <vt:lpstr>AnzSpiele</vt:lpstr>
      <vt:lpstr>GrpA!DirVergleich3</vt:lpstr>
      <vt:lpstr>GrpB!DirVergleich3</vt:lpstr>
      <vt:lpstr>GrpC!DirVergleich3</vt:lpstr>
      <vt:lpstr>GrpD!DirVergleich3</vt:lpstr>
      <vt:lpstr>GrpE!DirVergleich3</vt:lpstr>
      <vt:lpstr>GrpF!DirVergleich3</vt:lpstr>
      <vt:lpstr>Gruppendritte!DirVergleich3</vt:lpstr>
      <vt:lpstr>GrpA!DirVergleich4</vt:lpstr>
      <vt:lpstr>GrpB!DirVergleich4</vt:lpstr>
      <vt:lpstr>GrpC!DirVergleich4</vt:lpstr>
      <vt:lpstr>GrpD!DirVergleich4</vt:lpstr>
      <vt:lpstr>GrpE!DirVergleich4</vt:lpstr>
      <vt:lpstr>GrpF!DirVergleich4</vt:lpstr>
      <vt:lpstr>GrpA!DirVglMschn</vt:lpstr>
      <vt:lpstr>GrpB!DirVglMschn</vt:lpstr>
      <vt:lpstr>GrpC!DirVglMschn</vt:lpstr>
      <vt:lpstr>GrpD!DirVglMschn</vt:lpstr>
      <vt:lpstr>GrpE!DirVglMschn</vt:lpstr>
      <vt:lpstr>GrpF!DirVglMschn</vt:lpstr>
      <vt:lpstr>Gruppendritte!DirVglMschn</vt:lpstr>
      <vt:lpstr>EindeutigDritte</vt:lpstr>
      <vt:lpstr>EindeutigGruppen</vt:lpstr>
      <vt:lpstr>ElfmeterText1</vt:lpstr>
      <vt:lpstr>ElfmeterText2</vt:lpstr>
      <vt:lpstr>GrpA!ElfmLinks</vt:lpstr>
      <vt:lpstr>GrpB!ElfmLinks</vt:lpstr>
      <vt:lpstr>GrpC!ElfmLinks</vt:lpstr>
      <vt:lpstr>GrpD!ElfmLinks</vt:lpstr>
      <vt:lpstr>GrpE!ElfmLinks</vt:lpstr>
      <vt:lpstr>GrpF!ElfmLinks</vt:lpstr>
      <vt:lpstr>GrpA!ElfmRechts</vt:lpstr>
      <vt:lpstr>GrpB!ElfmRechts</vt:lpstr>
      <vt:lpstr>GrpC!ElfmRechts</vt:lpstr>
      <vt:lpstr>GrpD!ElfmRechts</vt:lpstr>
      <vt:lpstr>GrpE!ElfmRechts</vt:lpstr>
      <vt:lpstr>GrpF!ElfmRechts</vt:lpstr>
      <vt:lpstr>FairPlayMn1</vt:lpstr>
      <vt:lpstr>FairPlayMn2</vt:lpstr>
      <vt:lpstr>FairPlayPkte1</vt:lpstr>
      <vt:lpstr>FairPlayPkte2</vt:lpstr>
      <vt:lpstr>FaktordirV2</vt:lpstr>
      <vt:lpstr>FaktordirV3</vt:lpstr>
      <vt:lpstr>FaktorElfm</vt:lpstr>
      <vt:lpstr>FaktorFairPlay</vt:lpstr>
      <vt:lpstr>FaktorPkte</vt:lpstr>
      <vt:lpstr>FaktorRngLi</vt:lpstr>
      <vt:lpstr>FaktorTDiff</vt:lpstr>
      <vt:lpstr>FaktorTErz</vt:lpstr>
      <vt:lpstr>GrpB!GanzKoeff1</vt:lpstr>
      <vt:lpstr>GrpC!GanzKoeff1</vt:lpstr>
      <vt:lpstr>GrpD!GanzKoeff1</vt:lpstr>
      <vt:lpstr>GrpE!GanzKoeff1</vt:lpstr>
      <vt:lpstr>GrpF!GanzKoeff1</vt:lpstr>
      <vt:lpstr>GanzKoeff1</vt:lpstr>
      <vt:lpstr>GrpB!GanzKoeff2</vt:lpstr>
      <vt:lpstr>GrpC!GanzKoeff2</vt:lpstr>
      <vt:lpstr>GrpD!GanzKoeff2</vt:lpstr>
      <vt:lpstr>GrpE!GanzKoeff2</vt:lpstr>
      <vt:lpstr>GrpF!GanzKoeff2</vt:lpstr>
      <vt:lpstr>GanzKoeff2</vt:lpstr>
      <vt:lpstr>GrpB!GanzKoeff3</vt:lpstr>
      <vt:lpstr>GrpC!GanzKoeff3</vt:lpstr>
      <vt:lpstr>GrpD!GanzKoeff3</vt:lpstr>
      <vt:lpstr>GrpE!GanzKoeff3</vt:lpstr>
      <vt:lpstr>GrpF!GanzKoeff3</vt:lpstr>
      <vt:lpstr>GanzKoeff3</vt:lpstr>
      <vt:lpstr>GrpB!GanzKoeff4</vt:lpstr>
      <vt:lpstr>GrpC!GanzKoeff4</vt:lpstr>
      <vt:lpstr>GrpD!GanzKoeff4</vt:lpstr>
      <vt:lpstr>GrpE!GanzKoeff4</vt:lpstr>
      <vt:lpstr>GrpF!GanzKoeff4</vt:lpstr>
      <vt:lpstr>GanzKoeff4</vt:lpstr>
      <vt:lpstr>GrpKombi</vt:lpstr>
      <vt:lpstr>GrpKombin</vt:lpstr>
      <vt:lpstr>GrpA!LetzteBegLinks</vt:lpstr>
      <vt:lpstr>GrpB!LetzteBegLinks</vt:lpstr>
      <vt:lpstr>GrpC!LetzteBegLinks</vt:lpstr>
      <vt:lpstr>GrpD!LetzteBegLinks</vt:lpstr>
      <vt:lpstr>GrpE!LetzteBegLinks</vt:lpstr>
      <vt:lpstr>GrpF!LetzteBegLinks</vt:lpstr>
      <vt:lpstr>GrpA!LetzteBegRechts</vt:lpstr>
      <vt:lpstr>GrpB!LetzteBegRechts</vt:lpstr>
      <vt:lpstr>GrpC!LetzteBegRechts</vt:lpstr>
      <vt:lpstr>GrpD!LetzteBegRechts</vt:lpstr>
      <vt:lpstr>GrpE!LetzteBegRechts</vt:lpstr>
      <vt:lpstr>GrpF!LetzteBegRechts</vt:lpstr>
      <vt:lpstr>GrpA!Mann1</vt:lpstr>
      <vt:lpstr>GrpB!Mann1</vt:lpstr>
      <vt:lpstr>GrpC!Mann1</vt:lpstr>
      <vt:lpstr>GrpD!Mann1</vt:lpstr>
      <vt:lpstr>GrpE!Mann1</vt:lpstr>
      <vt:lpstr>GrpF!Mann1</vt:lpstr>
      <vt:lpstr>GrpA!Mann2</vt:lpstr>
      <vt:lpstr>GrpB!Mann2</vt:lpstr>
      <vt:lpstr>GrpC!Mann2</vt:lpstr>
      <vt:lpstr>GrpD!Mann2</vt:lpstr>
      <vt:lpstr>GrpE!Mann2</vt:lpstr>
      <vt:lpstr>GrpF!Mann2</vt:lpstr>
      <vt:lpstr>GrpA!Mann3</vt:lpstr>
      <vt:lpstr>GrpB!Mann3</vt:lpstr>
      <vt:lpstr>GrpC!Mann3</vt:lpstr>
      <vt:lpstr>GrpD!Mann3</vt:lpstr>
      <vt:lpstr>GrpE!Mann3</vt:lpstr>
      <vt:lpstr>GrpF!Mann3</vt:lpstr>
      <vt:lpstr>GrpA!Mann4</vt:lpstr>
      <vt:lpstr>GrpB!Mann4</vt:lpstr>
      <vt:lpstr>GrpC!Mann4</vt:lpstr>
      <vt:lpstr>GrpD!Mann4</vt:lpstr>
      <vt:lpstr>GrpE!Mann4</vt:lpstr>
      <vt:lpstr>GrpF!Mann4</vt:lpstr>
      <vt:lpstr>Meldung1a</vt:lpstr>
      <vt:lpstr>Meldung1b</vt:lpstr>
      <vt:lpstr>Meldung2a</vt:lpstr>
      <vt:lpstr>Meldung2b</vt:lpstr>
      <vt:lpstr>Meldung2ok</vt:lpstr>
      <vt:lpstr>Meldung3</vt:lpstr>
      <vt:lpstr>Meldung3ok</vt:lpstr>
      <vt:lpstr>GrpA!MschnLinks</vt:lpstr>
      <vt:lpstr>GrpB!MschnLinks</vt:lpstr>
      <vt:lpstr>GrpC!MschnLinks</vt:lpstr>
      <vt:lpstr>GrpD!MschnLinks</vt:lpstr>
      <vt:lpstr>GrpE!MschnLinks</vt:lpstr>
      <vt:lpstr>GrpF!MschnLinks</vt:lpstr>
      <vt:lpstr>GrpA!MschnRechts</vt:lpstr>
      <vt:lpstr>GrpB!MschnRechts</vt:lpstr>
      <vt:lpstr>GrpC!MschnRechts</vt:lpstr>
      <vt:lpstr>GrpD!MschnRechts</vt:lpstr>
      <vt:lpstr>GrpE!MschnRechts</vt:lpstr>
      <vt:lpstr>GrpF!MschnRechts</vt:lpstr>
      <vt:lpstr>GrpA!Pkte1</vt:lpstr>
      <vt:lpstr>GrpB!Pkte1</vt:lpstr>
      <vt:lpstr>GrpC!Pkte1</vt:lpstr>
      <vt:lpstr>GrpD!Pkte1</vt:lpstr>
      <vt:lpstr>GrpE!Pkte1</vt:lpstr>
      <vt:lpstr>GrpF!Pkte1</vt:lpstr>
      <vt:lpstr>Gruppendritte!Pkte1</vt:lpstr>
      <vt:lpstr>GrpA!Pkte2</vt:lpstr>
      <vt:lpstr>GrpB!Pkte2</vt:lpstr>
      <vt:lpstr>GrpC!Pkte2</vt:lpstr>
      <vt:lpstr>GrpD!Pkte2</vt:lpstr>
      <vt:lpstr>GrpE!Pkte2</vt:lpstr>
      <vt:lpstr>GrpF!Pkte2</vt:lpstr>
      <vt:lpstr>Gruppendritte!Pkte2</vt:lpstr>
      <vt:lpstr>GrpA!Pkte3</vt:lpstr>
      <vt:lpstr>GrpB!Pkte3</vt:lpstr>
      <vt:lpstr>GrpC!Pkte3</vt:lpstr>
      <vt:lpstr>GrpD!Pkte3</vt:lpstr>
      <vt:lpstr>GrpE!Pkte3</vt:lpstr>
      <vt:lpstr>GrpF!Pkte3</vt:lpstr>
      <vt:lpstr>Gruppendritte!Pkte3</vt:lpstr>
      <vt:lpstr>GrpA!Pkte4</vt:lpstr>
      <vt:lpstr>GrpB!Pkte4</vt:lpstr>
      <vt:lpstr>GrpC!Pkte4</vt:lpstr>
      <vt:lpstr>GrpD!Pkte4</vt:lpstr>
      <vt:lpstr>GrpE!Pkte4</vt:lpstr>
      <vt:lpstr>GrpF!Pkte4</vt:lpstr>
      <vt:lpstr>Gruppendritte!Pkte4</vt:lpstr>
      <vt:lpstr>GrpA!PkteLinks</vt:lpstr>
      <vt:lpstr>GrpB!PkteLinks</vt:lpstr>
      <vt:lpstr>GrpC!PkteLinks</vt:lpstr>
      <vt:lpstr>GrpD!PkteLinks</vt:lpstr>
      <vt:lpstr>GrpE!PkteLinks</vt:lpstr>
      <vt:lpstr>GrpF!PkteLinks</vt:lpstr>
      <vt:lpstr>GrpA!PkteRechts</vt:lpstr>
      <vt:lpstr>GrpB!PkteRechts</vt:lpstr>
      <vt:lpstr>GrpC!PkteRechts</vt:lpstr>
      <vt:lpstr>GrpD!PkteRechts</vt:lpstr>
      <vt:lpstr>GrpE!PkteRechts</vt:lpstr>
      <vt:lpstr>GrpF!PkteRechts</vt:lpstr>
      <vt:lpstr>RngLiLand</vt:lpstr>
      <vt:lpstr>RngLiRang</vt:lpstr>
      <vt:lpstr>GrpA!Spiele</vt:lpstr>
      <vt:lpstr>GrpB!Spiele</vt:lpstr>
      <vt:lpstr>GrpC!Spiele</vt:lpstr>
      <vt:lpstr>GrpD!Spiele</vt:lpstr>
      <vt:lpstr>GrpE!Spiele</vt:lpstr>
      <vt:lpstr>GrpF!Spiele</vt:lpstr>
      <vt:lpstr>GrpA!ToreLinks</vt:lpstr>
      <vt:lpstr>GrpB!ToreLinks</vt:lpstr>
      <vt:lpstr>GrpC!ToreLinks</vt:lpstr>
      <vt:lpstr>GrpD!ToreLinks</vt:lpstr>
      <vt:lpstr>GrpE!ToreLinks</vt:lpstr>
      <vt:lpstr>GrpF!ToreLinks</vt:lpstr>
      <vt:lpstr>GrpA!ToreRechts</vt:lpstr>
      <vt:lpstr>GrpB!ToreRechts</vt:lpstr>
      <vt:lpstr>GrpC!ToreRechts</vt:lpstr>
      <vt:lpstr>GrpD!ToreRechts</vt:lpstr>
      <vt:lpstr>GrpE!ToreRechts</vt:lpstr>
      <vt:lpstr>GrpF!ToreRechts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Rene Roelands</cp:lastModifiedBy>
  <dcterms:created xsi:type="dcterms:W3CDTF">2018-06-13T10:24:55Z</dcterms:created>
  <dcterms:modified xsi:type="dcterms:W3CDTF">2021-06-11T11:00:35Z</dcterms:modified>
</cp:coreProperties>
</file>